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3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Marcio Ramires\Desktop\"/>
    </mc:Choice>
  </mc:AlternateContent>
  <bookViews>
    <workbookView xWindow="0" yWindow="0" windowWidth="20490" windowHeight="7530" tabRatio="961"/>
  </bookViews>
  <sheets>
    <sheet name="Texto" sheetId="25" r:id="rId1"/>
    <sheet name="Protocolos" sheetId="2" r:id="rId2"/>
    <sheet name="Canais_atendimento" sheetId="3" r:id="rId3"/>
    <sheet name="Assuntos" sheetId="26" r:id="rId4"/>
    <sheet name="Buraco-Pavimentação_Abr_2024" sheetId="24" r:id="rId5"/>
    <sheet name="10+_Assuntos_2024" sheetId="5" r:id="rId6"/>
    <sheet name="Assuntos-variação_10_mais_2024" sheetId="6" r:id="rId7"/>
    <sheet name="ASSUNTOS_10+_últimos_3_meses" sheetId="7" r:id="rId8"/>
    <sheet name="10_ASSUNTOS+_Assuntos_ABR_24" sheetId="8" r:id="rId9"/>
    <sheet name="UNIDADES" sheetId="9" r:id="rId10"/>
    <sheet name="10+_UNIDADES_2024" sheetId="10" r:id="rId11"/>
    <sheet name="Unidades_-variação_10_mais_2024" sheetId="11" r:id="rId12"/>
    <sheet name="UNIDADES_-_10+_últimos_3_meses" sheetId="12" r:id="rId13"/>
    <sheet name="10+_Unidades__ABR_24" sheetId="13" r:id="rId14"/>
    <sheet name="Subprefeituras_2024" sheetId="14" r:id="rId15"/>
    <sheet name="10+_SUB's_2024" sheetId="15" r:id="rId16"/>
    <sheet name="Subs_-Variação_10_mais_2024" sheetId="16" r:id="rId17"/>
    <sheet name="10+_Subprefeituras__ABR_24" sheetId="30" r:id="rId18"/>
    <sheet name="Georref_3+_Subs_2024" sheetId="17" r:id="rId19"/>
    <sheet name="Denúncia_Unidades_Mensal_2024" sheetId="23" r:id="rId20"/>
    <sheet name="Denúncia_Unidades_Total_2024" sheetId="27" r:id="rId21"/>
    <sheet name="Denúncia_Órgãos_Deferidas" sheetId="28" r:id="rId22"/>
    <sheet name="Denúncia_Órgãos_Indeferidas" sheetId="29" r:id="rId23"/>
    <sheet name="Denúncia_Protocolos_2024" sheetId="18" r:id="rId24"/>
    <sheet name="e-SIC_2024" sheetId="19" r:id="rId25"/>
    <sheet name="Alteração_de_Processo" sheetId="21" r:id="rId26"/>
    <sheet name="Alteração_de_Processo_Dados" sheetId="22" r:id="rId27"/>
    <sheet name="P" sheetId="20" state="hidden" r:id="rId28"/>
  </sheets>
  <externalReferences>
    <externalReference r:id="rId29"/>
    <externalReference r:id="rId30"/>
    <externalReference r:id="rId31"/>
    <externalReference r:id="rId32"/>
  </externalReferences>
  <definedNames>
    <definedName name="_xlchart.0" hidden="1">Alteração_de_Processo_Dados!$A$17:$A$21</definedName>
    <definedName name="_xlchart.1" hidden="1">Alteração_de_Processo_Dados!$B$17:$B$21</definedName>
  </definedNames>
  <calcPr calcId="162913"/>
</workbook>
</file>

<file path=xl/calcChain.xml><?xml version="1.0" encoding="utf-8"?>
<calcChain xmlns="http://schemas.openxmlformats.org/spreadsheetml/2006/main">
  <c r="B17" i="30" l="1"/>
  <c r="H74" i="27" l="1"/>
  <c r="G7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4" i="27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4" i="29"/>
  <c r="D72" i="28" l="1"/>
  <c r="C72" i="28"/>
  <c r="B72" i="28"/>
  <c r="F72" i="28" s="1"/>
  <c r="D71" i="28"/>
  <c r="C71" i="28"/>
  <c r="B71" i="28"/>
  <c r="F71" i="28" s="1"/>
  <c r="D70" i="28"/>
  <c r="C70" i="28"/>
  <c r="B70" i="28"/>
  <c r="F70" i="28" s="1"/>
  <c r="D69" i="28"/>
  <c r="C69" i="28"/>
  <c r="B69" i="28"/>
  <c r="F69" i="28" s="1"/>
  <c r="D68" i="28"/>
  <c r="C68" i="28"/>
  <c r="B68" i="28"/>
  <c r="F68" i="28" s="1"/>
  <c r="D67" i="28"/>
  <c r="C67" i="28"/>
  <c r="B67" i="28"/>
  <c r="F67" i="28" s="1"/>
  <c r="D66" i="28"/>
  <c r="C66" i="28"/>
  <c r="B66" i="28"/>
  <c r="F66" i="28" s="1"/>
  <c r="D65" i="28"/>
  <c r="C65" i="28"/>
  <c r="B65" i="28"/>
  <c r="F65" i="28" s="1"/>
  <c r="D64" i="28"/>
  <c r="C64" i="28"/>
  <c r="B64" i="28"/>
  <c r="F64" i="28" s="1"/>
  <c r="D63" i="28"/>
  <c r="C63" i="28"/>
  <c r="B63" i="28"/>
  <c r="F63" i="28" s="1"/>
  <c r="D62" i="28"/>
  <c r="C62" i="28"/>
  <c r="B62" i="28"/>
  <c r="F62" i="28" s="1"/>
  <c r="D61" i="28"/>
  <c r="C61" i="28"/>
  <c r="B61" i="28"/>
  <c r="F61" i="28" s="1"/>
  <c r="D60" i="28"/>
  <c r="C60" i="28"/>
  <c r="B60" i="28"/>
  <c r="F60" i="28" s="1"/>
  <c r="D59" i="28"/>
  <c r="C59" i="28"/>
  <c r="B59" i="28"/>
  <c r="F59" i="28" s="1"/>
  <c r="D58" i="28"/>
  <c r="C58" i="28"/>
  <c r="B58" i="28"/>
  <c r="F58" i="28" s="1"/>
  <c r="D57" i="28"/>
  <c r="C57" i="28"/>
  <c r="B57" i="28"/>
  <c r="F57" i="28" s="1"/>
  <c r="D56" i="28"/>
  <c r="C56" i="28"/>
  <c r="B56" i="28"/>
  <c r="F56" i="28" s="1"/>
  <c r="D55" i="28"/>
  <c r="C55" i="28"/>
  <c r="B55" i="28"/>
  <c r="F55" i="28" s="1"/>
  <c r="D54" i="28"/>
  <c r="C54" i="28"/>
  <c r="B54" i="28"/>
  <c r="F54" i="28" s="1"/>
  <c r="D53" i="28"/>
  <c r="C53" i="28"/>
  <c r="B53" i="28"/>
  <c r="F53" i="28" s="1"/>
  <c r="D52" i="28"/>
  <c r="C52" i="28"/>
  <c r="B52" i="28"/>
  <c r="F52" i="28" s="1"/>
  <c r="D51" i="28"/>
  <c r="C51" i="28"/>
  <c r="B51" i="28"/>
  <c r="F51" i="28" s="1"/>
  <c r="D50" i="28"/>
  <c r="C50" i="28"/>
  <c r="B50" i="28"/>
  <c r="F50" i="28" s="1"/>
  <c r="D49" i="28"/>
  <c r="C49" i="28"/>
  <c r="B49" i="28"/>
  <c r="F49" i="28" s="1"/>
  <c r="D48" i="28"/>
  <c r="C48" i="28"/>
  <c r="B48" i="28"/>
  <c r="F48" i="28" s="1"/>
  <c r="D47" i="28"/>
  <c r="C47" i="28"/>
  <c r="B47" i="28"/>
  <c r="F47" i="28" s="1"/>
  <c r="D46" i="28"/>
  <c r="C46" i="28"/>
  <c r="B46" i="28"/>
  <c r="F46" i="28" s="1"/>
  <c r="D45" i="28"/>
  <c r="C45" i="28"/>
  <c r="B45" i="28"/>
  <c r="F45" i="28" s="1"/>
  <c r="D44" i="28"/>
  <c r="C44" i="28"/>
  <c r="B44" i="28"/>
  <c r="F44" i="28" s="1"/>
  <c r="D43" i="28"/>
  <c r="C43" i="28"/>
  <c r="B43" i="28"/>
  <c r="F43" i="28" s="1"/>
  <c r="D42" i="28"/>
  <c r="C42" i="28"/>
  <c r="B42" i="28"/>
  <c r="F42" i="28" s="1"/>
  <c r="D41" i="28"/>
  <c r="C41" i="28"/>
  <c r="B41" i="28"/>
  <c r="F41" i="28" s="1"/>
  <c r="D40" i="28"/>
  <c r="C40" i="28"/>
  <c r="B40" i="28"/>
  <c r="F40" i="28" s="1"/>
  <c r="D39" i="28"/>
  <c r="C39" i="28"/>
  <c r="B39" i="28"/>
  <c r="F39" i="28" s="1"/>
  <c r="D38" i="28"/>
  <c r="C38" i="28"/>
  <c r="B38" i="28"/>
  <c r="F38" i="28" s="1"/>
  <c r="D37" i="28"/>
  <c r="C37" i="28"/>
  <c r="B37" i="28"/>
  <c r="F37" i="28" s="1"/>
  <c r="D36" i="28"/>
  <c r="C36" i="28"/>
  <c r="B36" i="28"/>
  <c r="F36" i="28" s="1"/>
  <c r="D35" i="28"/>
  <c r="C35" i="28"/>
  <c r="B35" i="28"/>
  <c r="F35" i="28" s="1"/>
  <c r="D34" i="28"/>
  <c r="C34" i="28"/>
  <c r="B34" i="28"/>
  <c r="F34" i="28" s="1"/>
  <c r="D33" i="28"/>
  <c r="C33" i="28"/>
  <c r="B33" i="28"/>
  <c r="F33" i="28" s="1"/>
  <c r="D32" i="28"/>
  <c r="C32" i="28"/>
  <c r="B32" i="28"/>
  <c r="F32" i="28" s="1"/>
  <c r="D31" i="28"/>
  <c r="C31" i="28"/>
  <c r="B31" i="28"/>
  <c r="F31" i="28" s="1"/>
  <c r="D30" i="28"/>
  <c r="C30" i="28"/>
  <c r="B30" i="28"/>
  <c r="F30" i="28" s="1"/>
  <c r="D29" i="28"/>
  <c r="C29" i="28"/>
  <c r="B29" i="28"/>
  <c r="F29" i="28" s="1"/>
  <c r="D28" i="28"/>
  <c r="C28" i="28"/>
  <c r="B28" i="28"/>
  <c r="F28" i="28" s="1"/>
  <c r="D27" i="28"/>
  <c r="C27" i="28"/>
  <c r="B27" i="28"/>
  <c r="F27" i="28" s="1"/>
  <c r="D26" i="28"/>
  <c r="C26" i="28"/>
  <c r="B26" i="28"/>
  <c r="F26" i="28" s="1"/>
  <c r="D25" i="28"/>
  <c r="C25" i="28"/>
  <c r="B25" i="28"/>
  <c r="F25" i="28" s="1"/>
  <c r="D24" i="28"/>
  <c r="C24" i="28"/>
  <c r="B24" i="28"/>
  <c r="F24" i="28" s="1"/>
  <c r="D23" i="28"/>
  <c r="C23" i="28"/>
  <c r="B23" i="28"/>
  <c r="F23" i="28" s="1"/>
  <c r="D22" i="28"/>
  <c r="C22" i="28"/>
  <c r="B22" i="28"/>
  <c r="F22" i="28" s="1"/>
  <c r="D21" i="28"/>
  <c r="C21" i="28"/>
  <c r="B21" i="28"/>
  <c r="F21" i="28" s="1"/>
  <c r="D20" i="28"/>
  <c r="C20" i="28"/>
  <c r="B20" i="28"/>
  <c r="F20" i="28" s="1"/>
  <c r="D19" i="28"/>
  <c r="C19" i="28"/>
  <c r="B19" i="28"/>
  <c r="F19" i="28" s="1"/>
  <c r="D18" i="28"/>
  <c r="C18" i="28"/>
  <c r="B18" i="28"/>
  <c r="F18" i="28" s="1"/>
  <c r="D17" i="28"/>
  <c r="C17" i="28"/>
  <c r="B17" i="28"/>
  <c r="F17" i="28" s="1"/>
  <c r="D16" i="28"/>
  <c r="C16" i="28"/>
  <c r="B16" i="28"/>
  <c r="F16" i="28" s="1"/>
  <c r="D15" i="28"/>
  <c r="C15" i="28"/>
  <c r="B15" i="28"/>
  <c r="F15" i="28" s="1"/>
  <c r="D14" i="28"/>
  <c r="C14" i="28"/>
  <c r="B14" i="28"/>
  <c r="F14" i="28" s="1"/>
  <c r="D13" i="28"/>
  <c r="C13" i="28"/>
  <c r="B13" i="28"/>
  <c r="F13" i="28" s="1"/>
  <c r="D12" i="28"/>
  <c r="C12" i="28"/>
  <c r="B12" i="28"/>
  <c r="F12" i="28" s="1"/>
  <c r="D11" i="28"/>
  <c r="C11" i="28"/>
  <c r="B11" i="28"/>
  <c r="F11" i="28" s="1"/>
  <c r="D10" i="28"/>
  <c r="C10" i="28"/>
  <c r="B10" i="28"/>
  <c r="F10" i="28" s="1"/>
  <c r="D9" i="28"/>
  <c r="C9" i="28"/>
  <c r="B9" i="28"/>
  <c r="F9" i="28" s="1"/>
  <c r="D8" i="28"/>
  <c r="C8" i="28"/>
  <c r="B8" i="28"/>
  <c r="F8" i="28" s="1"/>
  <c r="D7" i="28"/>
  <c r="C7" i="28"/>
  <c r="B7" i="28"/>
  <c r="F7" i="28" s="1"/>
  <c r="D6" i="28"/>
  <c r="C6" i="28"/>
  <c r="B6" i="28"/>
  <c r="F6" i="28" s="1"/>
  <c r="D5" i="28"/>
  <c r="C5" i="28"/>
  <c r="B5" i="28"/>
  <c r="F5" i="28" s="1"/>
  <c r="D4" i="28"/>
  <c r="C4" i="28"/>
  <c r="B4" i="28"/>
  <c r="F4" i="28" s="1"/>
  <c r="D74" i="27" l="1"/>
  <c r="C74" i="27"/>
  <c r="F74" i="27" s="1"/>
  <c r="F73" i="27"/>
  <c r="D73" i="27"/>
  <c r="C73" i="27"/>
  <c r="B73" i="27"/>
  <c r="D72" i="27"/>
  <c r="C72" i="27"/>
  <c r="B72" i="27"/>
  <c r="F72" i="27" s="1"/>
  <c r="F71" i="27"/>
  <c r="D71" i="27"/>
  <c r="C71" i="27"/>
  <c r="B71" i="27"/>
  <c r="D70" i="27"/>
  <c r="C70" i="27"/>
  <c r="B70" i="27"/>
  <c r="F70" i="27" s="1"/>
  <c r="F69" i="27"/>
  <c r="D69" i="27"/>
  <c r="C69" i="27"/>
  <c r="B69" i="27"/>
  <c r="D68" i="27"/>
  <c r="C68" i="27"/>
  <c r="B68" i="27"/>
  <c r="F68" i="27" s="1"/>
  <c r="F67" i="27"/>
  <c r="D67" i="27"/>
  <c r="C67" i="27"/>
  <c r="B67" i="27"/>
  <c r="D66" i="27"/>
  <c r="C66" i="27"/>
  <c r="B66" i="27"/>
  <c r="F66" i="27" s="1"/>
  <c r="F65" i="27"/>
  <c r="D65" i="27"/>
  <c r="C65" i="27"/>
  <c r="B65" i="27"/>
  <c r="D64" i="27"/>
  <c r="C64" i="27"/>
  <c r="B64" i="27"/>
  <c r="F64" i="27" s="1"/>
  <c r="F63" i="27"/>
  <c r="D63" i="27"/>
  <c r="C63" i="27"/>
  <c r="B63" i="27"/>
  <c r="D62" i="27"/>
  <c r="C62" i="27"/>
  <c r="B62" i="27"/>
  <c r="F62" i="27" s="1"/>
  <c r="F61" i="27"/>
  <c r="D61" i="27"/>
  <c r="C61" i="27"/>
  <c r="B61" i="27"/>
  <c r="D60" i="27"/>
  <c r="C60" i="27"/>
  <c r="B60" i="27"/>
  <c r="F60" i="27" s="1"/>
  <c r="F59" i="27"/>
  <c r="D59" i="27"/>
  <c r="C59" i="27"/>
  <c r="B59" i="27"/>
  <c r="D58" i="27"/>
  <c r="C58" i="27"/>
  <c r="B58" i="27"/>
  <c r="F58" i="27" s="1"/>
  <c r="F57" i="27"/>
  <c r="D57" i="27"/>
  <c r="C57" i="27"/>
  <c r="B57" i="27"/>
  <c r="D56" i="27"/>
  <c r="C56" i="27"/>
  <c r="B56" i="27"/>
  <c r="F56" i="27" s="1"/>
  <c r="F55" i="27"/>
  <c r="D55" i="27"/>
  <c r="C55" i="27"/>
  <c r="B55" i="27"/>
  <c r="D54" i="27"/>
  <c r="C54" i="27"/>
  <c r="B54" i="27"/>
  <c r="F54" i="27" s="1"/>
  <c r="F53" i="27"/>
  <c r="D53" i="27"/>
  <c r="C53" i="27"/>
  <c r="B53" i="27"/>
  <c r="D52" i="27"/>
  <c r="C52" i="27"/>
  <c r="B52" i="27"/>
  <c r="F52" i="27" s="1"/>
  <c r="F51" i="27"/>
  <c r="D51" i="27"/>
  <c r="C51" i="27"/>
  <c r="B51" i="27"/>
  <c r="D50" i="27"/>
  <c r="C50" i="27"/>
  <c r="B50" i="27"/>
  <c r="F50" i="27" s="1"/>
  <c r="F49" i="27"/>
  <c r="D49" i="27"/>
  <c r="C49" i="27"/>
  <c r="B49" i="27"/>
  <c r="D48" i="27"/>
  <c r="C48" i="27"/>
  <c r="B48" i="27"/>
  <c r="F48" i="27" s="1"/>
  <c r="F47" i="27"/>
  <c r="D47" i="27"/>
  <c r="C47" i="27"/>
  <c r="B47" i="27"/>
  <c r="D46" i="27"/>
  <c r="C46" i="27"/>
  <c r="B46" i="27"/>
  <c r="F46" i="27" s="1"/>
  <c r="F45" i="27"/>
  <c r="D45" i="27"/>
  <c r="C45" i="27"/>
  <c r="B45" i="27"/>
  <c r="D44" i="27"/>
  <c r="C44" i="27"/>
  <c r="B44" i="27"/>
  <c r="F44" i="27" s="1"/>
  <c r="F43" i="27"/>
  <c r="D43" i="27"/>
  <c r="C43" i="27"/>
  <c r="B43" i="27"/>
  <c r="D42" i="27"/>
  <c r="C42" i="27"/>
  <c r="B42" i="27"/>
  <c r="F42" i="27" s="1"/>
  <c r="F41" i="27"/>
  <c r="D41" i="27"/>
  <c r="C41" i="27"/>
  <c r="B41" i="27"/>
  <c r="D40" i="27"/>
  <c r="C40" i="27"/>
  <c r="B40" i="27"/>
  <c r="F40" i="27" s="1"/>
  <c r="F39" i="27"/>
  <c r="D39" i="27"/>
  <c r="C39" i="27"/>
  <c r="B39" i="27"/>
  <c r="D38" i="27"/>
  <c r="C38" i="27"/>
  <c r="B38" i="27"/>
  <c r="F38" i="27" s="1"/>
  <c r="F37" i="27"/>
  <c r="D37" i="27"/>
  <c r="C37" i="27"/>
  <c r="B37" i="27"/>
  <c r="D36" i="27"/>
  <c r="C36" i="27"/>
  <c r="B36" i="27"/>
  <c r="F36" i="27" s="1"/>
  <c r="F35" i="27"/>
  <c r="D35" i="27"/>
  <c r="C35" i="27"/>
  <c r="B35" i="27"/>
  <c r="D34" i="27"/>
  <c r="C34" i="27"/>
  <c r="B34" i="27"/>
  <c r="F34" i="27" s="1"/>
  <c r="F33" i="27"/>
  <c r="D33" i="27"/>
  <c r="C33" i="27"/>
  <c r="B33" i="27"/>
  <c r="D32" i="27"/>
  <c r="C32" i="27"/>
  <c r="B32" i="27"/>
  <c r="F32" i="27" s="1"/>
  <c r="F31" i="27"/>
  <c r="D31" i="27"/>
  <c r="C31" i="27"/>
  <c r="B31" i="27"/>
  <c r="D30" i="27"/>
  <c r="C30" i="27"/>
  <c r="B30" i="27"/>
  <c r="F30" i="27" s="1"/>
  <c r="F29" i="27"/>
  <c r="D29" i="27"/>
  <c r="C29" i="27"/>
  <c r="B29" i="27"/>
  <c r="D28" i="27"/>
  <c r="C28" i="27"/>
  <c r="B28" i="27"/>
  <c r="F28" i="27" s="1"/>
  <c r="F27" i="27"/>
  <c r="D27" i="27"/>
  <c r="C27" i="27"/>
  <c r="B27" i="27"/>
  <c r="D26" i="27"/>
  <c r="C26" i="27"/>
  <c r="B26" i="27"/>
  <c r="F26" i="27" s="1"/>
  <c r="F25" i="27"/>
  <c r="D25" i="27"/>
  <c r="C25" i="27"/>
  <c r="B25" i="27"/>
  <c r="D24" i="27"/>
  <c r="C24" i="27"/>
  <c r="B24" i="27"/>
  <c r="F24" i="27" s="1"/>
  <c r="F23" i="27"/>
  <c r="D23" i="27"/>
  <c r="C23" i="27"/>
  <c r="B23" i="27"/>
  <c r="D22" i="27"/>
  <c r="C22" i="27"/>
  <c r="B22" i="27"/>
  <c r="F22" i="27" s="1"/>
  <c r="F21" i="27"/>
  <c r="D21" i="27"/>
  <c r="C21" i="27"/>
  <c r="B21" i="27"/>
  <c r="D20" i="27"/>
  <c r="C20" i="27"/>
  <c r="B20" i="27"/>
  <c r="F20" i="27" s="1"/>
  <c r="F19" i="27"/>
  <c r="D19" i="27"/>
  <c r="C19" i="27"/>
  <c r="B19" i="27"/>
  <c r="D18" i="27"/>
  <c r="C18" i="27"/>
  <c r="B18" i="27"/>
  <c r="F18" i="27" s="1"/>
  <c r="F17" i="27"/>
  <c r="D17" i="27"/>
  <c r="C17" i="27"/>
  <c r="B17" i="27"/>
  <c r="D16" i="27"/>
  <c r="C16" i="27"/>
  <c r="B16" i="27"/>
  <c r="F16" i="27" s="1"/>
  <c r="F15" i="27"/>
  <c r="D15" i="27"/>
  <c r="C15" i="27"/>
  <c r="B15" i="27"/>
  <c r="D14" i="27"/>
  <c r="C14" i="27"/>
  <c r="B14" i="27"/>
  <c r="F14" i="27" s="1"/>
  <c r="F13" i="27"/>
  <c r="D13" i="27"/>
  <c r="C13" i="27"/>
  <c r="B13" i="27"/>
  <c r="D12" i="27"/>
  <c r="C12" i="27"/>
  <c r="B12" i="27"/>
  <c r="F12" i="27" s="1"/>
  <c r="F11" i="27"/>
  <c r="D11" i="27"/>
  <c r="C11" i="27"/>
  <c r="B11" i="27"/>
  <c r="D10" i="27"/>
  <c r="C10" i="27"/>
  <c r="B10" i="27"/>
  <c r="F10" i="27" s="1"/>
  <c r="F9" i="27"/>
  <c r="D9" i="27"/>
  <c r="C9" i="27"/>
  <c r="B9" i="27"/>
  <c r="D8" i="27"/>
  <c r="C8" i="27"/>
  <c r="B8" i="27"/>
  <c r="F8" i="27" s="1"/>
  <c r="F7" i="27"/>
  <c r="D7" i="27"/>
  <c r="C7" i="27"/>
  <c r="B7" i="27"/>
  <c r="D6" i="27"/>
  <c r="C6" i="27"/>
  <c r="B6" i="27"/>
  <c r="F6" i="27" s="1"/>
  <c r="F5" i="27"/>
  <c r="D5" i="27"/>
  <c r="C5" i="27"/>
  <c r="B5" i="27"/>
  <c r="D4" i="27"/>
  <c r="C4" i="27"/>
  <c r="B4" i="27"/>
  <c r="F4" i="27" s="1"/>
  <c r="P7" i="15" l="1"/>
  <c r="P7" i="5"/>
  <c r="Q6" i="3"/>
  <c r="Q7" i="3"/>
  <c r="Q8" i="3"/>
  <c r="Q9" i="3"/>
  <c r="Q10" i="3"/>
  <c r="Q11" i="3"/>
  <c r="Q12" i="3"/>
  <c r="Q5" i="3"/>
  <c r="C7" i="2" l="1"/>
  <c r="C8" i="2"/>
  <c r="C6" i="2"/>
  <c r="B8" i="2"/>
  <c r="N115" i="19" l="1"/>
  <c r="J197" i="19"/>
  <c r="P22" i="19"/>
  <c r="O22" i="19"/>
  <c r="N22" i="19"/>
  <c r="J100" i="19"/>
  <c r="B19" i="19" l="1"/>
  <c r="B18" i="19"/>
  <c r="C9" i="19"/>
  <c r="J10" i="18"/>
  <c r="H54" i="18"/>
  <c r="H39" i="18"/>
  <c r="P7" i="18"/>
  <c r="P6" i="18"/>
  <c r="F22" i="18"/>
  <c r="F21" i="18"/>
  <c r="B22" i="18"/>
  <c r="J15" i="18"/>
  <c r="J9" i="18"/>
  <c r="P8" i="15" l="1"/>
  <c r="P9" i="15"/>
  <c r="P10" i="15"/>
  <c r="P11" i="15"/>
  <c r="P12" i="15"/>
  <c r="P13" i="15"/>
  <c r="P14" i="15"/>
  <c r="P15" i="15"/>
  <c r="P16" i="15"/>
  <c r="P17" i="15"/>
  <c r="P1" i="15"/>
  <c r="L25" i="13"/>
  <c r="P8" i="10"/>
  <c r="P9" i="10"/>
  <c r="P10" i="10"/>
  <c r="P11" i="10"/>
  <c r="P12" i="10"/>
  <c r="P13" i="10"/>
  <c r="P14" i="10"/>
  <c r="P15" i="10"/>
  <c r="P16" i="10"/>
  <c r="P17" i="10"/>
  <c r="P7" i="10"/>
  <c r="P1" i="5"/>
  <c r="P4" i="10"/>
  <c r="L26" i="8"/>
  <c r="P17" i="5"/>
  <c r="P16" i="5"/>
  <c r="P15" i="5"/>
  <c r="P14" i="5"/>
  <c r="P13" i="5"/>
  <c r="P12" i="5"/>
  <c r="P11" i="5"/>
  <c r="P10" i="5"/>
  <c r="P9" i="5"/>
  <c r="P8" i="5"/>
  <c r="N203" i="26" l="1"/>
  <c r="O203" i="26"/>
  <c r="N117" i="26"/>
  <c r="O117" i="26"/>
  <c r="N87" i="26"/>
  <c r="O87" i="26"/>
  <c r="N86" i="26"/>
  <c r="O86" i="26"/>
  <c r="N36" i="26"/>
  <c r="O36" i="26"/>
  <c r="B18" i="2"/>
  <c r="B21" i="22" l="1"/>
  <c r="J17" i="15" l="1"/>
  <c r="J37" i="14"/>
  <c r="J17" i="10" l="1"/>
  <c r="J71" i="9"/>
  <c r="B17" i="8"/>
  <c r="J17" i="5"/>
  <c r="J238" i="26"/>
  <c r="B12" i="3"/>
  <c r="C12" i="3"/>
  <c r="D12" i="3"/>
  <c r="E12" i="3"/>
  <c r="F12" i="3"/>
  <c r="G12" i="3"/>
  <c r="H12" i="3"/>
  <c r="I12" i="3"/>
  <c r="J12" i="3"/>
  <c r="K100" i="19" l="1"/>
  <c r="C8" i="19" l="1"/>
  <c r="H53" i="18" l="1"/>
  <c r="H63" i="18" s="1"/>
  <c r="G48" i="18"/>
  <c r="H48" i="18"/>
  <c r="H38" i="18"/>
  <c r="F31" i="18"/>
  <c r="K10" i="18"/>
  <c r="K15" i="18" s="1"/>
  <c r="K9" i="18"/>
  <c r="B21" i="18" s="1"/>
  <c r="B31" i="18" s="1"/>
  <c r="K17" i="15" l="1"/>
  <c r="K37" i="14"/>
  <c r="K17" i="10"/>
  <c r="K71" i="9" l="1"/>
  <c r="K17" i="5"/>
  <c r="N5" i="26" l="1"/>
  <c r="O5" i="26"/>
  <c r="N6" i="26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1" i="26"/>
  <c r="O21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1" i="26"/>
  <c r="O31" i="26"/>
  <c r="N32" i="26"/>
  <c r="O32" i="26"/>
  <c r="N33" i="26"/>
  <c r="O33" i="26"/>
  <c r="N34" i="26"/>
  <c r="O34" i="26"/>
  <c r="N35" i="26"/>
  <c r="O35" i="26"/>
  <c r="N37" i="26"/>
  <c r="O37" i="26"/>
  <c r="N38" i="26"/>
  <c r="O38" i="26"/>
  <c r="N39" i="26"/>
  <c r="O39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3" i="26"/>
  <c r="O83" i="26"/>
  <c r="N84" i="26"/>
  <c r="O84" i="26"/>
  <c r="N85" i="26"/>
  <c r="O85" i="26"/>
  <c r="N88" i="26"/>
  <c r="O88" i="26"/>
  <c r="N89" i="26"/>
  <c r="O89" i="26"/>
  <c r="N90" i="26"/>
  <c r="O90" i="26"/>
  <c r="N91" i="26"/>
  <c r="O91" i="26"/>
  <c r="N92" i="26"/>
  <c r="O92" i="26"/>
  <c r="N93" i="26"/>
  <c r="O93" i="26"/>
  <c r="N94" i="26"/>
  <c r="O94" i="26"/>
  <c r="N95" i="26"/>
  <c r="O95" i="26"/>
  <c r="N96" i="26"/>
  <c r="O96" i="26"/>
  <c r="N97" i="26"/>
  <c r="O97" i="26"/>
  <c r="N98" i="26"/>
  <c r="O98" i="26"/>
  <c r="N99" i="26"/>
  <c r="O99" i="26"/>
  <c r="N100" i="26"/>
  <c r="O100" i="26"/>
  <c r="N101" i="26"/>
  <c r="O101" i="26"/>
  <c r="N102" i="26"/>
  <c r="O102" i="26"/>
  <c r="N103" i="26"/>
  <c r="O103" i="26"/>
  <c r="N104" i="26"/>
  <c r="O104" i="26"/>
  <c r="N105" i="26"/>
  <c r="O105" i="26"/>
  <c r="N106" i="26"/>
  <c r="O106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3" i="26"/>
  <c r="O133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6" i="26"/>
  <c r="O146" i="26"/>
  <c r="N147" i="26"/>
  <c r="O147" i="26"/>
  <c r="N148" i="26"/>
  <c r="O148" i="26"/>
  <c r="N149" i="26"/>
  <c r="O149" i="26"/>
  <c r="N150" i="26"/>
  <c r="O150" i="26"/>
  <c r="N151" i="26"/>
  <c r="O151" i="26"/>
  <c r="N152" i="26"/>
  <c r="O152" i="26"/>
  <c r="N153" i="26"/>
  <c r="O153" i="26"/>
  <c r="N154" i="26"/>
  <c r="O154" i="26"/>
  <c r="N155" i="26"/>
  <c r="O155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1" i="26"/>
  <c r="O221" i="26"/>
  <c r="N222" i="26"/>
  <c r="O222" i="26"/>
  <c r="N223" i="26"/>
  <c r="O223" i="26"/>
  <c r="N224" i="26"/>
  <c r="O224" i="26"/>
  <c r="N225" i="26"/>
  <c r="O225" i="26"/>
  <c r="N226" i="26"/>
  <c r="O226" i="26"/>
  <c r="N227" i="26"/>
  <c r="O227" i="26"/>
  <c r="N228" i="26"/>
  <c r="O228" i="26"/>
  <c r="N229" i="26"/>
  <c r="O229" i="26"/>
  <c r="N230" i="26"/>
  <c r="O230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7" i="26"/>
  <c r="O237" i="26"/>
  <c r="K238" i="26"/>
  <c r="L238" i="26"/>
  <c r="M238" i="26"/>
  <c r="O238" i="26" l="1"/>
  <c r="N238" i="26"/>
  <c r="P24" i="26" l="1"/>
  <c r="P203" i="26"/>
  <c r="P87" i="26"/>
  <c r="P117" i="26"/>
  <c r="P120" i="26"/>
  <c r="P47" i="26"/>
  <c r="P86" i="26"/>
  <c r="P60" i="26"/>
  <c r="P143" i="26"/>
  <c r="P11" i="26"/>
  <c r="P76" i="26"/>
  <c r="P191" i="26"/>
  <c r="P37" i="26"/>
  <c r="P140" i="26"/>
  <c r="P208" i="26"/>
  <c r="P172" i="26"/>
  <c r="P27" i="26"/>
  <c r="P94" i="26"/>
  <c r="P69" i="26"/>
  <c r="P44" i="26"/>
  <c r="P127" i="26"/>
  <c r="P99" i="26"/>
  <c r="P229" i="26"/>
  <c r="P222" i="26"/>
  <c r="P36" i="26"/>
  <c r="P63" i="26"/>
  <c r="P159" i="26"/>
  <c r="P224" i="26"/>
  <c r="P196" i="26"/>
  <c r="P168" i="26"/>
  <c r="P57" i="26"/>
  <c r="P14" i="26"/>
  <c r="P79" i="26"/>
  <c r="P110" i="26"/>
  <c r="P175" i="26"/>
  <c r="P20" i="26"/>
  <c r="P237" i="26"/>
  <c r="P205" i="26"/>
  <c r="P95" i="26"/>
  <c r="P30" i="26"/>
  <c r="P97" i="26"/>
  <c r="P130" i="26"/>
  <c r="P162" i="26"/>
  <c r="P194" i="26"/>
  <c r="P227" i="26"/>
  <c r="P214" i="26"/>
  <c r="P70" i="26"/>
  <c r="P141" i="26"/>
  <c r="P15" i="26"/>
  <c r="P48" i="26"/>
  <c r="P80" i="26"/>
  <c r="P98" i="26"/>
  <c r="P114" i="26"/>
  <c r="P131" i="26"/>
  <c r="P147" i="26"/>
  <c r="P163" i="26"/>
  <c r="P179" i="26"/>
  <c r="P195" i="26"/>
  <c r="P212" i="26"/>
  <c r="P228" i="26"/>
  <c r="P61" i="26"/>
  <c r="P103" i="26"/>
  <c r="P124" i="26"/>
  <c r="P200" i="26"/>
  <c r="P238" i="26"/>
  <c r="P45" i="26"/>
  <c r="P132" i="26"/>
  <c r="P176" i="26"/>
  <c r="P217" i="26"/>
  <c r="P233" i="26"/>
  <c r="P32" i="26"/>
  <c r="P73" i="26"/>
  <c r="P115" i="26"/>
  <c r="P152" i="26"/>
  <c r="P188" i="26"/>
  <c r="P18" i="26"/>
  <c r="P34" i="26"/>
  <c r="P51" i="26"/>
  <c r="P67" i="26"/>
  <c r="P83" i="26"/>
  <c r="P101" i="26"/>
  <c r="P118" i="26"/>
  <c r="P134" i="26"/>
  <c r="P150" i="26"/>
  <c r="P166" i="26"/>
  <c r="P182" i="26"/>
  <c r="P198" i="26"/>
  <c r="P215" i="26"/>
  <c r="P231" i="26"/>
  <c r="P137" i="26"/>
  <c r="P181" i="26"/>
  <c r="P218" i="26"/>
  <c r="P17" i="26"/>
  <c r="P50" i="26"/>
  <c r="P82" i="26"/>
  <c r="P116" i="26"/>
  <c r="P161" i="26"/>
  <c r="P230" i="26"/>
  <c r="P5" i="26"/>
  <c r="P201" i="26"/>
  <c r="P31" i="26"/>
  <c r="P64" i="26"/>
  <c r="P19" i="26"/>
  <c r="P35" i="26"/>
  <c r="P52" i="26"/>
  <c r="P68" i="26"/>
  <c r="P84" i="26"/>
  <c r="P102" i="26"/>
  <c r="P119" i="26"/>
  <c r="P135" i="26"/>
  <c r="P151" i="26"/>
  <c r="P167" i="26"/>
  <c r="P183" i="26"/>
  <c r="P199" i="26"/>
  <c r="P216" i="26"/>
  <c r="P232" i="26"/>
  <c r="P81" i="26"/>
  <c r="P107" i="26"/>
  <c r="P148" i="26"/>
  <c r="P209" i="26"/>
  <c r="P16" i="26"/>
  <c r="P49" i="26"/>
  <c r="P144" i="26"/>
  <c r="P184" i="26"/>
  <c r="P221" i="26"/>
  <c r="P8" i="26"/>
  <c r="P41" i="26"/>
  <c r="P77" i="26"/>
  <c r="P128" i="26"/>
  <c r="P160" i="26"/>
  <c r="P7" i="26"/>
  <c r="P22" i="26"/>
  <c r="P39" i="26"/>
  <c r="P55" i="26"/>
  <c r="P71" i="26"/>
  <c r="P89" i="26"/>
  <c r="P105" i="26"/>
  <c r="P122" i="26"/>
  <c r="P138" i="26"/>
  <c r="P154" i="26"/>
  <c r="P170" i="26"/>
  <c r="P186" i="26"/>
  <c r="P202" i="26"/>
  <c r="P219" i="26"/>
  <c r="P235" i="26"/>
  <c r="P149" i="26"/>
  <c r="P189" i="26"/>
  <c r="P21" i="26"/>
  <c r="P54" i="26"/>
  <c r="P88" i="26"/>
  <c r="P121" i="26"/>
  <c r="P169" i="26"/>
  <c r="P234" i="26"/>
  <c r="P113" i="26"/>
  <c r="P146" i="26"/>
  <c r="P178" i="26"/>
  <c r="P211" i="26"/>
  <c r="P173" i="26"/>
  <c r="P38" i="26"/>
  <c r="P104" i="26"/>
  <c r="P23" i="26"/>
  <c r="P40" i="26"/>
  <c r="P56" i="26"/>
  <c r="P72" i="26"/>
  <c r="P90" i="26"/>
  <c r="P106" i="26"/>
  <c r="P123" i="26"/>
  <c r="P139" i="26"/>
  <c r="P155" i="26"/>
  <c r="P171" i="26"/>
  <c r="P187" i="26"/>
  <c r="P204" i="26"/>
  <c r="P220" i="26"/>
  <c r="P236" i="26"/>
  <c r="P85" i="26"/>
  <c r="P111" i="26"/>
  <c r="P180" i="26"/>
  <c r="P213" i="26"/>
  <c r="P28" i="26"/>
  <c r="P65" i="26"/>
  <c r="P156" i="26"/>
  <c r="P192" i="26"/>
  <c r="P225" i="26"/>
  <c r="P12" i="26"/>
  <c r="P53" i="26"/>
  <c r="P91" i="26"/>
  <c r="P136" i="26"/>
  <c r="P164" i="26"/>
  <c r="P10" i="26"/>
  <c r="P26" i="26"/>
  <c r="P43" i="26"/>
  <c r="P59" i="26"/>
  <c r="P75" i="26"/>
  <c r="P93" i="26"/>
  <c r="P109" i="26"/>
  <c r="P126" i="26"/>
  <c r="P142" i="26"/>
  <c r="P158" i="26"/>
  <c r="P174" i="26"/>
  <c r="P190" i="26"/>
  <c r="P207" i="26"/>
  <c r="P223" i="26"/>
  <c r="P6" i="26"/>
  <c r="P157" i="26"/>
  <c r="P206" i="26"/>
  <c r="P33" i="26"/>
  <c r="P66" i="26"/>
  <c r="P100" i="26"/>
  <c r="P133" i="26"/>
  <c r="P193" i="26"/>
  <c r="P165" i="26"/>
  <c r="P197" i="26"/>
  <c r="P226" i="26"/>
  <c r="P9" i="26"/>
  <c r="P25" i="26"/>
  <c r="P42" i="26"/>
  <c r="P58" i="26"/>
  <c r="P74" i="26"/>
  <c r="P92" i="26"/>
  <c r="P108" i="26"/>
  <c r="P125" i="26"/>
  <c r="P145" i="26"/>
  <c r="P177" i="26"/>
  <c r="P210" i="26"/>
  <c r="P13" i="26"/>
  <c r="P29" i="26"/>
  <c r="P46" i="26"/>
  <c r="P62" i="26"/>
  <c r="P78" i="26"/>
  <c r="P96" i="26"/>
  <c r="P112" i="26"/>
  <c r="P129" i="26"/>
  <c r="P153" i="26"/>
  <c r="P185" i="26"/>
  <c r="M12" i="3"/>
  <c r="L12" i="3"/>
  <c r="K12" i="3"/>
  <c r="O11" i="3"/>
  <c r="N11" i="3"/>
  <c r="B7" i="2" l="1"/>
  <c r="L100" i="19" l="1"/>
  <c r="C7" i="19" l="1"/>
  <c r="H52" i="18" l="1"/>
  <c r="H37" i="18"/>
  <c r="G20" i="18" l="1"/>
  <c r="F20" i="18"/>
  <c r="C20" i="18"/>
  <c r="B20" i="18"/>
  <c r="L15" i="18" l="1"/>
  <c r="L10" i="18"/>
  <c r="L9" i="18"/>
  <c r="L17" i="15"/>
  <c r="L37" i="14"/>
  <c r="L17" i="10"/>
  <c r="L71" i="9"/>
  <c r="L17" i="5" l="1"/>
  <c r="B17" i="2"/>
  <c r="B6" i="2"/>
  <c r="M15" i="18" l="1"/>
  <c r="N33" i="14" l="1"/>
  <c r="N29" i="14"/>
  <c r="N25" i="14"/>
  <c r="N21" i="14"/>
  <c r="N17" i="14"/>
  <c r="N13" i="14"/>
  <c r="N9" i="14"/>
  <c r="N5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4" i="22" l="1"/>
  <c r="C5" i="22"/>
  <c r="C6" i="22"/>
  <c r="C7" i="22"/>
  <c r="C8" i="22"/>
  <c r="C9" i="22"/>
  <c r="C10" i="22"/>
  <c r="C11" i="22"/>
  <c r="C12" i="22"/>
  <c r="C13" i="22"/>
  <c r="C3" i="22"/>
  <c r="C2" i="22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C6" i="19"/>
  <c r="D19" i="23" l="1"/>
  <c r="C77" i="23"/>
  <c r="N7" i="15" l="1"/>
  <c r="N8" i="15"/>
  <c r="N9" i="15"/>
  <c r="N10" i="15"/>
  <c r="N11" i="15"/>
  <c r="N12" i="15"/>
  <c r="N13" i="15"/>
  <c r="N14" i="15"/>
  <c r="N15" i="15"/>
  <c r="N16" i="15"/>
  <c r="C5" i="2" l="1"/>
  <c r="B5" i="2" l="1"/>
  <c r="O6" i="18" l="1"/>
  <c r="F54" i="16" l="1"/>
  <c r="B54" i="16"/>
  <c r="N38" i="16"/>
  <c r="J38" i="16"/>
  <c r="F38" i="16"/>
  <c r="B38" i="16"/>
  <c r="N22" i="16"/>
  <c r="J22" i="16"/>
  <c r="F22" i="16"/>
  <c r="B22" i="16"/>
  <c r="B17" i="13"/>
  <c r="F7" i="12"/>
  <c r="E7" i="12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E24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4" i="2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B9" i="24"/>
  <c r="G24" i="2"/>
  <c r="O20" i="11" l="1"/>
  <c r="O8" i="10"/>
  <c r="N8" i="10"/>
  <c r="O7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7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4" i="2"/>
  <c r="C74" i="23" l="1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4" i="2"/>
  <c r="B18" i="11" l="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17" i="7"/>
  <c r="C17" i="7"/>
  <c r="D17" i="7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4" i="2"/>
  <c r="F17" i="7" l="1"/>
  <c r="B14" i="22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4" i="2" l="1"/>
  <c r="F47" i="11" l="1"/>
  <c r="G48" i="11" s="1"/>
  <c r="F46" i="11"/>
  <c r="B47" i="11"/>
  <c r="B46" i="11"/>
  <c r="C47" i="11" l="1"/>
  <c r="C48" i="11"/>
  <c r="G47" i="11"/>
  <c r="O109" i="19"/>
  <c r="O112" i="19" l="1"/>
  <c r="O108" i="19"/>
  <c r="O105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L24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F48" i="18"/>
  <c r="E48" i="18"/>
  <c r="D48" i="18"/>
  <c r="C48" i="18"/>
  <c r="B48" i="18"/>
  <c r="H36" i="18"/>
  <c r="C30" i="18"/>
  <c r="C28" i="18"/>
  <c r="C27" i="18"/>
  <c r="F19" i="18"/>
  <c r="F32" i="18" s="1"/>
  <c r="O13" i="18"/>
  <c r="N13" i="18"/>
  <c r="M10" i="18"/>
  <c r="M9" i="18"/>
  <c r="O9" i="18"/>
  <c r="C22" i="18"/>
  <c r="O8" i="18"/>
  <c r="N8" i="18"/>
  <c r="O7" i="18"/>
  <c r="N7" i="18"/>
  <c r="N6" i="18"/>
  <c r="M17" i="15"/>
  <c r="O16" i="15"/>
  <c r="O15" i="15"/>
  <c r="O14" i="15"/>
  <c r="O13" i="15"/>
  <c r="O12" i="15"/>
  <c r="O11" i="15"/>
  <c r="O10" i="15"/>
  <c r="O9" i="15"/>
  <c r="O8" i="15"/>
  <c r="O7" i="15"/>
  <c r="M37" i="14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C46" i="11"/>
  <c r="M17" i="10"/>
  <c r="B13" i="1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7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12" i="3"/>
  <c r="O10" i="3"/>
  <c r="N10" i="3"/>
  <c r="O9" i="3"/>
  <c r="N9" i="3"/>
  <c r="O8" i="3"/>
  <c r="N8" i="3"/>
  <c r="O7" i="3"/>
  <c r="N7" i="3"/>
  <c r="O6" i="3"/>
  <c r="N6" i="3"/>
  <c r="O5" i="3"/>
  <c r="N5" i="3"/>
  <c r="N12" i="3" s="1"/>
  <c r="P12" i="3" s="1"/>
  <c r="P24" i="2"/>
  <c r="O24" i="2"/>
  <c r="N24" i="2"/>
  <c r="M24" i="2"/>
  <c r="S23" i="2"/>
  <c r="Q23" i="2"/>
  <c r="S22" i="2"/>
  <c r="Q22" i="2"/>
  <c r="S21" i="2"/>
  <c r="Q21" i="2"/>
  <c r="S20" i="2"/>
  <c r="Q20" i="2"/>
  <c r="S19" i="2"/>
  <c r="Q19" i="2"/>
  <c r="K28" i="16" l="1"/>
  <c r="K27" i="16"/>
  <c r="B11" i="11"/>
  <c r="C11" i="11" s="1"/>
  <c r="P18" i="10"/>
  <c r="O12" i="6"/>
  <c r="O11" i="6"/>
  <c r="P18" i="15"/>
  <c r="O10" i="18"/>
  <c r="B19" i="18"/>
  <c r="B32" i="18" s="1"/>
  <c r="P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S24" i="2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O17" i="10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AG47" i="19"/>
  <c r="AG39" i="19"/>
  <c r="AG33" i="19"/>
  <c r="AG27" i="19"/>
  <c r="D65" i="18"/>
  <c r="N10" i="18"/>
  <c r="N15" i="18" s="1"/>
  <c r="O14" i="16"/>
  <c r="O29" i="16"/>
  <c r="G46" i="16"/>
  <c r="K14" i="16"/>
  <c r="E17" i="12"/>
  <c r="K28" i="6"/>
  <c r="N17" i="5"/>
  <c r="O28" i="6"/>
  <c r="O30" i="6"/>
  <c r="O17" i="5"/>
  <c r="Q24" i="2"/>
  <c r="R21" i="2" s="1"/>
  <c r="K13" i="6"/>
  <c r="N71" i="9"/>
  <c r="N37" i="14"/>
  <c r="P5" i="14" s="1"/>
  <c r="C12" i="11"/>
  <c r="N17" i="10"/>
  <c r="K13" i="16"/>
  <c r="G21" i="18"/>
  <c r="C46" i="6"/>
  <c r="C45" i="6"/>
  <c r="C28" i="11"/>
  <c r="C29" i="11"/>
  <c r="E65" i="18"/>
  <c r="AF47" i="19"/>
  <c r="C14" i="11"/>
  <c r="C13" i="11"/>
  <c r="K29" i="6"/>
  <c r="AF33" i="19"/>
  <c r="O17" i="15"/>
  <c r="G45" i="6"/>
  <c r="G13" i="11"/>
  <c r="G29" i="11"/>
  <c r="O15" i="18"/>
  <c r="C44" i="11"/>
  <c r="E17" i="7"/>
  <c r="G44" i="11"/>
  <c r="G19" i="18"/>
  <c r="N100" i="19"/>
  <c r="Q8" i="18" l="1"/>
  <c r="Q13" i="18"/>
  <c r="Q6" i="18"/>
  <c r="P9" i="3"/>
  <c r="P11" i="3"/>
  <c r="P18" i="5"/>
  <c r="C19" i="18"/>
  <c r="P68" i="9"/>
  <c r="P80" i="19"/>
  <c r="P25" i="19"/>
  <c r="P5" i="9"/>
  <c r="R19" i="2"/>
  <c r="H65" i="18"/>
  <c r="Q7" i="18"/>
  <c r="P8" i="3"/>
  <c r="P6" i="3"/>
  <c r="P5" i="3"/>
  <c r="P10" i="3"/>
  <c r="P7" i="3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3" i="2"/>
  <c r="R22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4" i="2"/>
  <c r="P71" i="9"/>
  <c r="P100" i="19"/>
</calcChain>
</file>

<file path=xl/sharedStrings.xml><?xml version="1.0" encoding="utf-8"?>
<sst xmlns="http://schemas.openxmlformats.org/spreadsheetml/2006/main" count="1252" uniqueCount="524">
  <si>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</si>
  <si>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</si>
  <si>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</si>
  <si>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</si>
  <si>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</si>
  <si>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</si>
  <si>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</si>
  <si>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</si>
  <si>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</si>
  <si>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</si>
  <si>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</si>
  <si>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</si>
  <si>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</si>
  <si>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</si>
  <si>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</si>
  <si>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</si>
  <si>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</si>
  <si>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</si>
  <si>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</si>
  <si>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</si>
  <si>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</si>
  <si>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</si>
  <si>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</si>
  <si>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</si>
  <si>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</si>
  <si>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</si>
  <si>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</si>
  <si>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</si>
  <si>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</si>
  <si>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</si>
  <si>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</si>
  <si>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</si>
  <si>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</si>
  <si>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</si>
  <si>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</si>
  <si>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</si>
  <si>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</si>
  <si>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</si>
  <si>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</si>
  <si>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</si>
  <si>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</si>
  <si>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</si>
  <si>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</si>
  <si>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</si>
  <si>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</si>
  <si>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</si>
  <si>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</si>
  <si>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</si>
  <si>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</si>
  <si>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</si>
  <si>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</si>
  <si>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</si>
  <si>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</si>
  <si>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</si>
  <si>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</si>
  <si>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</si>
  <si>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</si>
  <si>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</si>
  <si>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</si>
  <si>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</si>
  <si>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</si>
  <si>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</si>
  <si>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</si>
  <si>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</si>
  <si>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</si>
  <si>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</si>
  <si>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</si>
  <si>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</si>
  <si>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</si>
  <si>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</si>
  <si>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</si>
  <si>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</si>
  <si>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</si>
  <si>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</si>
  <si>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</si>
  <si>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</si>
  <si>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</si>
  <si>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</si>
  <si>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</si>
  <si>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</si>
  <si>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</si>
  <si>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</si>
  <si>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</si>
  <si>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</si>
  <si>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</si>
  <si>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</si>
  <si>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</si>
  <si>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</si>
  <si>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</si>
  <si>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</si>
  <si>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</si>
  <si>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</si>
  <si>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</si>
  <si>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</si>
  <si>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</si>
  <si>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</si>
  <si>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</si>
  <si>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</si>
  <si>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</si>
  <si>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</si>
  <si>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</si>
  <si>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</si>
  <si>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</si>
  <si>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</si>
  <si>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</si>
  <si>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</si>
  <si>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</si>
  <si>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</si>
  <si>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</si>
  <si>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</si>
  <si>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</si>
  <si>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</si>
  <si>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</si>
  <si>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</si>
  <si>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</si>
  <si>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</si>
  <si>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</si>
  <si>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</si>
  <si>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</si>
  <si>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</si>
  <si>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</si>
  <si>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</si>
  <si>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</si>
  <si>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</si>
  <si>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</si>
  <si>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</si>
  <si>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</si>
  <si>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</si>
  <si>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</si>
  <si>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</si>
  <si>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</si>
  <si>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</si>
  <si>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</si>
  <si>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</si>
  <si>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</si>
  <si>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</si>
  <si>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</si>
  <si>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</si>
  <si>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</si>
  <si>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</si>
  <si>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</si>
  <si>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</si>
  <si>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</si>
  <si>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</si>
  <si>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</si>
  <si>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</si>
  <si>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</si>
  <si>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</si>
  <si>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</si>
  <si>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</si>
  <si>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</si>
  <si>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</si>
  <si>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</si>
  <si>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</si>
  <si>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</si>
  <si>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</si>
  <si>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</si>
  <si>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</si>
  <si>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</si>
  <si>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</si>
  <si>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</si>
  <si>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</si>
  <si>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</si>
  <si>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</si>
  <si>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</si>
  <si>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</si>
  <si>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</si>
  <si>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</si>
  <si>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</si>
  <si>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</si>
  <si>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</si>
  <si>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</si>
  <si>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</si>
  <si>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</si>
  <si>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</si>
  <si>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</si>
  <si>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</si>
  <si>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</si>
  <si>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</si>
  <si>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</si>
  <si>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</si>
  <si>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</si>
  <si>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</si>
  <si>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</si>
  <si>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</si>
  <si>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</si>
  <si>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</si>
  <si>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</si>
  <si>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</si>
  <si>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</si>
  <si>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</si>
  <si>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</si>
  <si>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</si>
  <si>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</si>
  <si>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</si>
  <si>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</si>
  <si>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</si>
  <si>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</si>
  <si>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</si>
  <si>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</si>
  <si>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</si>
  <si>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</si>
  <si>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</si>
  <si>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</si>
  <si>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</si>
  <si>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</si>
  <si>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</si>
  <si>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</si>
  <si>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</si>
  <si>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</si>
  <si>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</si>
  <si>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</si>
  <si>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</si>
  <si>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</si>
  <si>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</si>
  <si>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</si>
  <si>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</si>
  <si>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</si>
  <si>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</si>
  <si>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</si>
  <si>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</si>
  <si>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</si>
  <si>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</si>
  <si>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</si>
  <si>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</si>
  <si>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</si>
  <si>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</si>
  <si>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</si>
  <si>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</si>
  <si>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</si>
  <si>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</si>
  <si>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</si>
  <si>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</si>
  <si>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</si>
  <si>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</si>
  <si>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</si>
  <si>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</si>
  <si>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</si>
  <si>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</si>
  <si>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</si>
  <si>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</si>
  <si>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</si>
  <si>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</si>
  <si>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</si>
  <si>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</si>
  <si>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</si>
  <si>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</si>
  <si>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</si>
  <si>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</si>
  <si>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</si>
  <si>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</si>
  <si>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</si>
  <si>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</si>
  <si>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</si>
  <si>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</si>
  <si>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</si>
  <si>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</si>
  <si>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</si>
  <si>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</si>
  <si>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</si>
  <si>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</si>
  <si>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</si>
  <si>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</si>
  <si>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</si>
  <si>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</si>
  <si>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</si>
  <si>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</si>
  <si>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</si>
  <si>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</si>
  <si>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</si>
  <si>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</si>
  <si>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</si>
  <si>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</si>
  <si>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</si>
  <si>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</si>
  <si>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</si>
  <si>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</si>
  <si>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</si>
  <si>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</si>
  <si>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</si>
  <si>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</si>
  <si>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</si>
  <si>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</si>
  <si>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</si>
  <si>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</si>
  <si>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</si>
  <si>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</si>
  <si>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</si>
  <si>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</si>
  <si>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</si>
  <si>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</si>
  <si>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</si>
  <si>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</si>
  <si>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</si>
  <si>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</si>
  <si>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</si>
  <si>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</si>
  <si>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</si>
  <si>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</si>
  <si>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</si>
  <si>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</si>
  <si>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</si>
  <si>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</si>
  <si>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</si>
  <si>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</si>
  <si>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</si>
  <si>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</si>
  <si>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</si>
  <si>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</si>
  <si>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</si>
  <si>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</si>
  <si>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</si>
  <si>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</si>
  <si>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</si>
  <si>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</si>
  <si>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</si>
  <si>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</si>
  <si>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</si>
  <si>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</si>
  <si>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</si>
  <si>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</si>
  <si>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</si>
  <si>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</si>
  <si>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</si>
  <si>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</si>
  <si>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</si>
  <si>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</si>
  <si>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</si>
  <si>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</si>
  <si>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</si>
  <si>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</si>
  <si>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</si>
  <si>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</si>
  <si>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</si>
  <si>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</si>
  <si>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</si>
  <si>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</si>
  <si>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</si>
  <si>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</si>
  <si>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</si>
  <si>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</si>
  <si>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</si>
  <si>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</si>
  <si>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</si>
  <si>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</si>
  <si>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</si>
  <si>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</si>
  <si>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</si>
  <si>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</si>
  <si>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</si>
  <si>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</si>
  <si>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</si>
  <si>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</si>
  <si>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</si>
  <si>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</si>
  <si>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</si>
  <si>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</si>
  <si>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</si>
  <si>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</si>
  <si>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</si>
  <si>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</si>
  <si>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</si>
  <si>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</si>
  <si>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</si>
  <si>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</si>
  <si>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</si>
  <si>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</si>
  <si>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</si>
  <si>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</si>
  <si>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</si>
  <si>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</si>
  <si>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</si>
  <si>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</si>
  <si>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</si>
  <si>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</si>
  <si>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</si>
  <si>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</si>
  <si>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</si>
  <si>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</si>
  <si>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</si>
  <si>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</si>
  <si>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</si>
  <si>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</si>
  <si>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</si>
  <si>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</si>
  <si>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</si>
  <si>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</si>
  <si>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</si>
  <si>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</si>
  <si>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</si>
  <si>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</si>
  <si>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</si>
  <si>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</si>
  <si>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</si>
  <si>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</si>
  <si>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</si>
  <si>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</si>
  <si>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</si>
  <si>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</si>
  <si>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</si>
  <si>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</si>
  <si>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</si>
  <si>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</si>
  <si>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</si>
  <si>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</si>
  <si>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</si>
  <si>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</si>
  <si>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</si>
  <si>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</si>
  <si>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</si>
  <si>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</si>
  <si>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</si>
  <si>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</si>
  <si>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</si>
  <si>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</si>
  <si>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</si>
  <si>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</si>
  <si>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</si>
  <si>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</si>
  <si>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</si>
  <si>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</si>
  <si>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</si>
  <si>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</si>
  <si>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</si>
  <si>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</si>
  <si>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</si>
  <si>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</si>
  <si>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</si>
  <si>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</si>
  <si>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</si>
  <si>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</si>
  <si>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</si>
  <si>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</si>
  <si>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</si>
  <si>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</si>
  <si>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</si>
  <si>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</si>
  <si>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</si>
  <si>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</si>
  <si>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</si>
  <si>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</si>
  <si>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</si>
  <si>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</si>
  <si>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</si>
  <si>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</si>
  <si>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</si>
  <si>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</si>
  <si>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</si>
  <si>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</si>
  <si>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</si>
  <si>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</si>
  <si>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</si>
  <si>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</si>
  <si>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</si>
  <si>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</si>
  <si>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</si>
  <si>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</si>
  <si>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</si>
  <si>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</si>
  <si>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</si>
  <si>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</si>
  <si>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</si>
  <si>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</si>
  <si>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</si>
  <si>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</si>
  <si>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</si>
  <si>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</si>
  <si>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</si>
  <si>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</si>
  <si>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</si>
  <si>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</si>
  <si>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</si>
  <si>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</si>
  <si>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</si>
  <si>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</si>
  <si>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</si>
  <si>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</si>
  <si>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</si>
  <si>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</si>
  <si>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</si>
  <si>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</si>
  <si>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</si>
  <si>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</si>
  <si>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</si>
  <si>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</si>
  <si>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</si>
  <si>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</si>
  <si>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</si>
  <si>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SVMA</t>
  </si>
  <si>
    <t>Formação artística e cultural</t>
  </si>
  <si>
    <t>Fevereiro</t>
  </si>
  <si>
    <t>,</t>
  </si>
  <si>
    <t>X</t>
  </si>
  <si>
    <t>SEGES</t>
  </si>
  <si>
    <t>SMADS</t>
  </si>
  <si>
    <t>Assuntos - 10 mais solicitados de 2024 (Média)</t>
  </si>
  <si>
    <t>Assuntos - variação dos 10 mais solicitados de 2024 (MÉDIA)</t>
  </si>
  <si>
    <t>Assuntos - 10 mais solicitados dos 3 últimos meses (Média)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</si>
  <si>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</si>
  <si>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</si>
  <si>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</si>
  <si>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</si>
  <si>
    <t>Tabagismo</t>
  </si>
  <si>
    <t>Mulher</t>
  </si>
  <si>
    <t>CIL- Central de Intermediação em Libras</t>
  </si>
  <si>
    <t>Março</t>
  </si>
  <si>
    <t>x</t>
  </si>
  <si>
    <t>Zap Denúncia*</t>
  </si>
  <si>
    <t>Zap Denúncia* disponível desde 27/03/2024, o novo canal permite o registro de denúncias à Ouvidoria Geral do Município por meio de chatbot.</t>
  </si>
  <si>
    <t>Biblioteca Mário de Andrade</t>
  </si>
  <si>
    <t>Descomplica SP - Jaçanã/Tremembé</t>
  </si>
  <si>
    <t>Descomplica SP - Lapa</t>
  </si>
  <si>
    <t>Fretamento</t>
  </si>
  <si>
    <t>Requalifica Centro</t>
  </si>
  <si>
    <t>% em relação ao todo de ABR/24 (excetuando-se denúncias)</t>
  </si>
  <si>
    <t>10 assuntos mais solicitados de abril/2024</t>
  </si>
  <si>
    <t>10 unidades mais demandadas de ABRIL/24</t>
  </si>
  <si>
    <t>Georreferenciamento das 3 Subprefeituras mais solicitadas em abr/24 e os assuntos mais demandados em cada uma das subprefeituras</t>
  </si>
  <si>
    <t>% Total ABR/24 dentro do STATUS</t>
  </si>
  <si>
    <t>Unidades PMSP - ABRIL 2024</t>
  </si>
  <si>
    <t>% Canais de entrada ABR/24</t>
  </si>
  <si>
    <t>Abril</t>
  </si>
  <si>
    <t xml:space="preserve">Unidades PMSP </t>
  </si>
  <si>
    <t>10 Subprefeituras mais demandadas de ABRIL/24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</si>
</sst>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7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4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92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0" fontId="9" fillId="0" borderId="10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0" xfId="4" applyFont="1"/>
    <xf numFmtId="0" fontId="9" fillId="6" borderId="40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3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1" fontId="7" fillId="0" borderId="45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8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2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1" fontId="7" fillId="5" borderId="50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30" xfId="0" applyNumberFormat="1" applyFont="1" applyFill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1" fontId="7" fillId="0" borderId="41" xfId="0" applyNumberFormat="1" applyFont="1" applyBorder="1" applyAlignment="1">
      <alignment horizontal="center"/>
    </xf>
    <xf numFmtId="1" fontId="7" fillId="0" borderId="5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5" xfId="0" applyNumberFormat="1" applyFont="1" applyFill="1" applyBorder="1" applyAlignment="1">
      <alignment horizontal="center" vertical="center"/>
    </xf>
    <xf numFmtId="17" fontId="7" fillId="5" borderId="56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3" fillId="0" borderId="0" xfId="0" applyFont="1"/>
    <xf numFmtId="3" fontId="8" fillId="0" borderId="32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24" fillId="0" borderId="60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/>
    </xf>
    <xf numFmtId="0" fontId="26" fillId="7" borderId="61" xfId="0" applyFont="1" applyFill="1" applyBorder="1"/>
    <xf numFmtId="0" fontId="26" fillId="7" borderId="58" xfId="0" applyFont="1" applyFill="1" applyBorder="1"/>
    <xf numFmtId="0" fontId="26" fillId="7" borderId="2" xfId="0" applyFont="1" applyFill="1" applyBorder="1"/>
    <xf numFmtId="1" fontId="26" fillId="7" borderId="14" xfId="0" applyNumberFormat="1" applyFont="1" applyFill="1" applyBorder="1"/>
    <xf numFmtId="2" fontId="26" fillId="7" borderId="2" xfId="0" applyNumberFormat="1" applyFont="1" applyFill="1" applyBorder="1"/>
    <xf numFmtId="2" fontId="26" fillId="7" borderId="31" xfId="0" applyNumberFormat="1" applyFont="1" applyFill="1" applyBorder="1"/>
    <xf numFmtId="0" fontId="26" fillId="0" borderId="32" xfId="0" applyFont="1" applyBorder="1" applyAlignment="1">
      <alignment vertical="center"/>
    </xf>
    <xf numFmtId="0" fontId="26" fillId="0" borderId="33" xfId="0" applyFont="1" applyBorder="1"/>
    <xf numFmtId="0" fontId="26" fillId="0" borderId="18" xfId="0" applyFont="1" applyBorder="1"/>
    <xf numFmtId="0" fontId="26" fillId="0" borderId="21" xfId="0" applyFont="1" applyBorder="1"/>
    <xf numFmtId="0" fontId="24" fillId="0" borderId="32" xfId="0" applyFont="1" applyBorder="1"/>
    <xf numFmtId="1" fontId="24" fillId="0" borderId="4" xfId="0" applyNumberFormat="1" applyFont="1" applyBorder="1"/>
    <xf numFmtId="2" fontId="24" fillId="0" borderId="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35" xfId="0" applyFont="1" applyBorder="1"/>
    <xf numFmtId="0" fontId="26" fillId="0" borderId="20" xfId="0" applyFont="1" applyBorder="1"/>
    <xf numFmtId="0" fontId="26" fillId="0" borderId="24" xfId="0" applyFont="1" applyBorder="1"/>
    <xf numFmtId="0" fontId="24" fillId="0" borderId="34" xfId="0" applyFont="1" applyBorder="1"/>
    <xf numFmtId="1" fontId="24" fillId="0" borderId="6" xfId="0" applyNumberFormat="1" applyFont="1" applyBorder="1"/>
    <xf numFmtId="2" fontId="24" fillId="0" borderId="62" xfId="0" applyNumberFormat="1" applyFont="1" applyBorder="1"/>
    <xf numFmtId="0" fontId="26" fillId="0" borderId="63" xfId="0" applyFont="1" applyBorder="1" applyAlignment="1">
      <alignment horizontal="left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4" fillId="0" borderId="36" xfId="0" applyFont="1" applyBorder="1"/>
    <xf numFmtId="1" fontId="24" fillId="0" borderId="8" xfId="0" applyNumberFormat="1" applyFont="1" applyBorder="1"/>
    <xf numFmtId="2" fontId="24" fillId="7" borderId="15" xfId="0" applyNumberFormat="1" applyFont="1" applyFill="1" applyBorder="1"/>
    <xf numFmtId="0" fontId="27" fillId="5" borderId="3" xfId="0" applyFont="1" applyFill="1" applyBorder="1" applyAlignment="1">
      <alignment horizontal="left" wrapText="1"/>
    </xf>
    <xf numFmtId="0" fontId="26" fillId="5" borderId="64" xfId="0" applyFont="1" applyFill="1" applyBorder="1"/>
    <xf numFmtId="0" fontId="26" fillId="5" borderId="65" xfId="0" applyFont="1" applyFill="1" applyBorder="1"/>
    <xf numFmtId="0" fontId="26" fillId="5" borderId="40" xfId="0" applyFont="1" applyFill="1" applyBorder="1"/>
    <xf numFmtId="1" fontId="24" fillId="8" borderId="3" xfId="0" applyNumberFormat="1" applyFont="1" applyFill="1" applyBorder="1"/>
    <xf numFmtId="2" fontId="24" fillId="5" borderId="62" xfId="0" applyNumberFormat="1" applyFont="1" applyFill="1" applyBorder="1"/>
    <xf numFmtId="2" fontId="24" fillId="7" borderId="62" xfId="0" applyNumberFormat="1" applyFont="1" applyFill="1" applyBorder="1"/>
    <xf numFmtId="0" fontId="24" fillId="9" borderId="3" xfId="0" applyFont="1" applyFill="1" applyBorder="1" applyAlignment="1">
      <alignment horizontal="left"/>
    </xf>
    <xf numFmtId="0" fontId="24" fillId="9" borderId="65" xfId="0" applyFont="1" applyFill="1" applyBorder="1"/>
    <xf numFmtId="0" fontId="24" fillId="0" borderId="10" xfId="0" applyFont="1" applyBorder="1"/>
    <xf numFmtId="1" fontId="24" fillId="0" borderId="0" xfId="0" applyNumberFormat="1" applyFont="1"/>
    <xf numFmtId="2" fontId="24" fillId="7" borderId="3" xfId="0" applyNumberFormat="1" applyFont="1" applyFill="1" applyBorder="1"/>
    <xf numFmtId="0" fontId="26" fillId="7" borderId="63" xfId="0" applyFont="1" applyFill="1" applyBorder="1"/>
    <xf numFmtId="0" fontId="26" fillId="7" borderId="15" xfId="0" applyFont="1" applyFill="1" applyBorder="1"/>
    <xf numFmtId="0" fontId="26" fillId="7" borderId="0" xfId="0" applyFont="1" applyFill="1"/>
    <xf numFmtId="0" fontId="26" fillId="7" borderId="41" xfId="0" applyFont="1" applyFill="1" applyBorder="1"/>
    <xf numFmtId="1" fontId="26" fillId="7" borderId="54" xfId="0" applyNumberFormat="1" applyFont="1" applyFill="1" applyBorder="1"/>
    <xf numFmtId="2" fontId="26" fillId="7" borderId="41" xfId="0" applyNumberFormat="1" applyFont="1" applyFill="1" applyBorder="1"/>
    <xf numFmtId="2" fontId="26" fillId="7" borderId="53" xfId="0" applyNumberFormat="1" applyFont="1" applyFill="1" applyBorder="1"/>
    <xf numFmtId="0" fontId="24" fillId="0" borderId="3" xfId="0" applyFont="1" applyBorder="1" applyAlignment="1">
      <alignment horizontal="center"/>
    </xf>
    <xf numFmtId="0" fontId="26" fillId="7" borderId="31" xfId="0" applyFont="1" applyFill="1" applyBorder="1"/>
    <xf numFmtId="0" fontId="26" fillId="7" borderId="6" xfId="0" applyFont="1" applyFill="1" applyBorder="1"/>
    <xf numFmtId="1" fontId="26" fillId="7" borderId="22" xfId="0" applyNumberFormat="1" applyFont="1" applyFill="1" applyBorder="1"/>
    <xf numFmtId="2" fontId="26" fillId="7" borderId="6" xfId="0" applyNumberFormat="1" applyFont="1" applyFill="1" applyBorder="1"/>
    <xf numFmtId="2" fontId="26" fillId="7" borderId="7" xfId="0" applyNumberFormat="1" applyFont="1" applyFill="1" applyBorder="1"/>
    <xf numFmtId="0" fontId="26" fillId="0" borderId="63" xfId="0" applyFont="1" applyBorder="1"/>
    <xf numFmtId="0" fontId="26" fillId="0" borderId="55" xfId="0" applyFont="1" applyBorder="1"/>
    <xf numFmtId="0" fontId="26" fillId="0" borderId="56" xfId="0" applyFont="1" applyBorder="1"/>
    <xf numFmtId="0" fontId="26" fillId="0" borderId="57" xfId="0" applyFont="1" applyBorder="1"/>
    <xf numFmtId="0" fontId="24" fillId="0" borderId="62" xfId="0" applyFont="1" applyBorder="1"/>
    <xf numFmtId="1" fontId="24" fillId="0" borderId="25" xfId="0" applyNumberFormat="1" applyFont="1" applyBorder="1"/>
    <xf numFmtId="2" fontId="24" fillId="7" borderId="28" xfId="0" applyNumberFormat="1" applyFont="1" applyFill="1" applyBorder="1"/>
    <xf numFmtId="0" fontId="24" fillId="7" borderId="41" xfId="0" applyFont="1" applyFill="1" applyBorder="1"/>
    <xf numFmtId="1" fontId="24" fillId="7" borderId="0" xfId="0" applyNumberFormat="1" applyFont="1" applyFill="1"/>
    <xf numFmtId="2" fontId="24" fillId="7" borderId="46" xfId="0" applyNumberFormat="1" applyFont="1" applyFill="1" applyBorder="1"/>
    <xf numFmtId="2" fontId="24" fillId="7" borderId="53" xfId="0" applyNumberFormat="1" applyFont="1" applyFill="1" applyBorder="1"/>
    <xf numFmtId="0" fontId="24" fillId="0" borderId="8" xfId="0" applyFont="1" applyBorder="1"/>
    <xf numFmtId="1" fontId="24" fillId="0" borderId="3" xfId="0" applyNumberFormat="1" applyFont="1" applyBorder="1"/>
    <xf numFmtId="2" fontId="24" fillId="0" borderId="9" xfId="0" applyNumberFormat="1" applyFont="1" applyBorder="1"/>
    <xf numFmtId="0" fontId="26" fillId="0" borderId="0" xfId="0" applyFont="1"/>
    <xf numFmtId="0" fontId="11" fillId="4" borderId="3" xfId="0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26" fillId="0" borderId="0" xfId="0" applyFont="1" applyAlignment="1">
      <alignment wrapText="1"/>
    </xf>
    <xf numFmtId="0" fontId="24" fillId="0" borderId="55" xfId="0" applyFont="1" applyBorder="1" applyAlignment="1">
      <alignment horizontal="left" wrapText="1"/>
    </xf>
    <xf numFmtId="0" fontId="24" fillId="0" borderId="56" xfId="0" applyFont="1" applyBorder="1" applyAlignment="1">
      <alignment horizontal="left" wrapText="1"/>
    </xf>
    <xf numFmtId="0" fontId="24" fillId="0" borderId="66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8" fillId="9" borderId="2" xfId="0" applyFont="1" applyFill="1" applyBorder="1" applyAlignment="1">
      <alignment horizontal="center" wrapText="1"/>
    </xf>
    <xf numFmtId="0" fontId="26" fillId="7" borderId="67" xfId="0" applyFont="1" applyFill="1" applyBorder="1" applyAlignment="1">
      <alignment horizontal="left" wrapText="1"/>
    </xf>
    <xf numFmtId="0" fontId="26" fillId="7" borderId="68" xfId="0" applyFont="1" applyFill="1" applyBorder="1" applyAlignment="1">
      <alignment horizontal="left" wrapText="1"/>
    </xf>
    <xf numFmtId="0" fontId="26" fillId="7" borderId="68" xfId="0" applyFont="1" applyFill="1" applyBorder="1" applyAlignment="1">
      <alignment wrapText="1"/>
    </xf>
    <xf numFmtId="17" fontId="24" fillId="9" borderId="4" xfId="0" applyNumberFormat="1" applyFont="1" applyFill="1" applyBorder="1" applyAlignment="1">
      <alignment horizontal="center" wrapText="1"/>
    </xf>
    <xf numFmtId="0" fontId="26" fillId="0" borderId="48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7" fontId="24" fillId="9" borderId="6" xfId="0" applyNumberFormat="1" applyFont="1" applyFill="1" applyBorder="1" applyAlignment="1">
      <alignment horizontal="center" wrapText="1"/>
    </xf>
    <xf numFmtId="0" fontId="26" fillId="0" borderId="44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17" fontId="24" fillId="9" borderId="8" xfId="0" applyNumberFormat="1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8" xfId="0" applyFont="1" applyBorder="1" applyAlignment="1">
      <alignment wrapText="1"/>
    </xf>
    <xf numFmtId="0" fontId="24" fillId="5" borderId="55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7" borderId="19" xfId="0" applyFont="1" applyFill="1" applyBorder="1"/>
    <xf numFmtId="0" fontId="26" fillId="7" borderId="47" xfId="0" applyFont="1" applyFill="1" applyBorder="1"/>
    <xf numFmtId="0" fontId="26" fillId="7" borderId="26" xfId="0" applyFont="1" applyFill="1" applyBorder="1"/>
    <xf numFmtId="0" fontId="26" fillId="0" borderId="48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/>
    <xf numFmtId="0" fontId="26" fillId="0" borderId="44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Font="1" applyBorder="1"/>
    <xf numFmtId="0" fontId="26" fillId="0" borderId="49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8" xfId="0" applyFont="1" applyBorder="1"/>
    <xf numFmtId="0" fontId="24" fillId="5" borderId="10" xfId="0" applyFont="1" applyFill="1" applyBorder="1" applyAlignment="1">
      <alignment horizontal="right" vertical="center" wrapText="1"/>
    </xf>
    <xf numFmtId="0" fontId="24" fillId="5" borderId="69" xfId="0" applyFont="1" applyFill="1" applyBorder="1" applyAlignment="1">
      <alignment horizontal="center"/>
    </xf>
    <xf numFmtId="0" fontId="24" fillId="5" borderId="50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6" fillId="7" borderId="68" xfId="0" applyFont="1" applyFill="1" applyBorder="1"/>
    <xf numFmtId="0" fontId="28" fillId="4" borderId="3" xfId="0" applyFont="1" applyFill="1" applyBorder="1" applyAlignment="1">
      <alignment horizontal="right" vertical="center" wrapText="1"/>
    </xf>
    <xf numFmtId="0" fontId="24" fillId="10" borderId="55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8" fillId="0" borderId="16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3" fontId="8" fillId="0" borderId="59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29" fillId="5" borderId="3" xfId="0" applyFont="1" applyFill="1" applyBorder="1" applyAlignment="1">
      <alignment horizontal="left" vertical="center" wrapText="1"/>
    </xf>
    <xf numFmtId="17" fontId="29" fillId="5" borderId="3" xfId="0" applyNumberFormat="1" applyFont="1" applyFill="1" applyBorder="1" applyAlignment="1">
      <alignment horizontal="center" vertical="center" wrapText="1"/>
    </xf>
    <xf numFmtId="1" fontId="29" fillId="5" borderId="29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7" fillId="0" borderId="4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1" fontId="27" fillId="0" borderId="54" xfId="0" applyNumberFormat="1" applyFont="1" applyBorder="1" applyAlignment="1">
      <alignment horizontal="center" vertical="center"/>
    </xf>
    <xf numFmtId="165" fontId="27" fillId="0" borderId="4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1" fillId="7" borderId="70" xfId="0" applyFont="1" applyFill="1" applyBorder="1" applyAlignment="1">
      <alignment horizontal="center" vertical="center" wrapText="1"/>
    </xf>
    <xf numFmtId="17" fontId="31" fillId="0" borderId="68" xfId="0" applyNumberFormat="1" applyFont="1" applyBorder="1" applyAlignment="1">
      <alignment horizontal="center" vertical="center" wrapText="1"/>
    </xf>
    <xf numFmtId="17" fontId="9" fillId="0" borderId="51" xfId="0" applyNumberFormat="1" applyFont="1" applyBorder="1" applyAlignment="1">
      <alignment horizontal="center" vertical="center" wrapText="1"/>
    </xf>
    <xf numFmtId="0" fontId="27" fillId="0" borderId="6" xfId="10" applyFont="1" applyBorder="1" applyAlignment="1" applyProtection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/>
    </xf>
    <xf numFmtId="0" fontId="0" fillId="7" borderId="71" xfId="0" applyFill="1" applyBorder="1"/>
    <xf numFmtId="0" fontId="27" fillId="0" borderId="4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0" fontId="31" fillId="5" borderId="71" xfId="0" applyFont="1" applyFill="1" applyBorder="1" applyAlignment="1">
      <alignment horizontal="justify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2" fillId="0" borderId="0" xfId="0" applyFont="1" applyAlignment="1">
      <alignment horizontal="center" vertical="center"/>
    </xf>
    <xf numFmtId="0" fontId="31" fillId="13" borderId="76" xfId="0" applyFont="1" applyFill="1" applyBorder="1" applyAlignment="1">
      <alignment horizontal="justify" vertical="center" wrapText="1"/>
    </xf>
    <xf numFmtId="0" fontId="31" fillId="13" borderId="77" xfId="0" applyFont="1" applyFill="1" applyBorder="1" applyAlignment="1">
      <alignment horizontal="center" vertical="center" wrapText="1"/>
    </xf>
    <xf numFmtId="0" fontId="31" fillId="13" borderId="78" xfId="0" applyFont="1" applyFill="1" applyBorder="1" applyAlignment="1">
      <alignment horizontal="center" vertical="center" wrapText="1"/>
    </xf>
    <xf numFmtId="0" fontId="33" fillId="13" borderId="79" xfId="0" applyFont="1" applyFill="1" applyBorder="1" applyAlignment="1">
      <alignment horizontal="right" vertical="center" wrapText="1"/>
    </xf>
    <xf numFmtId="0" fontId="33" fillId="13" borderId="80" xfId="0" applyFont="1" applyFill="1" applyBorder="1" applyAlignment="1">
      <alignment horizontal="center" vertical="center" wrapText="1"/>
    </xf>
    <xf numFmtId="0" fontId="33" fillId="13" borderId="81" xfId="0" applyFont="1" applyFill="1" applyBorder="1" applyAlignment="1">
      <alignment horizontal="center" vertical="center" wrapText="1"/>
    </xf>
    <xf numFmtId="0" fontId="33" fillId="13" borderId="82" xfId="0" applyFont="1" applyFill="1" applyBorder="1" applyAlignment="1">
      <alignment horizontal="center" vertical="center" wrapText="1"/>
    </xf>
    <xf numFmtId="0" fontId="33" fillId="13" borderId="83" xfId="0" applyFont="1" applyFill="1" applyBorder="1" applyAlignment="1">
      <alignment horizontal="center" vertical="center" wrapText="1"/>
    </xf>
    <xf numFmtId="0" fontId="33" fillId="13" borderId="84" xfId="0" applyFont="1" applyFill="1" applyBorder="1" applyAlignment="1">
      <alignment horizontal="right" vertical="center" wrapText="1"/>
    </xf>
    <xf numFmtId="0" fontId="33" fillId="13" borderId="85" xfId="0" applyFont="1" applyFill="1" applyBorder="1" applyAlignment="1">
      <alignment horizontal="center" vertical="center" wrapText="1"/>
    </xf>
    <xf numFmtId="0" fontId="33" fillId="13" borderId="86" xfId="0" applyFont="1" applyFill="1" applyBorder="1" applyAlignment="1">
      <alignment horizontal="center" vertical="center" wrapText="1"/>
    </xf>
    <xf numFmtId="0" fontId="33" fillId="13" borderId="87" xfId="0" applyFont="1" applyFill="1" applyBorder="1" applyAlignment="1">
      <alignment horizontal="center" vertical="center" wrapText="1"/>
    </xf>
    <xf numFmtId="0" fontId="33" fillId="13" borderId="88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0" fillId="7" borderId="70" xfId="0" applyFill="1" applyBorder="1"/>
    <xf numFmtId="0" fontId="0" fillId="7" borderId="68" xfId="0" applyFill="1" applyBorder="1"/>
    <xf numFmtId="0" fontId="0" fillId="7" borderId="51" xfId="0" applyFill="1" applyBorder="1"/>
    <xf numFmtId="0" fontId="27" fillId="0" borderId="6" xfId="10" applyFont="1" applyBorder="1" applyAlignment="1" applyProtection="1">
      <alignment horizontal="center" vertical="center" wrapText="1"/>
    </xf>
    <xf numFmtId="0" fontId="31" fillId="18" borderId="91" xfId="0" applyFont="1" applyFill="1" applyBorder="1" applyAlignment="1">
      <alignment horizontal="justify" vertical="center" wrapText="1"/>
    </xf>
    <xf numFmtId="0" fontId="31" fillId="18" borderId="92" xfId="0" applyFont="1" applyFill="1" applyBorder="1" applyAlignment="1">
      <alignment horizontal="center" vertical="center" wrapText="1"/>
    </xf>
    <xf numFmtId="0" fontId="31" fillId="18" borderId="93" xfId="0" applyFont="1" applyFill="1" applyBorder="1" applyAlignment="1">
      <alignment horizontal="center" vertical="center" wrapText="1"/>
    </xf>
    <xf numFmtId="0" fontId="31" fillId="18" borderId="94" xfId="0" applyFont="1" applyFill="1" applyBorder="1" applyAlignment="1">
      <alignment horizontal="center" vertical="center" wrapText="1"/>
    </xf>
    <xf numFmtId="0" fontId="31" fillId="19" borderId="95" xfId="0" applyFont="1" applyFill="1" applyBorder="1" applyAlignment="1">
      <alignment horizontal="justify" vertical="center" wrapText="1"/>
    </xf>
    <xf numFmtId="0" fontId="31" fillId="19" borderId="93" xfId="0" applyFont="1" applyFill="1" applyBorder="1" applyAlignment="1">
      <alignment horizontal="center" vertical="center" wrapText="1"/>
    </xf>
    <xf numFmtId="0" fontId="31" fillId="19" borderId="94" xfId="0" applyFont="1" applyFill="1" applyBorder="1" applyAlignment="1">
      <alignment horizontal="center" vertical="center" wrapText="1"/>
    </xf>
    <xf numFmtId="0" fontId="33" fillId="19" borderId="96" xfId="0" applyFont="1" applyFill="1" applyBorder="1" applyAlignment="1">
      <alignment horizontal="right" vertical="center" wrapText="1"/>
    </xf>
    <xf numFmtId="0" fontId="33" fillId="19" borderId="97" xfId="0" applyFont="1" applyFill="1" applyBorder="1" applyAlignment="1">
      <alignment horizontal="center" vertical="center" wrapText="1"/>
    </xf>
    <xf numFmtId="0" fontId="33" fillId="19" borderId="98" xfId="0" applyFont="1" applyFill="1" applyBorder="1" applyAlignment="1">
      <alignment horizontal="center" vertical="center" wrapText="1"/>
    </xf>
    <xf numFmtId="0" fontId="33" fillId="19" borderId="99" xfId="0" applyFont="1" applyFill="1" applyBorder="1" applyAlignment="1">
      <alignment horizontal="center" vertical="center" wrapText="1"/>
    </xf>
    <xf numFmtId="0" fontId="33" fillId="19" borderId="100" xfId="0" applyFont="1" applyFill="1" applyBorder="1" applyAlignment="1">
      <alignment horizontal="center" vertical="center" wrapText="1"/>
    </xf>
    <xf numFmtId="0" fontId="33" fillId="19" borderId="101" xfId="0" applyFont="1" applyFill="1" applyBorder="1" applyAlignment="1">
      <alignment horizontal="right" vertical="center" wrapText="1"/>
    </xf>
    <xf numFmtId="0" fontId="33" fillId="19" borderId="102" xfId="0" applyFont="1" applyFill="1" applyBorder="1" applyAlignment="1">
      <alignment horizontal="center" vertical="center" wrapText="1"/>
    </xf>
    <xf numFmtId="0" fontId="33" fillId="19" borderId="103" xfId="0" applyFont="1" applyFill="1" applyBorder="1" applyAlignment="1">
      <alignment horizontal="center" vertical="center" wrapText="1"/>
    </xf>
    <xf numFmtId="0" fontId="33" fillId="19" borderId="104" xfId="0" applyFont="1" applyFill="1" applyBorder="1" applyAlignment="1">
      <alignment horizontal="center" vertical="center" wrapText="1"/>
    </xf>
    <xf numFmtId="0" fontId="31" fillId="18" borderId="105" xfId="0" applyFont="1" applyFill="1" applyBorder="1" applyAlignment="1">
      <alignment horizontal="justify" vertical="center" wrapText="1"/>
    </xf>
    <xf numFmtId="0" fontId="34" fillId="18" borderId="106" xfId="0" applyFont="1" applyFill="1" applyBorder="1" applyAlignment="1">
      <alignment vertical="center" wrapText="1"/>
    </xf>
    <xf numFmtId="0" fontId="0" fillId="18" borderId="107" xfId="0" applyFill="1" applyBorder="1" applyAlignment="1">
      <alignment horizontal="center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9" xfId="0" applyFill="1" applyBorder="1"/>
    <xf numFmtId="0" fontId="0" fillId="7" borderId="52" xfId="0" applyFill="1" applyBorder="1"/>
    <xf numFmtId="0" fontId="31" fillId="21" borderId="111" xfId="0" applyFont="1" applyFill="1" applyBorder="1" applyAlignment="1">
      <alignment horizontal="justify" vertical="center" wrapText="1"/>
    </xf>
    <xf numFmtId="0" fontId="31" fillId="21" borderId="112" xfId="0" applyFont="1" applyFill="1" applyBorder="1" applyAlignment="1">
      <alignment horizontal="center" vertical="center" wrapText="1"/>
    </xf>
    <xf numFmtId="0" fontId="31" fillId="21" borderId="113" xfId="0" applyFont="1" applyFill="1" applyBorder="1" applyAlignment="1">
      <alignment horizontal="center" vertical="center" wrapText="1"/>
    </xf>
    <xf numFmtId="0" fontId="31" fillId="21" borderId="114" xfId="0" applyFont="1" applyFill="1" applyBorder="1" applyAlignment="1">
      <alignment horizontal="center" vertical="center" wrapText="1"/>
    </xf>
    <xf numFmtId="0" fontId="31" fillId="22" borderId="115" xfId="0" applyFont="1" applyFill="1" applyBorder="1" applyAlignment="1">
      <alignment horizontal="justify" vertical="center" wrapText="1"/>
    </xf>
    <xf numFmtId="0" fontId="31" fillId="22" borderId="114" xfId="0" applyFont="1" applyFill="1" applyBorder="1" applyAlignment="1">
      <alignment horizontal="center" vertical="center" wrapText="1"/>
    </xf>
    <xf numFmtId="0" fontId="31" fillId="22" borderId="116" xfId="0" applyFont="1" applyFill="1" applyBorder="1" applyAlignment="1">
      <alignment horizontal="center" vertical="center" wrapText="1"/>
    </xf>
    <xf numFmtId="0" fontId="33" fillId="22" borderId="117" xfId="0" applyFont="1" applyFill="1" applyBorder="1" applyAlignment="1">
      <alignment horizontal="right" vertical="center" wrapText="1"/>
    </xf>
    <xf numFmtId="0" fontId="33" fillId="22" borderId="118" xfId="0" applyFont="1" applyFill="1" applyBorder="1" applyAlignment="1">
      <alignment horizontal="center" vertical="center" wrapText="1"/>
    </xf>
    <xf numFmtId="0" fontId="33" fillId="22" borderId="119" xfId="0" applyFont="1" applyFill="1" applyBorder="1" applyAlignment="1">
      <alignment horizontal="center" vertical="center" wrapText="1"/>
    </xf>
    <xf numFmtId="0" fontId="33" fillId="22" borderId="120" xfId="0" applyFont="1" applyFill="1" applyBorder="1" applyAlignment="1">
      <alignment horizontal="center" vertical="center" wrapText="1"/>
    </xf>
    <xf numFmtId="0" fontId="33" fillId="22" borderId="121" xfId="0" applyFont="1" applyFill="1" applyBorder="1" applyAlignment="1">
      <alignment horizontal="center" vertical="center" wrapText="1"/>
    </xf>
    <xf numFmtId="0" fontId="33" fillId="22" borderId="122" xfId="0" applyFont="1" applyFill="1" applyBorder="1" applyAlignment="1">
      <alignment horizontal="right" vertical="center" wrapText="1"/>
    </xf>
    <xf numFmtId="0" fontId="33" fillId="22" borderId="123" xfId="0" applyFont="1" applyFill="1" applyBorder="1" applyAlignment="1">
      <alignment horizontal="center" vertical="center" wrapText="1"/>
    </xf>
    <xf numFmtId="0" fontId="33" fillId="22" borderId="124" xfId="0" applyFont="1" applyFill="1" applyBorder="1" applyAlignment="1">
      <alignment horizontal="center" vertical="center" wrapText="1"/>
    </xf>
    <xf numFmtId="0" fontId="33" fillId="22" borderId="125" xfId="0" applyFont="1" applyFill="1" applyBorder="1" applyAlignment="1">
      <alignment horizontal="center" vertical="center" wrapText="1"/>
    </xf>
    <xf numFmtId="0" fontId="33" fillId="22" borderId="126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wrapText="1"/>
    </xf>
    <xf numFmtId="0" fontId="27" fillId="0" borderId="6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center"/>
    </xf>
    <xf numFmtId="0" fontId="27" fillId="0" borderId="6" xfId="0" applyFont="1" applyBorder="1" applyAlignment="1">
      <alignment horizontal="center"/>
    </xf>
    <xf numFmtId="1" fontId="27" fillId="0" borderId="25" xfId="0" applyNumberFormat="1" applyFont="1" applyBorder="1" applyAlignment="1">
      <alignment horizontal="center" vertical="center"/>
    </xf>
    <xf numFmtId="165" fontId="27" fillId="0" borderId="2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" fontId="27" fillId="0" borderId="59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5" borderId="10" xfId="0" applyFont="1" applyFill="1" applyBorder="1" applyAlignment="1">
      <alignment horizontal="righ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1" fontId="29" fillId="5" borderId="59" xfId="0" applyNumberFormat="1" applyFont="1" applyFill="1" applyBorder="1" applyAlignment="1">
      <alignment horizontal="center" vertical="center"/>
    </xf>
    <xf numFmtId="165" fontId="29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9" fillId="23" borderId="127" xfId="0" applyFont="1" applyFill="1" applyBorder="1" applyAlignment="1">
      <alignment wrapText="1"/>
    </xf>
    <xf numFmtId="0" fontId="9" fillId="23" borderId="127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28" xfId="0" applyFont="1" applyFill="1" applyBorder="1" applyAlignment="1">
      <alignment horizontal="left" wrapText="1"/>
    </xf>
    <xf numFmtId="0" fontId="9" fillId="23" borderId="128" xfId="0" applyFont="1" applyFill="1" applyBorder="1"/>
    <xf numFmtId="0" fontId="8" fillId="0" borderId="130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29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" fontId="36" fillId="0" borderId="0" xfId="0" applyNumberFormat="1" applyFont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2" fontId="36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2" fontId="39" fillId="0" borderId="0" xfId="0" applyNumberFormat="1" applyFont="1"/>
    <xf numFmtId="0" fontId="7" fillId="5" borderId="129" xfId="0" applyFont="1" applyFill="1" applyBorder="1" applyAlignment="1">
      <alignment horizontal="right"/>
    </xf>
    <xf numFmtId="0" fontId="40" fillId="0" borderId="0" xfId="0" applyFont="1" applyAlignment="1">
      <alignment wrapText="1"/>
    </xf>
    <xf numFmtId="0" fontId="41" fillId="0" borderId="0" xfId="0" applyFont="1" applyAlignment="1">
      <alignment wrapText="1"/>
    </xf>
    <xf numFmtId="3" fontId="39" fillId="0" borderId="0" xfId="0" applyNumberFormat="1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41" fillId="0" borderId="0" xfId="0" applyFont="1"/>
    <xf numFmtId="0" fontId="40" fillId="0" borderId="0" xfId="0" applyFont="1"/>
    <xf numFmtId="1" fontId="40" fillId="0" borderId="0" xfId="0" applyNumberFormat="1" applyFont="1"/>
    <xf numFmtId="2" fontId="40" fillId="0" borderId="0" xfId="0" applyNumberFormat="1" applyFont="1"/>
    <xf numFmtId="0" fontId="40" fillId="0" borderId="0" xfId="0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0" fillId="24" borderId="0" xfId="0" applyFill="1"/>
    <xf numFmtId="0" fontId="41" fillId="0" borderId="0" xfId="0" applyFont="1" applyAlignment="1">
      <alignment horizontal="center" vertical="center" wrapText="1"/>
    </xf>
    <xf numFmtId="1" fontId="39" fillId="0" borderId="0" xfId="0" applyNumberFormat="1" applyFont="1"/>
    <xf numFmtId="0" fontId="41" fillId="0" borderId="0" xfId="0" applyFont="1" applyAlignment="1">
      <alignment horizontal="center" vertical="center"/>
    </xf>
    <xf numFmtId="0" fontId="45" fillId="0" borderId="0" xfId="0" applyFont="1"/>
    <xf numFmtId="17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41" fillId="0" borderId="0" xfId="0" applyFont="1" applyAlignment="1">
      <alignment horizontal="center" wrapText="1"/>
    </xf>
    <xf numFmtId="1" fontId="8" fillId="0" borderId="21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0" fontId="8" fillId="0" borderId="130" xfId="4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/>
    </xf>
    <xf numFmtId="0" fontId="40" fillId="0" borderId="0" xfId="4" applyFont="1"/>
    <xf numFmtId="0" fontId="8" fillId="0" borderId="133" xfId="0" applyFont="1" applyBorder="1" applyAlignment="1">
      <alignment horizontal="left"/>
    </xf>
    <xf numFmtId="0" fontId="8" fillId="0" borderId="134" xfId="0" applyFont="1" applyBorder="1" applyAlignment="1">
      <alignment horizontal="left"/>
    </xf>
    <xf numFmtId="0" fontId="8" fillId="0" borderId="135" xfId="0" applyFont="1" applyBorder="1" applyAlignment="1">
      <alignment horizontal="center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2" fontId="8" fillId="0" borderId="136" xfId="0" applyNumberFormat="1" applyFont="1" applyBorder="1" applyAlignment="1">
      <alignment horizontal="center"/>
    </xf>
    <xf numFmtId="0" fontId="7" fillId="0" borderId="13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26" borderId="140" xfId="0" applyFont="1" applyFill="1" applyBorder="1" applyAlignment="1">
      <alignment horizontal="center"/>
    </xf>
    <xf numFmtId="0" fontId="48" fillId="27" borderId="131" xfId="0" applyFont="1" applyFill="1" applyBorder="1" applyAlignment="1">
      <alignment horizontal="center"/>
    </xf>
    <xf numFmtId="0" fontId="48" fillId="27" borderId="141" xfId="0" applyFont="1" applyFill="1" applyBorder="1" applyAlignment="1">
      <alignment horizontal="center"/>
    </xf>
    <xf numFmtId="0" fontId="48" fillId="27" borderId="132" xfId="0" applyFont="1" applyFill="1" applyBorder="1" applyAlignment="1">
      <alignment horizontal="center"/>
    </xf>
    <xf numFmtId="0" fontId="8" fillId="0" borderId="142" xfId="0" applyFont="1" applyBorder="1" applyAlignment="1"/>
    <xf numFmtId="0" fontId="0" fillId="0" borderId="142" xfId="0" applyBorder="1" applyAlignment="1">
      <alignment horizontal="center"/>
    </xf>
    <xf numFmtId="0" fontId="0" fillId="0" borderId="130" xfId="0" applyBorder="1" applyAlignment="1">
      <alignment horizontal="left"/>
    </xf>
    <xf numFmtId="0" fontId="0" fillId="0" borderId="130" xfId="0" applyBorder="1" applyAlignment="1">
      <alignment horizontal="center"/>
    </xf>
    <xf numFmtId="0" fontId="8" fillId="0" borderId="130" xfId="0" applyFont="1" applyBorder="1" applyAlignment="1"/>
    <xf numFmtId="0" fontId="8" fillId="0" borderId="143" xfId="0" applyFont="1" applyBorder="1" applyAlignment="1"/>
    <xf numFmtId="0" fontId="0" fillId="0" borderId="143" xfId="0" applyBorder="1" applyAlignment="1">
      <alignment horizontal="center"/>
    </xf>
    <xf numFmtId="0" fontId="49" fillId="0" borderId="130" xfId="0" applyFont="1" applyBorder="1" applyAlignment="1">
      <alignment horizontal="left"/>
    </xf>
    <xf numFmtId="0" fontId="8" fillId="0" borderId="130" xfId="0" applyFont="1" applyFill="1" applyBorder="1" applyAlignment="1"/>
    <xf numFmtId="0" fontId="7" fillId="26" borderId="142" xfId="0" applyFont="1" applyFill="1" applyBorder="1" applyAlignment="1">
      <alignment horizontal="center"/>
    </xf>
    <xf numFmtId="0" fontId="48" fillId="27" borderId="142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wrapText="1"/>
    </xf>
    <xf numFmtId="17" fontId="42" fillId="0" borderId="0" xfId="0" applyNumberFormat="1" applyFont="1" applyFill="1" applyBorder="1"/>
    <xf numFmtId="17" fontId="42" fillId="0" borderId="0" xfId="0" applyNumberFormat="1" applyFont="1" applyFill="1" applyBorder="1" applyAlignment="1">
      <alignment horizontal="center" vertical="center"/>
    </xf>
    <xf numFmtId="17" fontId="42" fillId="0" borderId="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167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/>
    <xf numFmtId="0" fontId="42" fillId="0" borderId="0" xfId="0" applyFont="1" applyFill="1" applyBorder="1" applyAlignment="1">
      <alignment horizontal="center"/>
    </xf>
    <xf numFmtId="1" fontId="42" fillId="0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29" fillId="5" borderId="40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9" fillId="5" borderId="129" xfId="0" applyFont="1" applyFill="1" applyBorder="1" applyAlignment="1">
      <alignment horizontal="center" vertical="center"/>
    </xf>
    <xf numFmtId="0" fontId="39" fillId="0" borderId="0" xfId="0" applyFont="1" applyFill="1"/>
    <xf numFmtId="1" fontId="39" fillId="0" borderId="0" xfId="0" applyNumberFormat="1" applyFont="1" applyFill="1"/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165" fontId="51" fillId="0" borderId="0" xfId="0" applyNumberFormat="1" applyFont="1" applyAlignment="1">
      <alignment horizontal="center" vertical="center"/>
    </xf>
    <xf numFmtId="0" fontId="38" fillId="0" borderId="0" xfId="0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20" xfId="0" applyFont="1" applyBorder="1" applyAlignment="1">
      <alignment horizontal="center" vertical="center"/>
    </xf>
    <xf numFmtId="0" fontId="38" fillId="0" borderId="6" xfId="0" applyFont="1" applyBorder="1"/>
    <xf numFmtId="0" fontId="38" fillId="0" borderId="20" xfId="0" applyFont="1" applyFill="1" applyBorder="1" applyAlignment="1">
      <alignment horizontal="center"/>
    </xf>
    <xf numFmtId="3" fontId="52" fillId="0" borderId="0" xfId="0" applyNumberFormat="1" applyFont="1" applyAlignment="1">
      <alignment horizontal="center" vertical="center"/>
    </xf>
    <xf numFmtId="165" fontId="40" fillId="0" borderId="0" xfId="0" applyNumberFormat="1" applyFont="1"/>
    <xf numFmtId="3" fontId="40" fillId="0" borderId="0" xfId="0" applyNumberFormat="1" applyFont="1"/>
    <xf numFmtId="0" fontId="27" fillId="0" borderId="49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38" fillId="0" borderId="41" xfId="0" applyFont="1" applyBorder="1"/>
    <xf numFmtId="0" fontId="38" fillId="0" borderId="19" xfId="0" applyFont="1" applyBorder="1" applyAlignment="1">
      <alignment horizontal="center" vertical="center"/>
    </xf>
    <xf numFmtId="0" fontId="38" fillId="0" borderId="52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5" fillId="0" borderId="146" xfId="0" applyFont="1" applyBorder="1" applyAlignment="1">
      <alignment horizontal="center"/>
    </xf>
    <xf numFmtId="0" fontId="35" fillId="0" borderId="147" xfId="0" applyFont="1" applyBorder="1" applyAlignment="1">
      <alignment horizontal="center"/>
    </xf>
    <xf numFmtId="0" fontId="35" fillId="0" borderId="148" xfId="0" applyFont="1" applyBorder="1" applyAlignment="1">
      <alignment horizontal="center"/>
    </xf>
    <xf numFmtId="1" fontId="9" fillId="0" borderId="146" xfId="0" applyNumberFormat="1" applyFont="1" applyBorder="1" applyAlignment="1">
      <alignment horizontal="center" vertical="center"/>
    </xf>
    <xf numFmtId="1" fontId="9" fillId="0" borderId="147" xfId="0" applyNumberFormat="1" applyFont="1" applyBorder="1" applyAlignment="1">
      <alignment horizontal="center" vertical="center"/>
    </xf>
    <xf numFmtId="1" fontId="9" fillId="0" borderId="148" xfId="0" applyNumberFormat="1" applyFont="1" applyBorder="1" applyAlignment="1">
      <alignment horizontal="center" vertical="center"/>
    </xf>
    <xf numFmtId="0" fontId="8" fillId="0" borderId="151" xfId="0" applyFont="1" applyBorder="1" applyAlignment="1">
      <alignment horizontal="center"/>
    </xf>
    <xf numFmtId="0" fontId="7" fillId="5" borderId="152" xfId="0" applyFont="1" applyFill="1" applyBorder="1" applyAlignment="1">
      <alignment horizontal="center" vertical="center"/>
    </xf>
    <xf numFmtId="17" fontId="7" fillId="5" borderId="153" xfId="0" applyNumberFormat="1" applyFont="1" applyFill="1" applyBorder="1" applyAlignment="1">
      <alignment horizontal="center" vertical="center"/>
    </xf>
    <xf numFmtId="17" fontId="7" fillId="5" borderId="154" xfId="0" applyNumberFormat="1" applyFont="1" applyFill="1" applyBorder="1" applyAlignment="1">
      <alignment horizontal="center" vertical="center"/>
    </xf>
    <xf numFmtId="17" fontId="7" fillId="5" borderId="155" xfId="0" applyNumberFormat="1" applyFont="1" applyFill="1" applyBorder="1" applyAlignment="1">
      <alignment horizontal="center" vertical="center"/>
    </xf>
    <xf numFmtId="17" fontId="7" fillId="5" borderId="156" xfId="0" applyNumberFormat="1" applyFont="1" applyFill="1" applyBorder="1" applyAlignment="1">
      <alignment horizontal="center" vertical="center"/>
    </xf>
    <xf numFmtId="17" fontId="7" fillId="5" borderId="157" xfId="0" applyNumberFormat="1" applyFont="1" applyFill="1" applyBorder="1" applyAlignment="1">
      <alignment horizontal="center" vertical="center"/>
    </xf>
    <xf numFmtId="1" fontId="21" fillId="5" borderId="158" xfId="0" applyNumberFormat="1" applyFont="1" applyFill="1" applyBorder="1" applyAlignment="1">
      <alignment horizontal="center" vertical="center" wrapText="1"/>
    </xf>
    <xf numFmtId="2" fontId="7" fillId="5" borderId="159" xfId="0" applyNumberFormat="1" applyFont="1" applyFill="1" applyBorder="1" applyAlignment="1">
      <alignment horizontal="center" vertical="center"/>
    </xf>
    <xf numFmtId="0" fontId="7" fillId="5" borderId="161" xfId="0" applyFont="1" applyFill="1" applyBorder="1" applyAlignment="1">
      <alignment horizontal="center" vertical="center"/>
    </xf>
    <xf numFmtId="1" fontId="7" fillId="5" borderId="161" xfId="0" applyNumberFormat="1" applyFont="1" applyFill="1" applyBorder="1" applyAlignment="1">
      <alignment horizontal="center" vertical="center"/>
    </xf>
    <xf numFmtId="1" fontId="7" fillId="5" borderId="160" xfId="0" applyNumberFormat="1" applyFont="1" applyFill="1" applyBorder="1" applyAlignment="1">
      <alignment horizontal="center"/>
    </xf>
    <xf numFmtId="1" fontId="7" fillId="5" borderId="162" xfId="0" applyNumberFormat="1" applyFont="1" applyFill="1" applyBorder="1" applyAlignment="1">
      <alignment horizontal="center"/>
    </xf>
    <xf numFmtId="1" fontId="7" fillId="5" borderId="150" xfId="0" applyNumberFormat="1" applyFont="1" applyFill="1" applyBorder="1" applyAlignment="1">
      <alignment horizontal="center"/>
    </xf>
    <xf numFmtId="17" fontId="53" fillId="5" borderId="56" xfId="0" applyNumberFormat="1" applyFont="1" applyFill="1" applyBorder="1" applyAlignment="1">
      <alignment horizontal="center" vertical="center"/>
    </xf>
    <xf numFmtId="17" fontId="53" fillId="5" borderId="57" xfId="0" applyNumberFormat="1" applyFont="1" applyFill="1" applyBorder="1" applyAlignment="1">
      <alignment horizontal="center" vertical="center"/>
    </xf>
    <xf numFmtId="1" fontId="53" fillId="0" borderId="4" xfId="0" applyNumberFormat="1" applyFont="1" applyBorder="1" applyAlignment="1">
      <alignment horizontal="center" vertical="center"/>
    </xf>
    <xf numFmtId="2" fontId="50" fillId="5" borderId="4" xfId="0" applyNumberFormat="1" applyFont="1" applyFill="1" applyBorder="1" applyAlignment="1">
      <alignment horizontal="center" vertical="center"/>
    </xf>
    <xf numFmtId="1" fontId="53" fillId="0" borderId="6" xfId="0" applyNumberFormat="1" applyFont="1" applyBorder="1" applyAlignment="1">
      <alignment horizontal="center" vertical="center"/>
    </xf>
    <xf numFmtId="1" fontId="53" fillId="0" borderId="22" xfId="0" applyNumberFormat="1" applyFont="1" applyBorder="1" applyAlignment="1">
      <alignment horizontal="center" vertical="center"/>
    </xf>
    <xf numFmtId="1" fontId="53" fillId="0" borderId="8" xfId="0" applyNumberFormat="1" applyFont="1" applyBorder="1" applyAlignment="1">
      <alignment horizontal="center" vertical="center"/>
    </xf>
    <xf numFmtId="1" fontId="53" fillId="0" borderId="59" xfId="0" applyNumberFormat="1" applyFont="1" applyBorder="1" applyAlignment="1">
      <alignment horizontal="center" vertical="center"/>
    </xf>
    <xf numFmtId="2" fontId="50" fillId="5" borderId="2" xfId="0" applyNumberFormat="1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horizontal="center"/>
    </xf>
    <xf numFmtId="1" fontId="53" fillId="5" borderId="11" xfId="0" applyNumberFormat="1" applyFont="1" applyFill="1" applyBorder="1" applyAlignment="1">
      <alignment horizontal="center"/>
    </xf>
    <xf numFmtId="1" fontId="53" fillId="5" borderId="50" xfId="0" applyNumberFormat="1" applyFont="1" applyFill="1" applyBorder="1" applyAlignment="1">
      <alignment horizontal="center" vertical="center"/>
    </xf>
    <xf numFmtId="1" fontId="53" fillId="5" borderId="29" xfId="0" applyNumberFormat="1" applyFont="1" applyFill="1" applyBorder="1" applyAlignment="1">
      <alignment horizontal="center" vertical="center"/>
    </xf>
    <xf numFmtId="2" fontId="50" fillId="5" borderId="129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0" fontId="8" fillId="0" borderId="0" xfId="0" applyFont="1" applyBorder="1" applyAlignment="1">
      <alignment horizontal="left"/>
    </xf>
    <xf numFmtId="2" fontId="9" fillId="5" borderId="10" xfId="4" applyNumberFormat="1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0" xfId="4" applyFont="1" applyFill="1" applyBorder="1" applyAlignment="1">
      <alignment horizontal="center" vertical="center"/>
    </xf>
    <xf numFmtId="0" fontId="50" fillId="0" borderId="6" xfId="4" applyFont="1" applyFill="1" applyBorder="1" applyAlignment="1">
      <alignment horizontal="center" vertical="center"/>
    </xf>
    <xf numFmtId="1" fontId="50" fillId="0" borderId="34" xfId="0" applyNumberFormat="1" applyFont="1" applyFill="1" applyBorder="1" applyAlignment="1">
      <alignment horizontal="center" vertical="center"/>
    </xf>
    <xf numFmtId="2" fontId="50" fillId="0" borderId="163" xfId="4" applyNumberFormat="1" applyFont="1" applyFill="1" applyBorder="1" applyAlignment="1">
      <alignment horizontal="center" vertical="center"/>
    </xf>
    <xf numFmtId="0" fontId="0" fillId="0" borderId="0" xfId="0" applyFill="1"/>
    <xf numFmtId="0" fontId="27" fillId="0" borderId="47" xfId="0" applyFont="1" applyBorder="1" applyAlignment="1">
      <alignment horizontal="center" vertical="center"/>
    </xf>
    <xf numFmtId="0" fontId="43" fillId="0" borderId="0" xfId="10" applyFont="1" applyFill="1" applyBorder="1" applyAlignment="1" applyProtection="1">
      <alignment horizontal="center" wrapText="1"/>
    </xf>
    <xf numFmtId="1" fontId="43" fillId="0" borderId="0" xfId="0" applyNumberFormat="1" applyFont="1" applyFill="1" applyBorder="1" applyAlignment="1">
      <alignment horizontal="center" vertical="center"/>
    </xf>
    <xf numFmtId="0" fontId="31" fillId="15" borderId="165" xfId="0" applyFont="1" applyFill="1" applyBorder="1" applyAlignment="1">
      <alignment horizontal="left" vertical="center"/>
    </xf>
    <xf numFmtId="0" fontId="31" fillId="15" borderId="166" xfId="0" applyFont="1" applyFill="1" applyBorder="1" applyAlignment="1">
      <alignment horizontal="center" vertical="center"/>
    </xf>
    <xf numFmtId="0" fontId="31" fillId="15" borderId="167" xfId="0" applyFont="1" applyFill="1" applyBorder="1" applyAlignment="1">
      <alignment horizontal="center" vertical="center"/>
    </xf>
    <xf numFmtId="0" fontId="31" fillId="15" borderId="167" xfId="0" applyFont="1" applyFill="1" applyBorder="1" applyAlignment="1">
      <alignment horizontal="center" vertical="center" wrapText="1"/>
    </xf>
    <xf numFmtId="0" fontId="31" fillId="15" borderId="164" xfId="0" applyFont="1" applyFill="1" applyBorder="1" applyAlignment="1">
      <alignment horizontal="center" vertical="center" wrapText="1"/>
    </xf>
    <xf numFmtId="0" fontId="31" fillId="16" borderId="168" xfId="0" applyFont="1" applyFill="1" applyBorder="1" applyAlignment="1">
      <alignment horizontal="justify" vertical="center" wrapText="1"/>
    </xf>
    <xf numFmtId="0" fontId="31" fillId="16" borderId="169" xfId="0" applyFont="1" applyFill="1" applyBorder="1" applyAlignment="1">
      <alignment horizontal="center" vertical="center" wrapText="1"/>
    </xf>
    <xf numFmtId="0" fontId="33" fillId="16" borderId="172" xfId="0" applyFont="1" applyFill="1" applyBorder="1" applyAlignment="1">
      <alignment horizontal="right" vertical="center" wrapText="1"/>
    </xf>
    <xf numFmtId="0" fontId="33" fillId="16" borderId="173" xfId="0" applyFont="1" applyFill="1" applyBorder="1" applyAlignment="1">
      <alignment horizontal="center" vertical="center" wrapText="1"/>
    </xf>
    <xf numFmtId="0" fontId="33" fillId="16" borderId="174" xfId="0" applyFont="1" applyFill="1" applyBorder="1" applyAlignment="1">
      <alignment horizontal="center" vertical="center" wrapText="1"/>
    </xf>
    <xf numFmtId="0" fontId="33" fillId="16" borderId="175" xfId="0" applyFont="1" applyFill="1" applyBorder="1" applyAlignment="1">
      <alignment horizontal="center" vertical="center" wrapText="1"/>
    </xf>
    <xf numFmtId="0" fontId="33" fillId="16" borderId="176" xfId="0" applyFont="1" applyFill="1" applyBorder="1" applyAlignment="1">
      <alignment horizontal="center" vertical="center" wrapText="1"/>
    </xf>
    <xf numFmtId="0" fontId="33" fillId="16" borderId="177" xfId="0" applyFont="1" applyFill="1" applyBorder="1" applyAlignment="1">
      <alignment horizontal="center" vertical="center" wrapText="1"/>
    </xf>
    <xf numFmtId="0" fontId="33" fillId="25" borderId="178" xfId="0" applyFont="1" applyFill="1" applyBorder="1" applyAlignment="1">
      <alignment horizontal="center" vertical="center" wrapText="1"/>
    </xf>
    <xf numFmtId="0" fontId="33" fillId="16" borderId="179" xfId="0" applyFont="1" applyFill="1" applyBorder="1" applyAlignment="1">
      <alignment horizontal="center" vertical="center" wrapText="1"/>
    </xf>
    <xf numFmtId="0" fontId="33" fillId="16" borderId="182" xfId="0" applyFont="1" applyFill="1" applyBorder="1" applyAlignment="1">
      <alignment horizontal="right" vertical="center" wrapText="1"/>
    </xf>
    <xf numFmtId="0" fontId="33" fillId="16" borderId="183" xfId="0" applyFont="1" applyFill="1" applyBorder="1" applyAlignment="1">
      <alignment horizontal="center" vertical="center" wrapText="1"/>
    </xf>
    <xf numFmtId="0" fontId="33" fillId="16" borderId="184" xfId="0" applyFont="1" applyFill="1" applyBorder="1" applyAlignment="1">
      <alignment horizontal="center" vertical="center" wrapText="1"/>
    </xf>
    <xf numFmtId="0" fontId="33" fillId="16" borderId="185" xfId="0" applyFont="1" applyFill="1" applyBorder="1" applyAlignment="1">
      <alignment horizontal="center" vertical="center" wrapText="1"/>
    </xf>
    <xf numFmtId="0" fontId="33" fillId="16" borderId="186" xfId="0" applyFont="1" applyFill="1" applyBorder="1" applyAlignment="1">
      <alignment horizontal="center" vertical="center" wrapText="1"/>
    </xf>
    <xf numFmtId="0" fontId="33" fillId="25" borderId="187" xfId="0" applyFont="1" applyFill="1" applyBorder="1" applyAlignment="1">
      <alignment horizontal="center" vertical="center" wrapText="1"/>
    </xf>
    <xf numFmtId="0" fontId="33" fillId="16" borderId="188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7" fontId="7" fillId="5" borderId="29" xfId="0" applyNumberFormat="1" applyFont="1" applyFill="1" applyBorder="1"/>
    <xf numFmtId="0" fontId="9" fillId="5" borderId="191" xfId="4" applyFont="1" applyFill="1" applyBorder="1" applyAlignment="1">
      <alignment horizontal="center" vertical="center"/>
    </xf>
    <xf numFmtId="1" fontId="9" fillId="5" borderId="192" xfId="0" applyNumberFormat="1" applyFont="1" applyFill="1" applyBorder="1" applyAlignment="1">
      <alignment horizontal="center" vertical="center"/>
    </xf>
    <xf numFmtId="2" fontId="7" fillId="5" borderId="193" xfId="0" applyNumberFormat="1" applyFont="1" applyFill="1" applyBorder="1" applyAlignment="1">
      <alignment horizontal="center" vertical="center"/>
    </xf>
    <xf numFmtId="0" fontId="25" fillId="4" borderId="129" xfId="0" applyFont="1" applyFill="1" applyBorder="1" applyAlignment="1">
      <alignment horizontal="center"/>
    </xf>
    <xf numFmtId="0" fontId="38" fillId="0" borderId="44" xfId="4" applyFont="1" applyFill="1" applyBorder="1" applyAlignment="1">
      <alignment horizontal="center" vertical="center"/>
    </xf>
    <xf numFmtId="0" fontId="0" fillId="0" borderId="0" xfId="4" applyFont="1" applyFill="1"/>
    <xf numFmtId="0" fontId="7" fillId="5" borderId="129" xfId="0" applyFont="1" applyFill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8" fillId="0" borderId="136" xfId="0" applyFont="1" applyBorder="1" applyAlignment="1">
      <alignment horizontal="center"/>
    </xf>
    <xf numFmtId="0" fontId="8" fillId="0" borderId="137" xfId="0" applyFont="1" applyBorder="1" applyAlignment="1">
      <alignment horizontal="center"/>
    </xf>
    <xf numFmtId="0" fontId="8" fillId="0" borderId="138" xfId="0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7" fillId="5" borderId="129" xfId="0" applyFont="1" applyFill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8" fillId="0" borderId="163" xfId="0" applyFont="1" applyBorder="1" applyAlignment="1">
      <alignment horizontal="center"/>
    </xf>
    <xf numFmtId="0" fontId="7" fillId="6" borderId="194" xfId="0" applyFont="1" applyFill="1" applyBorder="1" applyAlignment="1">
      <alignment horizontal="center"/>
    </xf>
    <xf numFmtId="0" fontId="38" fillId="0" borderId="163" xfId="4" applyFont="1" applyFill="1" applyBorder="1"/>
    <xf numFmtId="0" fontId="38" fillId="0" borderId="137" xfId="4" applyFont="1" applyFill="1" applyBorder="1"/>
    <xf numFmtId="0" fontId="38" fillId="0" borderId="137" xfId="0" applyFont="1" applyFill="1" applyBorder="1" applyAlignment="1">
      <alignment horizontal="left"/>
    </xf>
    <xf numFmtId="0" fontId="38" fillId="0" borderId="137" xfId="0" applyFont="1" applyFill="1" applyBorder="1"/>
    <xf numFmtId="0" fontId="38" fillId="0" borderId="137" xfId="13" applyNumberFormat="1" applyFont="1" applyFill="1" applyBorder="1" applyAlignment="1">
      <alignment horizontal="left"/>
    </xf>
    <xf numFmtId="0" fontId="38" fillId="0" borderId="195" xfId="0" applyFont="1" applyFill="1" applyBorder="1"/>
    <xf numFmtId="0" fontId="38" fillId="0" borderId="138" xfId="0" applyFont="1" applyFill="1" applyBorder="1"/>
    <xf numFmtId="0" fontId="38" fillId="0" borderId="163" xfId="0" applyFont="1" applyBorder="1" applyAlignment="1">
      <alignment horizontal="center"/>
    </xf>
    <xf numFmtId="0" fontId="38" fillId="0" borderId="137" xfId="0" applyFont="1" applyBorder="1" applyAlignment="1">
      <alignment horizontal="center"/>
    </xf>
    <xf numFmtId="0" fontId="38" fillId="0" borderId="138" xfId="0" applyFont="1" applyBorder="1" applyAlignment="1">
      <alignment horizontal="center"/>
    </xf>
    <xf numFmtId="0" fontId="7" fillId="6" borderId="196" xfId="0" applyFont="1" applyFill="1" applyBorder="1" applyAlignment="1">
      <alignment horizontal="center"/>
    </xf>
    <xf numFmtId="0" fontId="38" fillId="0" borderId="197" xfId="0" applyFont="1" applyFill="1" applyBorder="1"/>
    <xf numFmtId="0" fontId="38" fillId="0" borderId="198" xfId="0" applyFont="1" applyFill="1" applyBorder="1"/>
    <xf numFmtId="0" fontId="38" fillId="0" borderId="198" xfId="0" applyFont="1" applyFill="1" applyBorder="1" applyAlignment="1">
      <alignment horizontal="left"/>
    </xf>
    <xf numFmtId="0" fontId="9" fillId="5" borderId="150" xfId="0" applyFont="1" applyFill="1" applyBorder="1" applyAlignment="1">
      <alignment horizontal="center"/>
    </xf>
    <xf numFmtId="17" fontId="7" fillId="6" borderId="129" xfId="0" applyNumberFormat="1" applyFont="1" applyFill="1" applyBorder="1" applyAlignment="1">
      <alignment horizontal="center" vertical="center"/>
    </xf>
    <xf numFmtId="0" fontId="38" fillId="0" borderId="199" xfId="0" applyFont="1" applyFill="1" applyBorder="1"/>
    <xf numFmtId="0" fontId="9" fillId="6" borderId="129" xfId="0" applyFont="1" applyFill="1" applyBorder="1" applyAlignment="1">
      <alignment horizontal="right"/>
    </xf>
    <xf numFmtId="0" fontId="7" fillId="6" borderId="13" xfId="0" applyFont="1" applyFill="1" applyBorder="1" applyAlignment="1">
      <alignment horizontal="center" wrapText="1"/>
    </xf>
    <xf numFmtId="0" fontId="5" fillId="29" borderId="144" xfId="0" applyFont="1" applyFill="1" applyBorder="1" applyAlignment="1">
      <alignment vertical="center"/>
    </xf>
    <xf numFmtId="0" fontId="5" fillId="0" borderId="200" xfId="0" applyFont="1" applyBorder="1"/>
    <xf numFmtId="0" fontId="11" fillId="29" borderId="201" xfId="0" applyFont="1" applyFill="1" applyBorder="1" applyAlignment="1">
      <alignment vertical="center"/>
    </xf>
    <xf numFmtId="17" fontId="7" fillId="6" borderId="202" xfId="0" applyNumberFormat="1" applyFont="1" applyFill="1" applyBorder="1" applyAlignment="1">
      <alignment horizontal="center" vertical="center"/>
    </xf>
    <xf numFmtId="0" fontId="38" fillId="0" borderId="42" xfId="4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/>
    </xf>
    <xf numFmtId="0" fontId="38" fillId="0" borderId="19" xfId="4" applyFont="1" applyFill="1" applyBorder="1" applyAlignment="1">
      <alignment horizontal="center" vertical="center"/>
    </xf>
    <xf numFmtId="0" fontId="50" fillId="0" borderId="41" xfId="4" applyFont="1" applyFill="1" applyBorder="1" applyAlignment="1">
      <alignment horizontal="center" vertical="center"/>
    </xf>
    <xf numFmtId="1" fontId="50" fillId="0" borderId="43" xfId="0" applyNumberFormat="1" applyFont="1" applyFill="1" applyBorder="1" applyAlignment="1">
      <alignment horizontal="center" vertical="center"/>
    </xf>
    <xf numFmtId="2" fontId="50" fillId="0" borderId="136" xfId="4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/>
    </xf>
    <xf numFmtId="0" fontId="38" fillId="0" borderId="149" xfId="0" applyFont="1" applyFill="1" applyBorder="1"/>
    <xf numFmtId="43" fontId="0" fillId="0" borderId="0" xfId="13" applyFont="1" applyFill="1"/>
    <xf numFmtId="0" fontId="38" fillId="0" borderId="44" xfId="13" applyNumberFormat="1" applyFont="1" applyFill="1" applyBorder="1" applyAlignment="1">
      <alignment horizontal="center" vertical="center"/>
    </xf>
    <xf numFmtId="0" fontId="38" fillId="0" borderId="20" xfId="13" applyNumberFormat="1" applyFont="1" applyFill="1" applyBorder="1" applyAlignment="1">
      <alignment horizontal="center"/>
    </xf>
    <xf numFmtId="0" fontId="38" fillId="0" borderId="20" xfId="13" applyNumberFormat="1" applyFont="1" applyFill="1" applyBorder="1" applyAlignment="1">
      <alignment horizontal="center" vertical="center"/>
    </xf>
    <xf numFmtId="0" fontId="50" fillId="0" borderId="6" xfId="13" applyNumberFormat="1" applyFont="1" applyFill="1" applyBorder="1" applyAlignment="1">
      <alignment horizontal="center" vertical="center"/>
    </xf>
    <xf numFmtId="1" fontId="50" fillId="0" borderId="34" xfId="13" applyNumberFormat="1" applyFont="1" applyFill="1" applyBorder="1" applyAlignment="1">
      <alignment horizontal="center" vertical="center"/>
    </xf>
    <xf numFmtId="2" fontId="50" fillId="0" borderId="163" xfId="13" applyNumberFormat="1" applyFont="1" applyFill="1" applyBorder="1" applyAlignment="1">
      <alignment horizontal="center" vertical="center"/>
    </xf>
    <xf numFmtId="2" fontId="50" fillId="0" borderId="149" xfId="4" applyNumberFormat="1" applyFont="1" applyFill="1" applyBorder="1" applyAlignment="1">
      <alignment horizontal="center" vertical="center"/>
    </xf>
    <xf numFmtId="0" fontId="38" fillId="0" borderId="26" xfId="4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50" fillId="0" borderId="28" xfId="4" applyFont="1" applyFill="1" applyBorder="1" applyAlignment="1">
      <alignment horizontal="center" vertical="center"/>
    </xf>
    <xf numFmtId="1" fontId="50" fillId="0" borderId="45" xfId="0" applyNumberFormat="1" applyFont="1" applyFill="1" applyBorder="1" applyAlignment="1">
      <alignment horizontal="center" vertical="center"/>
    </xf>
    <xf numFmtId="2" fontId="50" fillId="0" borderId="147" xfId="4" applyNumberFormat="1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/>
    </xf>
    <xf numFmtId="2" fontId="50" fillId="0" borderId="150" xfId="4" applyNumberFormat="1" applyFont="1" applyFill="1" applyBorder="1" applyAlignment="1">
      <alignment horizontal="center" vertical="center"/>
    </xf>
    <xf numFmtId="17" fontId="7" fillId="5" borderId="129" xfId="0" applyNumberFormat="1" applyFont="1" applyFill="1" applyBorder="1" applyAlignment="1">
      <alignment horizontal="center" vertical="center"/>
    </xf>
    <xf numFmtId="0" fontId="5" fillId="29" borderId="147" xfId="0" applyFont="1" applyFill="1" applyBorder="1" applyAlignment="1">
      <alignment horizontal="center" vertical="center"/>
    </xf>
    <xf numFmtId="0" fontId="5" fillId="29" borderId="203" xfId="0" applyFont="1" applyFill="1" applyBorder="1" applyAlignment="1">
      <alignment horizontal="center" vertical="center"/>
    </xf>
    <xf numFmtId="0" fontId="11" fillId="29" borderId="129" xfId="0" applyFont="1" applyFill="1" applyBorder="1" applyAlignment="1">
      <alignment horizontal="center" vertical="center"/>
    </xf>
    <xf numFmtId="0" fontId="36" fillId="0" borderId="0" xfId="0" applyFont="1" applyFill="1"/>
    <xf numFmtId="0" fontId="7" fillId="4" borderId="152" xfId="0" applyFont="1" applyFill="1" applyBorder="1" applyAlignment="1">
      <alignment horizontal="center"/>
    </xf>
    <xf numFmtId="0" fontId="7" fillId="4" borderId="154" xfId="0" applyFont="1" applyFill="1" applyBorder="1" applyAlignment="1">
      <alignment horizontal="center"/>
    </xf>
    <xf numFmtId="0" fontId="7" fillId="4" borderId="204" xfId="0" applyFont="1" applyFill="1" applyBorder="1" applyAlignment="1">
      <alignment horizontal="center"/>
    </xf>
    <xf numFmtId="17" fontId="7" fillId="4" borderId="205" xfId="0" applyNumberFormat="1" applyFont="1" applyFill="1" applyBorder="1" applyAlignment="1">
      <alignment horizontal="center"/>
    </xf>
    <xf numFmtId="2" fontId="8" fillId="0" borderId="206" xfId="0" applyNumberFormat="1" applyFont="1" applyBorder="1" applyAlignment="1">
      <alignment horizontal="center"/>
    </xf>
    <xf numFmtId="17" fontId="7" fillId="4" borderId="207" xfId="0" applyNumberFormat="1" applyFont="1" applyFill="1" applyBorder="1" applyAlignment="1">
      <alignment horizontal="center"/>
    </xf>
    <xf numFmtId="17" fontId="7" fillId="4" borderId="208" xfId="0" applyNumberFormat="1" applyFont="1" applyFill="1" applyBorder="1" applyAlignment="1">
      <alignment horizontal="center"/>
    </xf>
    <xf numFmtId="2" fontId="8" fillId="0" borderId="210" xfId="0" applyNumberFormat="1" applyFont="1" applyBorder="1" applyAlignment="1">
      <alignment horizontal="center"/>
    </xf>
    <xf numFmtId="17" fontId="7" fillId="4" borderId="211" xfId="0" applyNumberFormat="1" applyFont="1" applyFill="1" applyBorder="1" applyAlignment="1">
      <alignment horizontal="center"/>
    </xf>
    <xf numFmtId="3" fontId="8" fillId="0" borderId="180" xfId="0" applyNumberFormat="1" applyFont="1" applyBorder="1" applyAlignment="1">
      <alignment horizontal="center"/>
    </xf>
    <xf numFmtId="2" fontId="8" fillId="0" borderId="181" xfId="0" applyNumberFormat="1" applyFont="1" applyBorder="1" applyAlignment="1">
      <alignment horizontal="center"/>
    </xf>
    <xf numFmtId="0" fontId="7" fillId="4" borderId="212" xfId="0" applyFont="1" applyFill="1" applyBorder="1" applyAlignment="1">
      <alignment horizontal="center"/>
    </xf>
    <xf numFmtId="2" fontId="8" fillId="0" borderId="213" xfId="0" applyNumberFormat="1" applyFont="1" applyBorder="1" applyAlignment="1">
      <alignment horizontal="center"/>
    </xf>
    <xf numFmtId="0" fontId="7" fillId="4" borderId="216" xfId="0" applyFont="1" applyFill="1" applyBorder="1" applyAlignment="1">
      <alignment horizontal="center"/>
    </xf>
    <xf numFmtId="0" fontId="7" fillId="4" borderId="217" xfId="0" applyFont="1" applyFill="1" applyBorder="1" applyAlignment="1">
      <alignment horizontal="center"/>
    </xf>
    <xf numFmtId="0" fontId="7" fillId="4" borderId="218" xfId="0" applyFont="1" applyFill="1" applyBorder="1" applyAlignment="1">
      <alignment horizontal="center"/>
    </xf>
    <xf numFmtId="0" fontId="7" fillId="4" borderId="219" xfId="0" applyFont="1" applyFill="1" applyBorder="1" applyAlignment="1">
      <alignment horizontal="center"/>
    </xf>
    <xf numFmtId="0" fontId="7" fillId="4" borderId="220" xfId="0" applyFont="1" applyFill="1" applyBorder="1" applyAlignment="1">
      <alignment horizontal="center"/>
    </xf>
    <xf numFmtId="3" fontId="8" fillId="0" borderId="221" xfId="0" applyNumberFormat="1" applyFont="1" applyBorder="1" applyAlignment="1">
      <alignment horizontal="center"/>
    </xf>
    <xf numFmtId="0" fontId="7" fillId="4" borderId="193" xfId="0" applyFont="1" applyFill="1" applyBorder="1" applyAlignment="1">
      <alignment horizontal="center"/>
    </xf>
    <xf numFmtId="2" fontId="8" fillId="0" borderId="222" xfId="0" applyNumberFormat="1" applyFont="1" applyBorder="1" applyAlignment="1">
      <alignment horizontal="center"/>
    </xf>
    <xf numFmtId="2" fontId="8" fillId="0" borderId="159" xfId="0" applyNumberFormat="1" applyFont="1" applyBorder="1" applyAlignment="1">
      <alignment horizontal="center"/>
    </xf>
    <xf numFmtId="0" fontId="7" fillId="4" borderId="139" xfId="0" applyFont="1" applyFill="1" applyBorder="1" applyAlignment="1">
      <alignment horizontal="center"/>
    </xf>
    <xf numFmtId="17" fontId="53" fillId="5" borderId="14" xfId="0" applyNumberFormat="1" applyFont="1" applyFill="1" applyBorder="1" applyAlignment="1">
      <alignment horizontal="center" vertical="center"/>
    </xf>
    <xf numFmtId="1" fontId="54" fillId="5" borderId="31" xfId="0" applyNumberFormat="1" applyFont="1" applyFill="1" applyBorder="1" applyAlignment="1">
      <alignment horizontal="center" vertical="center" wrapText="1"/>
    </xf>
    <xf numFmtId="1" fontId="53" fillId="0" borderId="54" xfId="0" applyNumberFormat="1" applyFont="1" applyBorder="1" applyAlignment="1">
      <alignment horizontal="center" vertical="center"/>
    </xf>
    <xf numFmtId="17" fontId="53" fillId="5" borderId="129" xfId="0" applyNumberFormat="1" applyFont="1" applyFill="1" applyBorder="1" applyAlignment="1">
      <alignment horizontal="center" vertical="center"/>
    </xf>
    <xf numFmtId="0" fontId="7" fillId="4" borderId="158" xfId="0" applyFont="1" applyFill="1" applyBorder="1" applyAlignment="1">
      <alignment horizontal="center"/>
    </xf>
    <xf numFmtId="0" fontId="53" fillId="4" borderId="2" xfId="0" applyFont="1" applyFill="1" applyBorder="1" applyAlignment="1">
      <alignment horizontal="center"/>
    </xf>
    <xf numFmtId="17" fontId="56" fillId="0" borderId="129" xfId="0" applyNumberFormat="1" applyFont="1" applyBorder="1" applyAlignment="1">
      <alignment horizontal="center"/>
    </xf>
    <xf numFmtId="0" fontId="57" fillId="0" borderId="129" xfId="0" applyNumberFormat="1" applyFont="1" applyBorder="1" applyAlignment="1">
      <alignment horizontal="center"/>
    </xf>
    <xf numFmtId="2" fontId="57" fillId="0" borderId="129" xfId="0" applyNumberFormat="1" applyFont="1" applyBorder="1" applyAlignment="1">
      <alignment horizontal="center"/>
    </xf>
    <xf numFmtId="1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58" fillId="0" borderId="0" xfId="0" applyFont="1" applyFill="1" applyBorder="1" applyAlignment="1">
      <alignment horizontal="center"/>
    </xf>
    <xf numFmtId="0" fontId="46" fillId="0" borderId="0" xfId="0" applyFont="1" applyFill="1" applyBorder="1"/>
    <xf numFmtId="17" fontId="7" fillId="0" borderId="129" xfId="0" applyNumberFormat="1" applyFont="1" applyBorder="1" applyAlignment="1">
      <alignment horizontal="center"/>
    </xf>
    <xf numFmtId="17" fontId="7" fillId="0" borderId="211" xfId="0" applyNumberFormat="1" applyFont="1" applyBorder="1" applyAlignment="1">
      <alignment horizontal="center"/>
    </xf>
    <xf numFmtId="3" fontId="8" fillId="0" borderId="228" xfId="0" applyNumberFormat="1" applyFont="1" applyBorder="1" applyAlignment="1">
      <alignment horizontal="center"/>
    </xf>
    <xf numFmtId="17" fontId="7" fillId="0" borderId="205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7" fontId="7" fillId="0" borderId="218" xfId="0" applyNumberFormat="1" applyFont="1" applyBorder="1" applyAlignment="1">
      <alignment horizontal="center"/>
    </xf>
    <xf numFmtId="0" fontId="7" fillId="5" borderId="229" xfId="0" applyFont="1" applyFill="1" applyBorder="1" applyAlignment="1">
      <alignment horizontal="left" vertical="center"/>
    </xf>
    <xf numFmtId="17" fontId="7" fillId="5" borderId="212" xfId="0" applyNumberFormat="1" applyFont="1" applyFill="1" applyBorder="1" applyAlignment="1">
      <alignment horizontal="center" vertical="center"/>
    </xf>
    <xf numFmtId="17" fontId="7" fillId="5" borderId="230" xfId="0" applyNumberFormat="1" applyFont="1" applyFill="1" applyBorder="1" applyAlignment="1">
      <alignment horizontal="center" vertical="center"/>
    </xf>
    <xf numFmtId="0" fontId="7" fillId="5" borderId="212" xfId="0" applyFont="1" applyFill="1" applyBorder="1" applyAlignment="1">
      <alignment horizontal="center" vertical="center"/>
    </xf>
    <xf numFmtId="165" fontId="11" fillId="5" borderId="158" xfId="0" applyNumberFormat="1" applyFont="1" applyFill="1" applyBorder="1" applyAlignment="1">
      <alignment horizontal="center" vertical="center" wrapText="1"/>
    </xf>
    <xf numFmtId="165" fontId="7" fillId="5" borderId="159" xfId="0" applyNumberFormat="1" applyFont="1" applyFill="1" applyBorder="1" applyAlignment="1">
      <alignment horizontal="center" vertical="center" wrapText="1"/>
    </xf>
    <xf numFmtId="3" fontId="7" fillId="5" borderId="232" xfId="0" applyNumberFormat="1" applyFont="1" applyFill="1" applyBorder="1" applyAlignment="1">
      <alignment horizontal="center" vertical="center"/>
    </xf>
    <xf numFmtId="3" fontId="7" fillId="5" borderId="160" xfId="0" applyNumberFormat="1" applyFont="1" applyFill="1" applyBorder="1" applyAlignment="1">
      <alignment horizontal="center" vertical="center"/>
    </xf>
    <xf numFmtId="2" fontId="7" fillId="5" borderId="162" xfId="0" applyNumberFormat="1" applyFont="1" applyFill="1" applyBorder="1" applyAlignment="1">
      <alignment horizontal="center" vertical="center"/>
    </xf>
    <xf numFmtId="1" fontId="11" fillId="5" borderId="233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wrapText="1"/>
    </xf>
    <xf numFmtId="0" fontId="60" fillId="0" borderId="0" xfId="0" applyFont="1" applyAlignment="1">
      <alignment horizontal="center" vertical="center" wrapText="1"/>
    </xf>
    <xf numFmtId="0" fontId="49" fillId="0" borderId="0" xfId="0" applyFont="1"/>
    <xf numFmtId="0" fontId="61" fillId="0" borderId="0" xfId="0" applyFont="1"/>
    <xf numFmtId="0" fontId="59" fillId="0" borderId="0" xfId="0" applyFont="1" applyAlignment="1">
      <alignment horizontal="left" vertical="top" wrapText="1"/>
    </xf>
    <xf numFmtId="1" fontId="49" fillId="0" borderId="0" xfId="0" applyNumberFormat="1" applyFont="1"/>
    <xf numFmtId="0" fontId="49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1" fontId="49" fillId="0" borderId="0" xfId="0" applyNumberFormat="1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17" fontId="49" fillId="0" borderId="0" xfId="0" applyNumberFormat="1" applyFont="1"/>
    <xf numFmtId="3" fontId="39" fillId="0" borderId="7" xfId="0" applyNumberFormat="1" applyFont="1" applyBorder="1" applyAlignment="1">
      <alignment horizontal="center"/>
    </xf>
    <xf numFmtId="2" fontId="39" fillId="0" borderId="213" xfId="0" applyNumberFormat="1" applyFont="1" applyBorder="1" applyAlignment="1">
      <alignment horizontal="center"/>
    </xf>
    <xf numFmtId="3" fontId="39" fillId="0" borderId="221" xfId="0" applyNumberFormat="1" applyFont="1" applyBorder="1" applyAlignment="1">
      <alignment horizontal="center"/>
    </xf>
    <xf numFmtId="2" fontId="39" fillId="0" borderId="214" xfId="0" applyNumberFormat="1" applyFont="1" applyBorder="1" applyAlignment="1">
      <alignment horizontal="center"/>
    </xf>
    <xf numFmtId="3" fontId="39" fillId="0" borderId="6" xfId="0" applyNumberFormat="1" applyFont="1" applyBorder="1" applyAlignment="1">
      <alignment horizontal="center"/>
    </xf>
    <xf numFmtId="2" fontId="39" fillId="0" borderId="206" xfId="0" applyNumberFormat="1" applyFont="1" applyBorder="1" applyAlignment="1">
      <alignment horizontal="center"/>
    </xf>
    <xf numFmtId="3" fontId="39" fillId="0" borderId="209" xfId="0" applyNumberFormat="1" applyFont="1" applyBorder="1" applyAlignment="1">
      <alignment horizontal="center"/>
    </xf>
    <xf numFmtId="2" fontId="39" fillId="0" borderId="210" xfId="0" applyNumberFormat="1" applyFont="1" applyBorder="1" applyAlignment="1">
      <alignment horizontal="center"/>
    </xf>
    <xf numFmtId="0" fontId="35" fillId="0" borderId="234" xfId="0" applyFont="1" applyBorder="1" applyAlignment="1">
      <alignment horizontal="center"/>
    </xf>
    <xf numFmtId="1" fontId="9" fillId="0" borderId="234" xfId="0" applyNumberFormat="1" applyFont="1" applyBorder="1" applyAlignment="1">
      <alignment horizontal="center" vertical="center"/>
    </xf>
    <xf numFmtId="1" fontId="7" fillId="5" borderId="129" xfId="0" applyNumberFormat="1" applyFont="1" applyFill="1" applyBorder="1" applyAlignment="1">
      <alignment horizontal="center" vertical="center"/>
    </xf>
    <xf numFmtId="3" fontId="39" fillId="0" borderId="35" xfId="0" applyNumberFormat="1" applyFont="1" applyBorder="1" applyAlignment="1">
      <alignment horizontal="center"/>
    </xf>
    <xf numFmtId="2" fontId="39" fillId="0" borderId="223" xfId="0" applyNumberFormat="1" applyFont="1" applyBorder="1" applyAlignment="1">
      <alignment horizontal="center"/>
    </xf>
    <xf numFmtId="3" fontId="39" fillId="0" borderId="224" xfId="0" applyNumberFormat="1" applyFont="1" applyBorder="1" applyAlignment="1">
      <alignment horizontal="center"/>
    </xf>
    <xf numFmtId="2" fontId="39" fillId="0" borderId="225" xfId="0" applyNumberFormat="1" applyFont="1" applyBorder="1" applyAlignment="1">
      <alignment horizontal="center"/>
    </xf>
    <xf numFmtId="3" fontId="39" fillId="0" borderId="34" xfId="0" applyNumberFormat="1" applyFont="1" applyBorder="1" applyAlignment="1">
      <alignment horizontal="center"/>
    </xf>
    <xf numFmtId="3" fontId="39" fillId="0" borderId="226" xfId="0" applyNumberFormat="1" applyFont="1" applyBorder="1" applyAlignment="1">
      <alignment horizontal="center"/>
    </xf>
    <xf numFmtId="2" fontId="39" fillId="0" borderId="137" xfId="0" applyNumberFormat="1" applyFont="1" applyBorder="1" applyAlignment="1">
      <alignment horizontal="center"/>
    </xf>
    <xf numFmtId="2" fontId="39" fillId="0" borderId="138" xfId="0" applyNumberFormat="1" applyFont="1" applyBorder="1" applyAlignment="1">
      <alignment horizontal="center"/>
    </xf>
    <xf numFmtId="3" fontId="41" fillId="0" borderId="7" xfId="0" applyNumberFormat="1" applyFont="1" applyBorder="1" applyAlignment="1">
      <alignment horizontal="center"/>
    </xf>
    <xf numFmtId="2" fontId="41" fillId="0" borderId="6" xfId="0" applyNumberFormat="1" applyFont="1" applyBorder="1" applyAlignment="1">
      <alignment horizontal="center"/>
    </xf>
    <xf numFmtId="3" fontId="41" fillId="0" borderId="62" xfId="0" applyNumberFormat="1" applyFont="1" applyBorder="1" applyAlignment="1">
      <alignment horizontal="center"/>
    </xf>
    <xf numFmtId="3" fontId="41" fillId="0" borderId="9" xfId="0" applyNumberFormat="1" applyFont="1" applyBorder="1" applyAlignment="1">
      <alignment horizontal="center"/>
    </xf>
    <xf numFmtId="0" fontId="24" fillId="5" borderId="235" xfId="0" applyFont="1" applyFill="1" applyBorder="1" applyAlignment="1">
      <alignment horizontal="center"/>
    </xf>
    <xf numFmtId="17" fontId="24" fillId="9" borderId="147" xfId="0" applyNumberFormat="1" applyFont="1" applyFill="1" applyBorder="1" applyAlignment="1">
      <alignment horizontal="center" wrapText="1"/>
    </xf>
    <xf numFmtId="17" fontId="24" fillId="9" borderId="234" xfId="0" applyNumberFormat="1" applyFont="1" applyFill="1" applyBorder="1" applyAlignment="1">
      <alignment horizontal="center" wrapText="1"/>
    </xf>
    <xf numFmtId="0" fontId="28" fillId="9" borderId="129" xfId="0" applyFont="1" applyFill="1" applyBorder="1" applyAlignment="1">
      <alignment horizontal="center" wrapText="1"/>
    </xf>
    <xf numFmtId="17" fontId="24" fillId="9" borderId="203" xfId="0" applyNumberFormat="1" applyFont="1" applyFill="1" applyBorder="1" applyAlignment="1">
      <alignment horizontal="center" wrapText="1"/>
    </xf>
    <xf numFmtId="0" fontId="24" fillId="5" borderId="129" xfId="0" applyFont="1" applyFill="1" applyBorder="1" applyAlignment="1">
      <alignment horizontal="right" wrapText="1"/>
    </xf>
    <xf numFmtId="17" fontId="11" fillId="4" borderId="130" xfId="0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7" fontId="11" fillId="4" borderId="142" xfId="0" applyNumberFormat="1" applyFont="1" applyFill="1" applyBorder="1" applyAlignment="1">
      <alignment horizontal="center"/>
    </xf>
    <xf numFmtId="0" fontId="11" fillId="4" borderId="129" xfId="0" applyFont="1" applyFill="1" applyBorder="1" applyAlignment="1">
      <alignment horizontal="center"/>
    </xf>
    <xf numFmtId="3" fontId="9" fillId="0" borderId="11" xfId="0" applyNumberFormat="1" applyFont="1" applyBorder="1"/>
    <xf numFmtId="17" fontId="11" fillId="4" borderId="143" xfId="0" applyNumberFormat="1" applyFont="1" applyFill="1" applyBorder="1" applyAlignment="1">
      <alignment horizontal="center"/>
    </xf>
    <xf numFmtId="0" fontId="9" fillId="5" borderId="40" xfId="0" applyFont="1" applyFill="1" applyBorder="1" applyAlignment="1">
      <alignment horizontal="right"/>
    </xf>
    <xf numFmtId="0" fontId="9" fillId="5" borderId="129" xfId="0" applyFont="1" applyFill="1" applyBorder="1" applyAlignment="1">
      <alignment horizontal="right"/>
    </xf>
    <xf numFmtId="2" fontId="8" fillId="0" borderId="163" xfId="0" applyNumberFormat="1" applyFont="1" applyBorder="1" applyAlignment="1">
      <alignment horizontal="center"/>
    </xf>
    <xf numFmtId="2" fontId="62" fillId="0" borderId="137" xfId="0" applyNumberFormat="1" applyFont="1" applyBorder="1" applyAlignment="1">
      <alignment horizontal="center"/>
    </xf>
    <xf numFmtId="2" fontId="62" fillId="0" borderId="138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0" fontId="33" fillId="7" borderId="71" xfId="0" applyFont="1" applyFill="1" applyBorder="1" applyAlignment="1">
      <alignment horizontal="center" vertical="center"/>
    </xf>
    <xf numFmtId="1" fontId="33" fillId="7" borderId="72" xfId="0" applyNumberFormat="1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1" fontId="33" fillId="0" borderId="3" xfId="0" applyNumberFormat="1" applyFont="1" applyBorder="1" applyAlignment="1">
      <alignment horizontal="center" vertical="center"/>
    </xf>
    <xf numFmtId="0" fontId="33" fillId="7" borderId="35" xfId="0" applyFont="1" applyFill="1" applyBorder="1" applyAlignment="1">
      <alignment horizontal="center" vertical="center"/>
    </xf>
    <xf numFmtId="1" fontId="33" fillId="7" borderId="73" xfId="0" applyNumberFormat="1" applyFont="1" applyFill="1" applyBorder="1" applyAlignment="1">
      <alignment horizontal="center" vertical="center"/>
    </xf>
    <xf numFmtId="0" fontId="33" fillId="7" borderId="74" xfId="0" applyFont="1" applyFill="1" applyBorder="1" applyAlignment="1">
      <alignment horizontal="center" vertical="center"/>
    </xf>
    <xf numFmtId="1" fontId="33" fillId="7" borderId="75" xfId="0" applyNumberFormat="1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1" fontId="33" fillId="0" borderId="46" xfId="0" applyNumberFormat="1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1" fontId="33" fillId="0" borderId="8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0" fontId="33" fillId="0" borderId="170" xfId="0" applyFont="1" applyBorder="1" applyAlignment="1">
      <alignment horizontal="center" vertical="center"/>
    </xf>
    <xf numFmtId="1" fontId="33" fillId="0" borderId="171" xfId="0" applyNumberFormat="1" applyFont="1" applyBorder="1" applyAlignment="1">
      <alignment horizontal="center" vertical="center"/>
    </xf>
    <xf numFmtId="0" fontId="33" fillId="0" borderId="180" xfId="0" applyFont="1" applyBorder="1" applyAlignment="1">
      <alignment horizontal="center" vertical="center"/>
    </xf>
    <xf numFmtId="1" fontId="33" fillId="0" borderId="181" xfId="0" applyNumberFormat="1" applyFont="1" applyBorder="1" applyAlignment="1">
      <alignment horizontal="center" vertical="center"/>
    </xf>
    <xf numFmtId="0" fontId="33" fillId="0" borderId="189" xfId="0" applyFont="1" applyBorder="1" applyAlignment="1">
      <alignment horizontal="center" vertical="center"/>
    </xf>
    <xf numFmtId="1" fontId="33" fillId="0" borderId="190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" fontId="33" fillId="0" borderId="41" xfId="0" applyNumberFormat="1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1" fontId="33" fillId="0" borderId="15" xfId="0" applyNumberFormat="1" applyFont="1" applyBorder="1" applyAlignment="1">
      <alignment horizontal="center" vertical="center"/>
    </xf>
    <xf numFmtId="0" fontId="33" fillId="7" borderId="55" xfId="0" applyFont="1" applyFill="1" applyBorder="1" applyAlignment="1">
      <alignment horizontal="center" vertical="center"/>
    </xf>
    <xf numFmtId="1" fontId="33" fillId="7" borderId="5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40" fillId="0" borderId="0" xfId="0" applyFont="1" applyFill="1" applyBorder="1"/>
    <xf numFmtId="17" fontId="40" fillId="0" borderId="0" xfId="0" applyNumberFormat="1" applyFont="1" applyFill="1" applyBorder="1" applyAlignment="1">
      <alignment horizontal="center"/>
    </xf>
    <xf numFmtId="17" fontId="40" fillId="0" borderId="0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3" fillId="0" borderId="0" xfId="10" applyFont="1" applyBorder="1" applyAlignment="1" applyProtection="1">
      <alignment horizont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43" fillId="0" borderId="0" xfId="10" applyFont="1" applyBorder="1" applyAlignment="1" applyProtection="1">
      <alignment horizontal="center" vertical="center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1" fontId="40" fillId="0" borderId="0" xfId="0" applyNumberFormat="1" applyFont="1" applyFill="1" applyBorder="1" applyAlignment="1">
      <alignment horizontal="center" vertical="center"/>
    </xf>
    <xf numFmtId="17" fontId="7" fillId="9" borderId="130" xfId="0" applyNumberFormat="1" applyFont="1" applyFill="1" applyBorder="1" applyAlignment="1">
      <alignment horizontal="center"/>
    </xf>
    <xf numFmtId="0" fontId="25" fillId="4" borderId="30" xfId="0" applyFont="1" applyFill="1" applyBorder="1" applyAlignment="1">
      <alignment horizontal="center"/>
    </xf>
    <xf numFmtId="17" fontId="7" fillId="9" borderId="142" xfId="0" applyNumberFormat="1" applyFont="1" applyFill="1" applyBorder="1" applyAlignment="1">
      <alignment horizontal="center"/>
    </xf>
    <xf numFmtId="0" fontId="7" fillId="4" borderId="129" xfId="0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17" fontId="7" fillId="9" borderId="143" xfId="0" applyNumberFormat="1" applyFont="1" applyFill="1" applyBorder="1" applyAlignment="1">
      <alignment horizontal="center"/>
    </xf>
    <xf numFmtId="0" fontId="9" fillId="0" borderId="40" xfId="0" applyFont="1" applyBorder="1" applyAlignment="1">
      <alignment horizontal="right"/>
    </xf>
    <xf numFmtId="0" fontId="9" fillId="0" borderId="129" xfId="0" applyFont="1" applyBorder="1" applyAlignment="1">
      <alignment horizontal="right"/>
    </xf>
    <xf numFmtId="0" fontId="63" fillId="0" borderId="129" xfId="0" applyNumberFormat="1" applyFont="1" applyBorder="1" applyAlignment="1">
      <alignment horizontal="center"/>
    </xf>
    <xf numFmtId="2" fontId="63" fillId="0" borderId="129" xfId="0" applyNumberFormat="1" applyFont="1" applyBorder="1" applyAlignment="1">
      <alignment horizontal="center"/>
    </xf>
    <xf numFmtId="0" fontId="56" fillId="0" borderId="129" xfId="0" applyFont="1" applyBorder="1" applyAlignment="1">
      <alignment horizontal="center"/>
    </xf>
    <xf numFmtId="3" fontId="39" fillId="0" borderId="22" xfId="0" applyNumberFormat="1" applyFont="1" applyBorder="1" applyAlignment="1">
      <alignment horizontal="center"/>
    </xf>
    <xf numFmtId="3" fontId="39" fillId="0" borderId="236" xfId="0" applyNumberFormat="1" applyFont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17" fontId="7" fillId="4" borderId="146" xfId="0" applyNumberFormat="1" applyFont="1" applyFill="1" applyBorder="1" applyAlignment="1">
      <alignment horizontal="center"/>
    </xf>
    <xf numFmtId="17" fontId="7" fillId="4" borderId="147" xfId="0" applyNumberFormat="1" applyFont="1" applyFill="1" applyBorder="1" applyAlignment="1">
      <alignment horizontal="center"/>
    </xf>
    <xf numFmtId="17" fontId="7" fillId="4" borderId="14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2" fontId="8" fillId="0" borderId="237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center" vertical="center" wrapText="1"/>
    </xf>
    <xf numFmtId="2" fontId="8" fillId="0" borderId="158" xfId="0" applyNumberFormat="1" applyFont="1" applyBorder="1" applyAlignment="1">
      <alignment horizontal="center"/>
    </xf>
    <xf numFmtId="2" fontId="8" fillId="0" borderId="238" xfId="0" applyNumberFormat="1" applyFont="1" applyBorder="1" applyAlignment="1">
      <alignment horizontal="center"/>
    </xf>
    <xf numFmtId="17" fontId="53" fillId="4" borderId="207" xfId="0" applyNumberFormat="1" applyFont="1" applyFill="1" applyBorder="1" applyAlignment="1">
      <alignment horizontal="center"/>
    </xf>
    <xf numFmtId="3" fontId="36" fillId="0" borderId="7" xfId="0" applyNumberFormat="1" applyFont="1" applyBorder="1" applyAlignment="1">
      <alignment horizontal="center"/>
    </xf>
    <xf numFmtId="2" fontId="36" fillId="0" borderId="213" xfId="0" applyNumberFormat="1" applyFont="1" applyBorder="1" applyAlignment="1">
      <alignment horizontal="center"/>
    </xf>
    <xf numFmtId="3" fontId="36" fillId="0" borderId="6" xfId="0" applyNumberFormat="1" applyFont="1" applyBorder="1" applyAlignment="1">
      <alignment horizontal="center"/>
    </xf>
    <xf numFmtId="2" fontId="36" fillId="0" borderId="206" xfId="0" applyNumberFormat="1" applyFont="1" applyBorder="1" applyAlignment="1">
      <alignment horizontal="center"/>
    </xf>
    <xf numFmtId="0" fontId="7" fillId="0" borderId="0" xfId="0" applyFont="1" applyFill="1"/>
    <xf numFmtId="1" fontId="0" fillId="0" borderId="0" xfId="0" applyNumberFormat="1" applyFill="1"/>
    <xf numFmtId="0" fontId="9" fillId="5" borderId="30" xfId="4" applyFont="1" applyFill="1" applyBorder="1" applyAlignment="1">
      <alignment horizontal="center" vertical="center"/>
    </xf>
    <xf numFmtId="0" fontId="9" fillId="5" borderId="129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7" fillId="5" borderId="239" xfId="0" applyFont="1" applyFill="1" applyBorder="1" applyAlignment="1">
      <alignment horizontal="right"/>
    </xf>
    <xf numFmtId="0" fontId="8" fillId="0" borderId="146" xfId="0" applyFont="1" applyBorder="1" applyAlignment="1">
      <alignment horizontal="left"/>
    </xf>
    <xf numFmtId="0" fontId="8" fillId="0" borderId="147" xfId="0" applyFont="1" applyBorder="1" applyAlignment="1">
      <alignment horizontal="left"/>
    </xf>
    <xf numFmtId="0" fontId="8" fillId="0" borderId="147" xfId="4" applyFont="1" applyBorder="1" applyAlignment="1">
      <alignment horizontal="left"/>
    </xf>
    <xf numFmtId="0" fontId="8" fillId="0" borderId="148" xfId="0" applyFont="1" applyBorder="1" applyAlignment="1">
      <alignment horizontal="left"/>
    </xf>
    <xf numFmtId="0" fontId="40" fillId="0" borderId="0" xfId="0" applyFont="1" applyFill="1"/>
    <xf numFmtId="0" fontId="40" fillId="0" borderId="0" xfId="0" applyFont="1" applyAlignment="1">
      <alignment horizontal="center" wrapText="1"/>
    </xf>
    <xf numFmtId="3" fontId="36" fillId="0" borderId="35" xfId="0" applyNumberFormat="1" applyFont="1" applyBorder="1" applyAlignment="1">
      <alignment horizontal="center"/>
    </xf>
    <xf numFmtId="2" fontId="36" fillId="0" borderId="223" xfId="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17" fontId="53" fillId="4" borderId="147" xfId="0" applyNumberFormat="1" applyFont="1" applyFill="1" applyBorder="1" applyAlignment="1">
      <alignment horizontal="center"/>
    </xf>
    <xf numFmtId="3" fontId="36" fillId="0" borderId="22" xfId="0" applyNumberFormat="1" applyFont="1" applyBorder="1" applyAlignment="1">
      <alignment horizontal="center"/>
    </xf>
    <xf numFmtId="3" fontId="36" fillId="0" borderId="34" xfId="0" applyNumberFormat="1" applyFont="1" applyBorder="1" applyAlignment="1">
      <alignment horizontal="center"/>
    </xf>
    <xf numFmtId="2" fontId="36" fillId="0" borderId="137" xfId="0" applyNumberFormat="1" applyFont="1" applyBorder="1" applyAlignment="1">
      <alignment horizontal="center"/>
    </xf>
    <xf numFmtId="0" fontId="36" fillId="0" borderId="34" xfId="0" applyFont="1" applyBorder="1" applyAlignment="1">
      <alignment horizontal="center" vertical="center"/>
    </xf>
    <xf numFmtId="3" fontId="37" fillId="0" borderId="7" xfId="0" applyNumberFormat="1" applyFont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" fontId="8" fillId="0" borderId="75" xfId="0" applyNumberFormat="1" applyFont="1" applyBorder="1" applyAlignment="1">
      <alignment horizontal="center"/>
    </xf>
    <xf numFmtId="1" fontId="8" fillId="0" borderId="130" xfId="0" applyNumberFormat="1" applyFont="1" applyBorder="1" applyAlignment="1">
      <alignment horizontal="center" vertical="center"/>
    </xf>
    <xf numFmtId="1" fontId="8" fillId="0" borderId="130" xfId="0" applyNumberFormat="1" applyFont="1" applyBorder="1" applyAlignment="1">
      <alignment horizontal="center"/>
    </xf>
    <xf numFmtId="0" fontId="8" fillId="0" borderId="143" xfId="0" applyFont="1" applyBorder="1" applyAlignment="1">
      <alignment horizontal="center" vertical="center"/>
    </xf>
    <xf numFmtId="1" fontId="8" fillId="0" borderId="143" xfId="0" applyNumberFormat="1" applyFont="1" applyBorder="1" applyAlignment="1">
      <alignment horizontal="center" vertical="center"/>
    </xf>
    <xf numFmtId="1" fontId="8" fillId="0" borderId="143" xfId="0" applyNumberFormat="1" applyFont="1" applyBorder="1" applyAlignment="1">
      <alignment horizontal="center"/>
    </xf>
    <xf numFmtId="3" fontId="7" fillId="5" borderId="227" xfId="0" applyNumberFormat="1" applyFont="1" applyFill="1" applyBorder="1" applyAlignment="1">
      <alignment horizontal="center" vertical="center"/>
    </xf>
    <xf numFmtId="1" fontId="8" fillId="0" borderId="144" xfId="0" applyNumberFormat="1" applyFont="1" applyBorder="1" applyAlignment="1">
      <alignment horizontal="center"/>
    </xf>
    <xf numFmtId="3" fontId="7" fillId="0" borderId="194" xfId="0" applyNumberFormat="1" applyFont="1" applyBorder="1" applyAlignment="1">
      <alignment horizontal="center" vertical="center"/>
    </xf>
    <xf numFmtId="3" fontId="7" fillId="0" borderId="244" xfId="0" applyNumberFormat="1" applyFont="1" applyBorder="1" applyAlignment="1">
      <alignment horizontal="center" vertical="center"/>
    </xf>
    <xf numFmtId="1" fontId="8" fillId="0" borderId="200" xfId="0" applyNumberFormat="1" applyFont="1" applyBorder="1" applyAlignment="1">
      <alignment horizontal="center"/>
    </xf>
    <xf numFmtId="0" fontId="13" fillId="5" borderId="201" xfId="0" applyFont="1" applyFill="1" applyBorder="1" applyAlignment="1">
      <alignment horizontal="left" vertical="center"/>
    </xf>
    <xf numFmtId="3" fontId="7" fillId="5" borderId="192" xfId="0" applyNumberFormat="1" applyFont="1" applyFill="1" applyBorder="1" applyAlignment="1">
      <alignment horizontal="center" vertical="center"/>
    </xf>
    <xf numFmtId="0" fontId="8" fillId="0" borderId="245" xfId="0" applyNumberFormat="1" applyFont="1" applyBorder="1" applyAlignment="1">
      <alignment horizontal="center"/>
    </xf>
    <xf numFmtId="0" fontId="8" fillId="0" borderId="145" xfId="0" applyNumberFormat="1" applyFont="1" applyBorder="1" applyAlignment="1">
      <alignment horizontal="center"/>
    </xf>
    <xf numFmtId="0" fontId="8" fillId="0" borderId="246" xfId="0" applyNumberFormat="1" applyFont="1" applyBorder="1" applyAlignment="1">
      <alignment horizontal="center"/>
    </xf>
    <xf numFmtId="0" fontId="9" fillId="0" borderId="136" xfId="0" applyFont="1" applyBorder="1" applyAlignment="1">
      <alignment horizontal="left"/>
    </xf>
    <xf numFmtId="0" fontId="9" fillId="0" borderId="137" xfId="0" applyFont="1" applyBorder="1" applyAlignment="1">
      <alignment horizontal="left"/>
    </xf>
    <xf numFmtId="0" fontId="9" fillId="0" borderId="195" xfId="0" applyFont="1" applyBorder="1" applyAlignment="1">
      <alignment horizontal="left"/>
    </xf>
    <xf numFmtId="0" fontId="9" fillId="0" borderId="147" xfId="0" applyFont="1" applyBorder="1" applyAlignment="1">
      <alignment horizontal="left"/>
    </xf>
    <xf numFmtId="0" fontId="9" fillId="0" borderId="148" xfId="0" applyFont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59" fillId="0" borderId="0" xfId="0" applyFont="1"/>
    <xf numFmtId="17" fontId="64" fillId="4" borderId="147" xfId="0" applyNumberFormat="1" applyFont="1" applyFill="1" applyBorder="1" applyAlignment="1">
      <alignment horizontal="center"/>
    </xf>
    <xf numFmtId="3" fontId="49" fillId="0" borderId="22" xfId="0" applyNumberFormat="1" applyFont="1" applyBorder="1" applyAlignment="1">
      <alignment horizontal="center"/>
    </xf>
    <xf numFmtId="2" fontId="49" fillId="0" borderId="206" xfId="0" applyNumberFormat="1" applyFont="1" applyBorder="1" applyAlignment="1">
      <alignment horizontal="center"/>
    </xf>
    <xf numFmtId="17" fontId="64" fillId="4" borderId="207" xfId="0" applyNumberFormat="1" applyFont="1" applyFill="1" applyBorder="1" applyAlignment="1">
      <alignment horizontal="center"/>
    </xf>
    <xf numFmtId="3" fontId="49" fillId="0" borderId="6" xfId="0" applyNumberFormat="1" applyFont="1" applyBorder="1" applyAlignment="1">
      <alignment horizontal="center"/>
    </xf>
    <xf numFmtId="3" fontId="49" fillId="0" borderId="34" xfId="0" applyNumberFormat="1" applyFont="1" applyBorder="1" applyAlignment="1">
      <alignment horizontal="center"/>
    </xf>
    <xf numFmtId="2" fontId="49" fillId="0" borderId="137" xfId="0" applyNumberFormat="1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1" fillId="0" borderId="129" xfId="0" applyNumberFormat="1" applyFont="1" applyBorder="1" applyAlignment="1">
      <alignment horizontal="center"/>
    </xf>
    <xf numFmtId="2" fontId="1" fillId="0" borderId="129" xfId="0" applyNumberFormat="1" applyFont="1" applyBorder="1" applyAlignment="1">
      <alignment horizontal="center"/>
    </xf>
    <xf numFmtId="0" fontId="38" fillId="0" borderId="0" xfId="0" applyFont="1" applyFill="1"/>
    <xf numFmtId="17" fontId="65" fillId="4" borderId="130" xfId="0" applyNumberFormat="1" applyFont="1" applyFill="1" applyBorder="1" applyAlignment="1">
      <alignment horizontal="center"/>
    </xf>
    <xf numFmtId="2" fontId="37" fillId="0" borderId="6" xfId="0" applyNumberFormat="1" applyFont="1" applyBorder="1" applyAlignment="1">
      <alignment horizontal="center"/>
    </xf>
    <xf numFmtId="0" fontId="55" fillId="0" borderId="0" xfId="0" applyFont="1"/>
    <xf numFmtId="0" fontId="51" fillId="0" borderId="0" xfId="0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horizontal="center" vertical="center"/>
    </xf>
    <xf numFmtId="1" fontId="51" fillId="0" borderId="0" xfId="0" applyNumberFormat="1" applyFont="1" applyFill="1" applyBorder="1" applyAlignment="1">
      <alignment horizontal="center" vertical="center"/>
    </xf>
    <xf numFmtId="165" fontId="42" fillId="0" borderId="0" xfId="0" applyNumberFormat="1" applyFont="1" applyFill="1" applyBorder="1" applyAlignment="1">
      <alignment horizontal="center" vertical="center"/>
    </xf>
    <xf numFmtId="165" fontId="42" fillId="0" borderId="0" xfId="0" applyNumberFormat="1" applyFont="1" applyFill="1" applyBorder="1" applyAlignment="1">
      <alignment horizontal="center"/>
    </xf>
    <xf numFmtId="1" fontId="46" fillId="0" borderId="0" xfId="0" applyNumberFormat="1" applyFont="1"/>
    <xf numFmtId="0" fontId="8" fillId="0" borderId="145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center" vertical="center"/>
    </xf>
    <xf numFmtId="1" fontId="8" fillId="0" borderId="24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center"/>
    </xf>
    <xf numFmtId="1" fontId="8" fillId="0" borderId="2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9" fillId="0" borderId="137" xfId="0" applyFont="1" applyFill="1" applyBorder="1" applyAlignment="1">
      <alignment horizontal="left"/>
    </xf>
    <xf numFmtId="0" fontId="9" fillId="0" borderId="137" xfId="0" applyFont="1" applyFill="1" applyBorder="1" applyAlignment="1">
      <alignment horizontal="left" vertical="center" wrapText="1"/>
    </xf>
    <xf numFmtId="17" fontId="63" fillId="0" borderId="0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Fill="1" applyAlignment="1">
      <alignment horizontal="center" vertical="center"/>
    </xf>
    <xf numFmtId="0" fontId="38" fillId="0" borderId="163" xfId="0" applyFont="1" applyFill="1" applyBorder="1"/>
    <xf numFmtId="0" fontId="38" fillId="0" borderId="42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50" fillId="0" borderId="0" xfId="0" applyFont="1" applyAlignment="1">
      <alignment horizontal="right"/>
    </xf>
    <xf numFmtId="0" fontId="50" fillId="0" borderId="0" xfId="0" applyFont="1"/>
    <xf numFmtId="0" fontId="38" fillId="0" borderId="0" xfId="4" applyFont="1"/>
    <xf numFmtId="0" fontId="38" fillId="0" borderId="0" xfId="0" applyFont="1" applyAlignment="1">
      <alignment wrapText="1"/>
    </xf>
    <xf numFmtId="0" fontId="38" fillId="0" borderId="0" xfId="0" applyFont="1" applyFill="1" applyAlignment="1">
      <alignment wrapText="1"/>
    </xf>
    <xf numFmtId="1" fontId="40" fillId="0" borderId="0" xfId="0" applyNumberFormat="1" applyFont="1" applyFill="1" applyBorder="1" applyAlignment="1">
      <alignment horizontal="left" vertical="center"/>
    </xf>
    <xf numFmtId="1" fontId="40" fillId="0" borderId="0" xfId="0" applyNumberFormat="1" applyFont="1" applyFill="1" applyBorder="1"/>
    <xf numFmtId="165" fontId="7" fillId="5" borderId="193" xfId="0" applyNumberFormat="1" applyFont="1" applyFill="1" applyBorder="1" applyAlignment="1">
      <alignment horizontal="center" vertical="center" wrapText="1"/>
    </xf>
    <xf numFmtId="165" fontId="7" fillId="5" borderId="129" xfId="0" applyNumberFormat="1" applyFont="1" applyFill="1" applyBorder="1" applyAlignment="1">
      <alignment horizontal="center" vertical="center" wrapText="1"/>
    </xf>
    <xf numFmtId="0" fontId="0" fillId="0" borderId="147" xfId="0" applyFill="1" applyBorder="1" applyAlignment="1">
      <alignment horizontal="left"/>
    </xf>
    <xf numFmtId="0" fontId="38" fillId="0" borderId="145" xfId="0" applyFont="1" applyFill="1" applyBorder="1" applyAlignment="1">
      <alignment horizontal="center" vertical="center"/>
    </xf>
    <xf numFmtId="0" fontId="38" fillId="0" borderId="130" xfId="0" applyFont="1" applyFill="1" applyBorder="1" applyAlignment="1">
      <alignment horizontal="center"/>
    </xf>
    <xf numFmtId="0" fontId="38" fillId="0" borderId="130" xfId="0" applyFont="1" applyFill="1" applyBorder="1" applyAlignment="1">
      <alignment horizontal="center" vertical="center"/>
    </xf>
    <xf numFmtId="0" fontId="38" fillId="0" borderId="130" xfId="4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/>
    </xf>
    <xf numFmtId="0" fontId="11" fillId="26" borderId="130" xfId="0" applyFont="1" applyFill="1" applyBorder="1" applyAlignment="1">
      <alignment horizontal="center"/>
    </xf>
    <xf numFmtId="0" fontId="66" fillId="27" borderId="130" xfId="0" applyFont="1" applyFill="1" applyBorder="1" applyAlignment="1">
      <alignment horizontal="center"/>
    </xf>
    <xf numFmtId="0" fontId="8" fillId="0" borderId="142" xfId="0" applyFont="1" applyBorder="1" applyAlignment="1">
      <alignment horizontal="left"/>
    </xf>
    <xf numFmtId="0" fontId="8" fillId="0" borderId="142" xfId="0" applyFont="1" applyBorder="1" applyAlignment="1">
      <alignment horizontal="center"/>
    </xf>
    <xf numFmtId="0" fontId="8" fillId="0" borderId="142" xfId="0" applyFont="1" applyFill="1" applyBorder="1" applyAlignment="1">
      <alignment horizontal="center"/>
    </xf>
    <xf numFmtId="0" fontId="8" fillId="0" borderId="130" xfId="0" applyFont="1" applyBorder="1" applyAlignment="1">
      <alignment horizontal="left"/>
    </xf>
    <xf numFmtId="0" fontId="8" fillId="0" borderId="143" xfId="0" applyFont="1" applyBorder="1" applyAlignment="1">
      <alignment horizontal="left"/>
    </xf>
    <xf numFmtId="0" fontId="7" fillId="0" borderId="130" xfId="0" applyFont="1" applyFill="1" applyBorder="1" applyAlignment="1">
      <alignment horizontal="left"/>
    </xf>
    <xf numFmtId="0" fontId="5" fillId="0" borderId="130" xfId="0" applyFont="1" applyBorder="1" applyAlignment="1">
      <alignment horizontal="center"/>
    </xf>
    <xf numFmtId="0" fontId="60" fillId="0" borderId="130" xfId="0" applyFont="1" applyBorder="1" applyAlignment="1">
      <alignment horizontal="center"/>
    </xf>
    <xf numFmtId="0" fontId="49" fillId="0" borderId="247" xfId="0" applyFont="1" applyBorder="1" applyAlignment="1">
      <alignment horizontal="center"/>
    </xf>
    <xf numFmtId="0" fontId="49" fillId="0" borderId="144" xfId="0" applyFont="1" applyBorder="1" applyAlignment="1">
      <alignment horizontal="center"/>
    </xf>
    <xf numFmtId="0" fontId="9" fillId="0" borderId="130" xfId="0" applyFont="1" applyBorder="1" applyAlignment="1">
      <alignment horizontal="center"/>
    </xf>
    <xf numFmtId="0" fontId="11" fillId="0" borderId="130" xfId="0" applyFont="1" applyBorder="1" applyAlignment="1">
      <alignment horizontal="center"/>
    </xf>
    <xf numFmtId="0" fontId="66" fillId="0" borderId="130" xfId="0" applyFont="1" applyBorder="1" applyAlignment="1">
      <alignment horizontal="center"/>
    </xf>
    <xf numFmtId="0" fontId="64" fillId="0" borderId="144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wrapText="1"/>
    </xf>
    <xf numFmtId="3" fontId="20" fillId="0" borderId="0" xfId="0" applyNumberFormat="1" applyFont="1"/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59" fillId="0" borderId="0" xfId="0" applyFont="1" applyAlignment="1"/>
    <xf numFmtId="2" fontId="7" fillId="0" borderId="215" xfId="0" applyNumberFormat="1" applyFont="1" applyBorder="1" applyAlignment="1">
      <alignment horizontal="center" vertical="center" wrapText="1"/>
    </xf>
    <xf numFmtId="2" fontId="7" fillId="0" borderId="154" xfId="0" applyNumberFormat="1" applyFont="1" applyBorder="1" applyAlignment="1">
      <alignment horizontal="center" vertical="center" wrapText="1"/>
    </xf>
    <xf numFmtId="2" fontId="7" fillId="0" borderId="204" xfId="0" applyNumberFormat="1" applyFont="1" applyBorder="1" applyAlignment="1">
      <alignment horizontal="center" vertical="center" wrapText="1"/>
    </xf>
    <xf numFmtId="2" fontId="7" fillId="0" borderId="215" xfId="0" applyNumberFormat="1" applyFont="1" applyBorder="1" applyAlignment="1">
      <alignment horizontal="center" vertical="center"/>
    </xf>
    <xf numFmtId="2" fontId="7" fillId="0" borderId="154" xfId="0" applyNumberFormat="1" applyFont="1" applyBorder="1" applyAlignment="1">
      <alignment horizontal="center" vertical="center"/>
    </xf>
    <xf numFmtId="2" fontId="7" fillId="0" borderId="20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/>
    <xf numFmtId="0" fontId="40" fillId="0" borderId="0" xfId="0" applyFont="1" applyAlignment="1"/>
    <xf numFmtId="0" fontId="7" fillId="0" borderId="215" xfId="0" applyFont="1" applyBorder="1" applyAlignment="1">
      <alignment horizontal="center" vertical="center" wrapText="1"/>
    </xf>
    <xf numFmtId="0" fontId="7" fillId="0" borderId="154" xfId="0" applyFont="1" applyBorder="1" applyAlignment="1">
      <alignment horizontal="center" vertical="center" wrapText="1"/>
    </xf>
    <xf numFmtId="0" fontId="7" fillId="0" borderId="204" xfId="0" applyFont="1" applyBorder="1" applyAlignment="1">
      <alignment horizontal="center" vertical="center" wrapText="1"/>
    </xf>
    <xf numFmtId="0" fontId="7" fillId="0" borderId="152" xfId="0" applyFont="1" applyBorder="1" applyAlignment="1">
      <alignment horizontal="center"/>
    </xf>
    <xf numFmtId="0" fontId="7" fillId="0" borderId="154" xfId="0" applyFont="1" applyBorder="1" applyAlignment="1">
      <alignment horizontal="center"/>
    </xf>
    <xf numFmtId="0" fontId="7" fillId="0" borderId="204" xfId="0" applyFont="1" applyBorder="1" applyAlignment="1">
      <alignment horizontal="center"/>
    </xf>
    <xf numFmtId="0" fontId="7" fillId="0" borderId="215" xfId="0" applyFont="1" applyBorder="1" applyAlignment="1">
      <alignment horizontal="center"/>
    </xf>
    <xf numFmtId="0" fontId="7" fillId="0" borderId="191" xfId="0" applyFont="1" applyBorder="1" applyAlignment="1">
      <alignment horizontal="center"/>
    </xf>
    <xf numFmtId="0" fontId="7" fillId="0" borderId="227" xfId="0" applyFont="1" applyBorder="1" applyAlignment="1">
      <alignment horizontal="center"/>
    </xf>
    <xf numFmtId="0" fontId="7" fillId="0" borderId="171" xfId="0" applyFont="1" applyBorder="1" applyAlignment="1">
      <alignment horizontal="center"/>
    </xf>
    <xf numFmtId="0" fontId="7" fillId="0" borderId="158" xfId="0" applyFont="1" applyBorder="1" applyAlignment="1">
      <alignment horizontal="center"/>
    </xf>
    <xf numFmtId="0" fontId="9" fillId="0" borderId="229" xfId="0" applyFont="1" applyFill="1" applyBorder="1" applyAlignment="1">
      <alignment horizontal="center" vertical="center" wrapText="1"/>
    </xf>
    <xf numFmtId="0" fontId="9" fillId="0" borderId="240" xfId="0" applyFont="1" applyFill="1" applyBorder="1" applyAlignment="1">
      <alignment horizontal="center" vertical="center" wrapText="1"/>
    </xf>
    <xf numFmtId="0" fontId="9" fillId="0" borderId="233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41" xfId="0" applyFont="1" applyFill="1" applyBorder="1" applyAlignment="1">
      <alignment horizontal="center" vertical="center" wrapText="1"/>
    </xf>
    <xf numFmtId="0" fontId="9" fillId="0" borderId="231" xfId="0" applyFont="1" applyFill="1" applyBorder="1" applyAlignment="1">
      <alignment horizontal="center" vertical="center" wrapText="1"/>
    </xf>
    <xf numFmtId="0" fontId="9" fillId="0" borderId="242" xfId="0" applyFont="1" applyFill="1" applyBorder="1" applyAlignment="1">
      <alignment horizontal="center" vertical="center" wrapText="1"/>
    </xf>
    <xf numFmtId="0" fontId="9" fillId="0" borderId="243" xfId="0" applyFont="1" applyFill="1" applyBorder="1" applyAlignment="1">
      <alignment horizontal="center" vertical="center" wrapText="1"/>
    </xf>
    <xf numFmtId="0" fontId="0" fillId="28" borderId="144" xfId="0" applyFill="1" applyBorder="1" applyAlignment="1">
      <alignment horizontal="center"/>
    </xf>
    <xf numFmtId="0" fontId="0" fillId="28" borderId="145" xfId="0" applyFill="1" applyBorder="1" applyAlignment="1">
      <alignment horizontal="center"/>
    </xf>
    <xf numFmtId="0" fontId="0" fillId="27" borderId="144" xfId="0" applyFill="1" applyBorder="1" applyAlignment="1">
      <alignment horizontal="center"/>
    </xf>
    <xf numFmtId="0" fontId="0" fillId="27" borderId="145" xfId="0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9" fillId="20" borderId="11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89" xfId="0" applyFont="1" applyFill="1" applyBorder="1" applyAlignment="1">
      <alignment horizontal="center" vertical="center"/>
    </xf>
    <xf numFmtId="0" fontId="9" fillId="17" borderId="90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" xfId="13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ABRIL/2024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Protocolos!$M$19:$M$23</c:f>
              <c:numCache>
                <c:formatCode>General</c:formatCode>
                <c:ptCount val="5"/>
                <c:pt idx="0">
                  <c:v>395</c:v>
                </c:pt>
                <c:pt idx="1">
                  <c:v>82</c:v>
                </c:pt>
                <c:pt idx="2">
                  <c:v>5855</c:v>
                </c:pt>
                <c:pt idx="3">
                  <c:v>200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819</c:v>
                </c:pt>
                <c:pt idx="1">
                  <c:v>822</c:v>
                </c:pt>
                <c:pt idx="2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369</c:v>
                </c:pt>
                <c:pt idx="1">
                  <c:v>418</c:v>
                </c:pt>
                <c:pt idx="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283</c:v>
                </c:pt>
                <c:pt idx="1">
                  <c:v>316</c:v>
                </c:pt>
                <c:pt idx="2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314</c:v>
                </c:pt>
                <c:pt idx="1">
                  <c:v>148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266</c:v>
                </c:pt>
                <c:pt idx="1">
                  <c:v>169</c:v>
                </c:pt>
                <c:pt idx="2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236</c:v>
                </c:pt>
                <c:pt idx="1">
                  <c:v>184</c:v>
                </c:pt>
                <c:pt idx="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167</c:v>
                </c:pt>
                <c:pt idx="1">
                  <c:v>182</c:v>
                </c:pt>
                <c:pt idx="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195</c:v>
                </c:pt>
                <c:pt idx="1">
                  <c:v>158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176</c:v>
                </c:pt>
                <c:pt idx="1">
                  <c:v>151</c:v>
                </c:pt>
                <c:pt idx="2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141</c:v>
                </c:pt>
                <c:pt idx="1">
                  <c:v>167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'10_ASSUNTOS+_Assuntos_ABR_24'!$B$24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'10_ASSUNTOS+_Assuntos_ABR_24'!$B$25</c:f>
              <c:numCache>
                <c:formatCode>General</c:formatCode>
                <c:ptCount val="1"/>
                <c:pt idx="0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'10_ASSUNTOS+_Assuntos_ABR_24'!$C$24:$C$24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'10_ASSUNTOS+_Assuntos_ABR_24'!$C$25:$C$25</c:f>
              <c:numCache>
                <c:formatCode>General</c:formatCode>
                <c:ptCount val="1"/>
                <c:pt idx="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'10_ASSUNTOS+_Assuntos_ABR_24'!$D$24:$D$24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'10_ASSUNTOS+_Assuntos_ABR_24'!$D$25:$D$26</c:f>
              <c:numCache>
                <c:formatCode>General</c:formatCode>
                <c:ptCount val="2"/>
                <c:pt idx="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'10_ASSUNTOS+_Assuntos_ABR_24'!$E$24:$E$24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'10_ASSUNTOS+_Assuntos_ABR_24'!$E$25:$E$26</c:f>
              <c:numCache>
                <c:formatCode>General</c:formatCode>
                <c:ptCount val="2"/>
                <c:pt idx="0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'10_ASSUNTOS+_Assuntos_ABR_24'!$F$24:$F$24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'10_ASSUNTOS+_Assuntos_ABR_24'!$F$25:$F$26</c:f>
              <c:numCache>
                <c:formatCode>General</c:formatCode>
                <c:ptCount val="2"/>
                <c:pt idx="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'10_ASSUNTOS+_Assuntos_ABR_24'!$G$24:$G$24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'10_ASSUNTOS+_Assuntos_ABR_24'!$G$25:$G$26</c:f>
              <c:numCache>
                <c:formatCode>General</c:formatCode>
                <c:ptCount val="2"/>
                <c:pt idx="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'10_ASSUNTOS+_Assuntos_ABR_24'!$H$24:$H$24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'10_ASSUNTOS+_Assuntos_ABR_24'!$H$25:$H$26</c:f>
              <c:numCache>
                <c:formatCode>General</c:formatCode>
                <c:ptCount val="2"/>
                <c:pt idx="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'10_ASSUNTOS+_Assuntos_ABR_24'!$I$24:$I$24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'10_ASSUNTOS+_Assuntos_ABR_24'!$I$25:$I$26</c:f>
              <c:numCache>
                <c:formatCode>General</c:formatCode>
                <c:ptCount val="2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'10_ASSUNTOS+_Assuntos_ABR_24'!$J$24:$J$24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'10_ASSUNTOS+_Assuntos_ABR_24'!$J$25:$J$26</c:f>
              <c:numCache>
                <c:formatCode>General</c:formatCode>
                <c:ptCount val="2"/>
                <c:pt idx="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'10_ASSUNTOS+_Assuntos_ABR_24'!$K$24:$K$24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'10_ASSUNTOS+_Assuntos_ABR_24'!$K$25:$K$26</c:f>
              <c:numCache>
                <c:formatCode>General</c:formatCode>
                <c:ptCount val="2"/>
                <c:pt idx="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'10_ASSUNTOS+_Assuntos_ABR_24'!$L$24:$L$24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'10_ASSUNTOS+_Assuntos_ABR_24'!$L$25:$L$26</c:f>
              <c:numCache>
                <c:formatCode>General</c:formatCode>
                <c:ptCount val="2"/>
                <c:pt idx="1">
                  <c:v>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ABRIL/24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'10_ASSUNTOS+_Assuntos_ABR_24'!$B$6:$B$6</c:f>
              <c:strCache>
                <c:ptCount val="1"/>
                <c:pt idx="0">
                  <c:v>abr/24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'10_ASSUNTOS+_Assuntos_ABR_24'!$A$7:$A$16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Órgão externo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Ônibus</c:v>
                </c:pt>
                <c:pt idx="7">
                  <c:v>Sinalização e Circulação de veículos e Pedestres</c:v>
                </c:pt>
                <c:pt idx="8">
                  <c:v>Processo Administrativo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'10_ASSUNTOS+_Assuntos_ABR_24'!$B$7:$B$16</c:f>
              <c:numCache>
                <c:formatCode>General</c:formatCode>
                <c:ptCount val="10"/>
                <c:pt idx="0">
                  <c:v>819</c:v>
                </c:pt>
                <c:pt idx="1">
                  <c:v>369</c:v>
                </c:pt>
                <c:pt idx="2">
                  <c:v>314</c:v>
                </c:pt>
                <c:pt idx="3">
                  <c:v>283</c:v>
                </c:pt>
                <c:pt idx="4">
                  <c:v>266</c:v>
                </c:pt>
                <c:pt idx="5">
                  <c:v>236</c:v>
                </c:pt>
                <c:pt idx="6">
                  <c:v>195</c:v>
                </c:pt>
                <c:pt idx="7">
                  <c:v>176</c:v>
                </c:pt>
                <c:pt idx="8">
                  <c:v>167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de Educação</c:v>
                </c:pt>
                <c:pt idx="4">
                  <c:v>Secretaria Executiva de Limpeza Urbana**</c:v>
                </c:pt>
                <c:pt idx="5">
                  <c:v>Secretaria Municipal da Fazenda</c:v>
                </c:pt>
                <c:pt idx="6">
                  <c:v>Companhia de Engenharia de Tráfego - CET</c:v>
                </c:pt>
                <c:pt idx="7">
                  <c:v>São Paulo Transportes - SPTRANS</c:v>
                </c:pt>
                <c:pt idx="8">
                  <c:v>Órgão externo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905</c:v>
                </c:pt>
                <c:pt idx="1">
                  <c:v>600.25</c:v>
                </c:pt>
                <c:pt idx="2">
                  <c:v>497.5</c:v>
                </c:pt>
                <c:pt idx="3">
                  <c:v>368.75</c:v>
                </c:pt>
                <c:pt idx="4">
                  <c:v>356</c:v>
                </c:pt>
                <c:pt idx="5">
                  <c:v>354.75</c:v>
                </c:pt>
                <c:pt idx="6">
                  <c:v>281.5</c:v>
                </c:pt>
                <c:pt idx="7">
                  <c:v>259.5</c:v>
                </c:pt>
                <c:pt idx="8">
                  <c:v>222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de Educação</c:v>
                </c:pt>
                <c:pt idx="4">
                  <c:v>Secretaria Executiva de Limpeza Urbana**</c:v>
                </c:pt>
                <c:pt idx="5">
                  <c:v>Secretaria Municipal da Fazenda</c:v>
                </c:pt>
                <c:pt idx="6">
                  <c:v>Companhia de Engenharia de Tráfego - CET</c:v>
                </c:pt>
                <c:pt idx="7">
                  <c:v>São Paulo Transportes - SPTRANS</c:v>
                </c:pt>
                <c:pt idx="8">
                  <c:v>Órgão externo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16.540138911322888</c:v>
                </c:pt>
                <c:pt idx="1">
                  <c:v>10.046842190276207</c:v>
                </c:pt>
                <c:pt idx="2">
                  <c:v>9.8207074785979653</c:v>
                </c:pt>
                <c:pt idx="3">
                  <c:v>4.9426586981101597</c:v>
                </c:pt>
                <c:pt idx="4">
                  <c:v>5.6695202713616544</c:v>
                </c:pt>
                <c:pt idx="5">
                  <c:v>5.6533677919560654</c:v>
                </c:pt>
                <c:pt idx="6">
                  <c:v>4.9103537392989827</c:v>
                </c:pt>
                <c:pt idx="7">
                  <c:v>5.3141657244387011</c:v>
                </c:pt>
                <c:pt idx="8">
                  <c:v>5.0718785333548704</c:v>
                </c:pt>
                <c:pt idx="9">
                  <c:v>2.3744144726215475</c:v>
                </c:pt>
                <c:pt idx="10">
                  <c:v>29.655952188660962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de Educação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Companhia de Engenharia de Tráfego - CET</c:v>
                </c:pt>
                <c:pt idx="8">
                  <c:v>Órgão externo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969.66666666666663</c:v>
                </c:pt>
                <c:pt idx="1">
                  <c:v>613.66666666666663</c:v>
                </c:pt>
                <c:pt idx="2">
                  <c:v>517</c:v>
                </c:pt>
                <c:pt idx="3">
                  <c:v>402.33333333333331</c:v>
                </c:pt>
                <c:pt idx="4">
                  <c:v>355</c:v>
                </c:pt>
                <c:pt idx="5">
                  <c:v>348.33333333333331</c:v>
                </c:pt>
                <c:pt idx="6">
                  <c:v>286</c:v>
                </c:pt>
                <c:pt idx="7">
                  <c:v>266</c:v>
                </c:pt>
                <c:pt idx="8">
                  <c:v>237.66666666666666</c:v>
                </c:pt>
                <c:pt idx="9">
                  <c:v>132.33333333333334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1024</c:v>
                </c:pt>
                <c:pt idx="1">
                  <c:v>976</c:v>
                </c:pt>
                <c:pt idx="2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622</c:v>
                </c:pt>
                <c:pt idx="1">
                  <c:v>635</c:v>
                </c:pt>
                <c:pt idx="2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608</c:v>
                </c:pt>
                <c:pt idx="1">
                  <c:v>519</c:v>
                </c:pt>
                <c:pt idx="2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306</c:v>
                </c:pt>
                <c:pt idx="1">
                  <c:v>436</c:v>
                </c:pt>
                <c:pt idx="2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350</c:v>
                </c:pt>
                <c:pt idx="1">
                  <c:v>327</c:v>
                </c:pt>
                <c:pt idx="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351</c:v>
                </c:pt>
                <c:pt idx="1">
                  <c:v>360</c:v>
                </c:pt>
                <c:pt idx="2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329</c:v>
                </c:pt>
                <c:pt idx="1">
                  <c:v>316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304</c:v>
                </c:pt>
                <c:pt idx="1">
                  <c:v>249</c:v>
                </c:pt>
                <c:pt idx="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314</c:v>
                </c:pt>
                <c:pt idx="1">
                  <c:v>147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45383</c:v>
                </c:pt>
                <c:pt idx="1">
                  <c:v>45352</c:v>
                </c:pt>
                <c:pt idx="2">
                  <c:v>45323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147</c:v>
                </c:pt>
                <c:pt idx="1">
                  <c:v>134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'10+_Unidades__ABR_24'!$B$22:$B$22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'10+_Unidades__ABR_24'!$B$23:$B$25</c:f>
              <c:numCache>
                <c:formatCode>General</c:formatCode>
                <c:ptCount val="3"/>
                <c:pt idx="0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'10+_Unidades__ABR_24'!$C$22:$C$22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'10+_Unidades__ABR_24'!$C$23:$C$25</c:f>
              <c:numCache>
                <c:formatCode>General</c:formatCode>
                <c:ptCount val="3"/>
                <c:pt idx="0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'10+_Unidades__ABR_24'!$D$22:$D$22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'10+_Unidades__ABR_24'!$D$23:$D$25</c:f>
              <c:numCache>
                <c:formatCode>General</c:formatCode>
                <c:ptCount val="3"/>
                <c:pt idx="0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'10+_Unidades__ABR_24'!$E$22:$E$22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'10+_Unidades__ABR_24'!$E$23:$E$25</c:f>
              <c:numCache>
                <c:formatCode>General</c:formatCode>
                <c:ptCount val="3"/>
                <c:pt idx="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'10+_Unidades__ABR_24'!$F$22:$F$22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'10+_Unidades__ABR_24'!$F$23:$F$25</c:f>
              <c:numCache>
                <c:formatCode>General</c:formatCode>
                <c:ptCount val="3"/>
                <c:pt idx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'10+_Unidades__ABR_24'!$G$22:$G$22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'10+_Unidades__ABR_24'!$G$23:$G$25</c:f>
              <c:numCache>
                <c:formatCode>General</c:formatCode>
                <c:ptCount val="3"/>
                <c:pt idx="0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'10+_Unidades__ABR_24'!$H$22:$H$22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'10+_Unidades__ABR_24'!$H$23:$H$25</c:f>
              <c:numCache>
                <c:formatCode>General</c:formatCode>
                <c:ptCount val="3"/>
                <c:pt idx="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'10+_Unidades__ABR_24'!$I$22:$I$22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'10+_Unidades__ABR_24'!$I$23:$I$25</c:f>
              <c:numCache>
                <c:formatCode>General</c:formatCode>
                <c:ptCount val="3"/>
                <c:pt idx="0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'10+_Unidades__ABR_24'!$J$22:$J$22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'10+_Unidades__ABR_24'!$J$23:$J$25</c:f>
              <c:numCache>
                <c:formatCode>General</c:formatCode>
                <c:ptCount val="3"/>
                <c:pt idx="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'10+_Unidades__ABR_24'!$K$22:$K$22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'10+_Unidades__ABR_24'!$K$23:$K$25</c:f>
              <c:numCache>
                <c:formatCode>General</c:formatCode>
                <c:ptCount val="3"/>
                <c:pt idx="0">
                  <c:v>147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'10+_Unidades__ABR_24'!$L$22:$L$22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'10+_Unidades__ABR_24'!$L$23:$L$25</c:f>
              <c:numCache>
                <c:formatCode>#,##0</c:formatCode>
                <c:ptCount val="3"/>
                <c:pt idx="2">
                  <c:v>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ABRIL/24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'10+_Unidades__ABR_24'!$B$6:$B$6</c:f>
              <c:strCache>
                <c:ptCount val="1"/>
                <c:pt idx="0">
                  <c:v>abr/24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'10+_Unidades__ABR_24'!$A$7:$A$16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Órgão externo</c:v>
                </c:pt>
                <c:pt idx="7">
                  <c:v>Secretaria Municipal de Educação</c:v>
                </c:pt>
                <c:pt idx="8">
                  <c:v>Companhia de Engenharia de Tráfego - CET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'10+_Unidades__ABR_24'!$B$7:$B$16</c:f>
              <c:numCache>
                <c:formatCode>General</c:formatCode>
                <c:ptCount val="10"/>
                <c:pt idx="0">
                  <c:v>1024</c:v>
                </c:pt>
                <c:pt idx="1">
                  <c:v>622</c:v>
                </c:pt>
                <c:pt idx="2">
                  <c:v>608</c:v>
                </c:pt>
                <c:pt idx="3">
                  <c:v>351</c:v>
                </c:pt>
                <c:pt idx="4">
                  <c:v>350</c:v>
                </c:pt>
                <c:pt idx="5">
                  <c:v>329</c:v>
                </c:pt>
                <c:pt idx="6">
                  <c:v>314</c:v>
                </c:pt>
                <c:pt idx="7">
                  <c:v>306</c:v>
                </c:pt>
                <c:pt idx="8">
                  <c:v>304</c:v>
                </c:pt>
                <c:pt idx="9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2.2658304673275338</c:v>
                </c:pt>
                <c:pt idx="1">
                  <c:v>4.3900465304470968</c:v>
                </c:pt>
                <c:pt idx="2">
                  <c:v>3.1964394092656279</c:v>
                </c:pt>
                <c:pt idx="3">
                  <c:v>3.4189763301638685</c:v>
                </c:pt>
                <c:pt idx="4">
                  <c:v>2.9132106008496863</c:v>
                </c:pt>
                <c:pt idx="5">
                  <c:v>2.3265223548452356</c:v>
                </c:pt>
                <c:pt idx="6">
                  <c:v>0.66761076269471975</c:v>
                </c:pt>
                <c:pt idx="7">
                  <c:v>0.86991705442039247</c:v>
                </c:pt>
                <c:pt idx="8">
                  <c:v>2.5288286465709082</c:v>
                </c:pt>
                <c:pt idx="9">
                  <c:v>1.1329152336637669</c:v>
                </c:pt>
                <c:pt idx="10">
                  <c:v>4.0258952053408859</c:v>
                </c:pt>
                <c:pt idx="11">
                  <c:v>2.2455998381549667</c:v>
                </c:pt>
                <c:pt idx="12">
                  <c:v>4.2888933845842612</c:v>
                </c:pt>
                <c:pt idx="13">
                  <c:v>2.124216063119563</c:v>
                </c:pt>
                <c:pt idx="14">
                  <c:v>2.2455998381549667</c:v>
                </c:pt>
                <c:pt idx="15">
                  <c:v>7.2830265021242164</c:v>
                </c:pt>
                <c:pt idx="16">
                  <c:v>2.0837548047744283</c:v>
                </c:pt>
                <c:pt idx="17">
                  <c:v>4.7946591138984429</c:v>
                </c:pt>
                <c:pt idx="18">
                  <c:v>1.1733764920089014</c:v>
                </c:pt>
                <c:pt idx="19">
                  <c:v>6.1905725268055836</c:v>
                </c:pt>
                <c:pt idx="20">
                  <c:v>0.70807202103985434</c:v>
                </c:pt>
                <c:pt idx="21">
                  <c:v>3.8438195427877804</c:v>
                </c:pt>
                <c:pt idx="22">
                  <c:v>3.9854339469957512</c:v>
                </c:pt>
                <c:pt idx="23">
                  <c:v>5.1992716973497872</c:v>
                </c:pt>
                <c:pt idx="24">
                  <c:v>4.1270483512037224</c:v>
                </c:pt>
                <c:pt idx="25">
                  <c:v>2.3872142423629374</c:v>
                </c:pt>
                <c:pt idx="26">
                  <c:v>1.3352215253894395</c:v>
                </c:pt>
                <c:pt idx="27">
                  <c:v>1.1126846044911998</c:v>
                </c:pt>
                <c:pt idx="28">
                  <c:v>6.1298806392878813</c:v>
                </c:pt>
                <c:pt idx="29">
                  <c:v>3.6212826218895406</c:v>
                </c:pt>
                <c:pt idx="30">
                  <c:v>4.8958122597612785</c:v>
                </c:pt>
                <c:pt idx="31">
                  <c:v>2.488367388225774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28</c:v>
                </c:pt>
                <c:pt idx="1">
                  <c:v>54.25</c:v>
                </c:pt>
                <c:pt idx="2">
                  <c:v>39.5</c:v>
                </c:pt>
                <c:pt idx="3">
                  <c:v>42.25</c:v>
                </c:pt>
                <c:pt idx="4">
                  <c:v>36</c:v>
                </c:pt>
                <c:pt idx="5">
                  <c:v>28.75</c:v>
                </c:pt>
                <c:pt idx="6">
                  <c:v>8.25</c:v>
                </c:pt>
                <c:pt idx="7">
                  <c:v>10.75</c:v>
                </c:pt>
                <c:pt idx="8">
                  <c:v>31.25</c:v>
                </c:pt>
                <c:pt idx="9">
                  <c:v>14</c:v>
                </c:pt>
                <c:pt idx="10">
                  <c:v>49.75</c:v>
                </c:pt>
                <c:pt idx="11">
                  <c:v>27.75</c:v>
                </c:pt>
                <c:pt idx="12">
                  <c:v>53</c:v>
                </c:pt>
                <c:pt idx="13">
                  <c:v>26.25</c:v>
                </c:pt>
                <c:pt idx="14">
                  <c:v>27.75</c:v>
                </c:pt>
                <c:pt idx="15">
                  <c:v>90</c:v>
                </c:pt>
                <c:pt idx="16">
                  <c:v>25.75</c:v>
                </c:pt>
                <c:pt idx="17">
                  <c:v>59.25</c:v>
                </c:pt>
                <c:pt idx="18">
                  <c:v>14.5</c:v>
                </c:pt>
                <c:pt idx="19">
                  <c:v>76.5</c:v>
                </c:pt>
                <c:pt idx="20">
                  <c:v>8.75</c:v>
                </c:pt>
                <c:pt idx="21">
                  <c:v>47.5</c:v>
                </c:pt>
                <c:pt idx="22">
                  <c:v>49.25</c:v>
                </c:pt>
                <c:pt idx="23">
                  <c:v>64.25</c:v>
                </c:pt>
                <c:pt idx="24">
                  <c:v>51</c:v>
                </c:pt>
                <c:pt idx="25">
                  <c:v>29.5</c:v>
                </c:pt>
                <c:pt idx="26">
                  <c:v>16.5</c:v>
                </c:pt>
                <c:pt idx="27">
                  <c:v>13.75</c:v>
                </c:pt>
                <c:pt idx="28">
                  <c:v>75.75</c:v>
                </c:pt>
                <c:pt idx="29">
                  <c:v>44.75</c:v>
                </c:pt>
                <c:pt idx="30">
                  <c:v>60.5</c:v>
                </c:pt>
                <c:pt idx="31">
                  <c:v>30.75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4.9270450130202956</c:v>
                </c:pt>
                <c:pt idx="1">
                  <c:v>1.3392303558880669</c:v>
                </c:pt>
                <c:pt idx="2">
                  <c:v>89.158020915140739</c:v>
                </c:pt>
                <c:pt idx="3">
                  <c:v>3.5506138139131149</c:v>
                </c:pt>
                <c:pt idx="4">
                  <c:v>1.0250899020377795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Lapa</c:v>
                </c:pt>
                <c:pt idx="1">
                  <c:v>Penha</c:v>
                </c:pt>
                <c:pt idx="2">
                  <c:v>Sé</c:v>
                </c:pt>
                <c:pt idx="3">
                  <c:v>Santana/Tucuruvi</c:v>
                </c:pt>
                <c:pt idx="4">
                  <c:v>Vila Mariana</c:v>
                </c:pt>
                <c:pt idx="5">
                  <c:v>Mooca</c:v>
                </c:pt>
                <c:pt idx="6">
                  <c:v>Butantã</c:v>
                </c:pt>
                <c:pt idx="7">
                  <c:v>Itaquera</c:v>
                </c:pt>
                <c:pt idx="8">
                  <c:v>Santo Amaro</c:v>
                </c:pt>
                <c:pt idx="9">
                  <c:v>Ipiranga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90</c:v>
                </c:pt>
                <c:pt idx="1">
                  <c:v>76.5</c:v>
                </c:pt>
                <c:pt idx="2">
                  <c:v>75.75</c:v>
                </c:pt>
                <c:pt idx="3">
                  <c:v>64.25</c:v>
                </c:pt>
                <c:pt idx="4">
                  <c:v>60.5</c:v>
                </c:pt>
                <c:pt idx="5">
                  <c:v>59.25</c:v>
                </c:pt>
                <c:pt idx="6">
                  <c:v>54.25</c:v>
                </c:pt>
                <c:pt idx="7">
                  <c:v>53</c:v>
                </c:pt>
                <c:pt idx="8">
                  <c:v>51</c:v>
                </c:pt>
                <c:pt idx="9">
                  <c:v>49.75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ABRIL/24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Lapa</c:v>
                </c:pt>
                <c:pt idx="1">
                  <c:v>Penha</c:v>
                </c:pt>
                <c:pt idx="2">
                  <c:v>Sé</c:v>
                </c:pt>
                <c:pt idx="3">
                  <c:v>Santana/Tucuruvi</c:v>
                </c:pt>
                <c:pt idx="4">
                  <c:v>Vila Mariana</c:v>
                </c:pt>
                <c:pt idx="5">
                  <c:v>Mooca</c:v>
                </c:pt>
                <c:pt idx="6">
                  <c:v>Butantã</c:v>
                </c:pt>
                <c:pt idx="7">
                  <c:v>Itaquera</c:v>
                </c:pt>
                <c:pt idx="8">
                  <c:v>Santo Amaro</c:v>
                </c:pt>
                <c:pt idx="9">
                  <c:v>Ipiranga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7.1097372488408039</c:v>
                </c:pt>
                <c:pt idx="1">
                  <c:v>5.1777434312210202</c:v>
                </c:pt>
                <c:pt idx="2">
                  <c:v>5.9505409582689337</c:v>
                </c:pt>
                <c:pt idx="3">
                  <c:v>5.564142194744977</c:v>
                </c:pt>
                <c:pt idx="4">
                  <c:v>4.4049459041731067</c:v>
                </c:pt>
                <c:pt idx="5">
                  <c:v>4.01854714064915</c:v>
                </c:pt>
                <c:pt idx="6">
                  <c:v>4.2503863987635242</c:v>
                </c:pt>
                <c:pt idx="7">
                  <c:v>5.4095826893353944</c:v>
                </c:pt>
                <c:pt idx="8">
                  <c:v>2.3956723338485317</c:v>
                </c:pt>
                <c:pt idx="9">
                  <c:v>3.2457496136012365</c:v>
                </c:pt>
                <c:pt idx="10">
                  <c:v>52.47295208655332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do mês de ABRIL/24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'10+_Subprefeituras__ABR_24'!$B$6</c:f>
              <c:strCache>
                <c:ptCount val="1"/>
                <c:pt idx="0">
                  <c:v>abr/24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'10+_Subprefeituras__ABR_24'!$A$7:$A$16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Santana/Tucuruvi</c:v>
                </c:pt>
                <c:pt idx="3">
                  <c:v>Itaquera</c:v>
                </c:pt>
                <c:pt idx="4">
                  <c:v>Penha</c:v>
                </c:pt>
                <c:pt idx="5">
                  <c:v>Pirituba/Jaraguá</c:v>
                </c:pt>
                <c:pt idx="6">
                  <c:v>Campo Limpo</c:v>
                </c:pt>
                <c:pt idx="7">
                  <c:v>Vila Mariana</c:v>
                </c:pt>
                <c:pt idx="8">
                  <c:v>Butantã</c:v>
                </c:pt>
                <c:pt idx="9">
                  <c:v>Mooca</c:v>
                </c:pt>
              </c:strCache>
            </c:strRef>
          </c:cat>
          <c:val>
            <c:numRef>
              <c:f>'10+_Subprefeituras__ABR_24'!$B$7:$B$16</c:f>
              <c:numCache>
                <c:formatCode>General</c:formatCode>
                <c:ptCount val="10"/>
                <c:pt idx="0">
                  <c:v>92</c:v>
                </c:pt>
                <c:pt idx="1">
                  <c:v>77</c:v>
                </c:pt>
                <c:pt idx="2">
                  <c:v>72</c:v>
                </c:pt>
                <c:pt idx="3">
                  <c:v>70</c:v>
                </c:pt>
                <c:pt idx="4">
                  <c:v>67</c:v>
                </c:pt>
                <c:pt idx="5">
                  <c:v>64</c:v>
                </c:pt>
                <c:pt idx="6">
                  <c:v>58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ABRIL/2024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Executiva de Mudanças Climáticas***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Licenciamento*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Denúncia_Unidades_Mensal_2024!$D$4:$D$73</c:f>
              <c:numCache>
                <c:formatCode>General</c:formatCode>
                <c:ptCount val="70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72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66</c:v>
                </c:pt>
                <c:pt idx="19">
                  <c:v>10</c:v>
                </c:pt>
                <c:pt idx="20">
                  <c:v>27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8</c:v>
                </c:pt>
                <c:pt idx="25">
                  <c:v>88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18</c:v>
                </c:pt>
                <c:pt idx="34">
                  <c:v>0</c:v>
                </c:pt>
                <c:pt idx="35">
                  <c:v>0</c:v>
                </c:pt>
                <c:pt idx="36">
                  <c:v>8</c:v>
                </c:pt>
                <c:pt idx="37">
                  <c:v>4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4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4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0</c:v>
                </c:pt>
                <c:pt idx="54">
                  <c:v>6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0</c:v>
                </c:pt>
                <c:pt idx="68">
                  <c:v>2</c:v>
                </c:pt>
                <c:pt idx="6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ABRIL/2024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Denúncia_Unidades_Mensal_2024!$A$77:$D$77</c:f>
              <c:numCache>
                <c:formatCode>General</c:formatCode>
                <c:ptCount val="4"/>
                <c:pt idx="0">
                  <c:v>189</c:v>
                </c:pt>
                <c:pt idx="1">
                  <c:v>190</c:v>
                </c:pt>
                <c:pt idx="2">
                  <c:v>18</c:v>
                </c:pt>
                <c:pt idx="3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8">
                  <c:v>189</c:v>
                </c:pt>
                <c:pt idx="9">
                  <c:v>112</c:v>
                </c:pt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8">
                  <c:v>190</c:v>
                </c:pt>
                <c:pt idx="9">
                  <c:v>143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8">
                  <c:v>397</c:v>
                </c:pt>
                <c:pt idx="9">
                  <c:v>362</c:v>
                </c:pt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8">
                  <c:v>410</c:v>
                </c:pt>
                <c:pt idx="9">
                  <c:v>110</c:v>
                </c:pt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537</c:v>
                </c:pt>
                <c:pt idx="1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69</c:v>
                </c:pt>
                <c:pt idx="1">
                  <c:v>26</c:v>
                </c:pt>
                <c:pt idx="2">
                  <c:v>192</c:v>
                </c:pt>
                <c:pt idx="3">
                  <c:v>28</c:v>
                </c:pt>
                <c:pt idx="4">
                  <c:v>102</c:v>
                </c:pt>
                <c:pt idx="5">
                  <c:v>88</c:v>
                </c:pt>
                <c:pt idx="6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26</c:v>
                </c:pt>
                <c:pt idx="1">
                  <c:v>31</c:v>
                </c:pt>
                <c:pt idx="2">
                  <c:v>232</c:v>
                </c:pt>
                <c:pt idx="3">
                  <c:v>20</c:v>
                </c:pt>
                <c:pt idx="4">
                  <c:v>120</c:v>
                </c:pt>
                <c:pt idx="5">
                  <c:v>108</c:v>
                </c:pt>
                <c:pt idx="6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28.518321826872011</c:v>
                </c:pt>
                <c:pt idx="1">
                  <c:v>26.818906001062139</c:v>
                </c:pt>
                <c:pt idx="2">
                  <c:v>8.0722251725969194</c:v>
                </c:pt>
                <c:pt idx="3">
                  <c:v>36.590546999468934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  <c:pt idx="2">
                  <c:v>634</c:v>
                </c:pt>
                <c:pt idx="3">
                  <c:v>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  <c:pt idx="2">
                  <c:v>-7.8488372093023253</c:v>
                </c:pt>
                <c:pt idx="3">
                  <c:v>39.116719242902207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SME</c:v>
                </c:pt>
                <c:pt idx="2">
                  <c:v>CET</c:v>
                </c:pt>
                <c:pt idx="3">
                  <c:v>SF</c:v>
                </c:pt>
                <c:pt idx="4">
                  <c:v>SPTrans</c:v>
                </c:pt>
                <c:pt idx="5">
                  <c:v>SMSUB</c:v>
                </c:pt>
                <c:pt idx="6">
                  <c:v>SMUL</c:v>
                </c:pt>
                <c:pt idx="7">
                  <c:v>SEGES</c:v>
                </c:pt>
                <c:pt idx="8">
                  <c:v>SMADS</c:v>
                </c:pt>
                <c:pt idx="9">
                  <c:v>SVMA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469</c:v>
                </c:pt>
                <c:pt idx="1">
                  <c:v>177</c:v>
                </c:pt>
                <c:pt idx="2">
                  <c:v>168</c:v>
                </c:pt>
                <c:pt idx="3">
                  <c:v>164</c:v>
                </c:pt>
                <c:pt idx="4">
                  <c:v>163</c:v>
                </c:pt>
                <c:pt idx="5">
                  <c:v>156</c:v>
                </c:pt>
                <c:pt idx="6">
                  <c:v>90</c:v>
                </c:pt>
                <c:pt idx="7">
                  <c:v>79</c:v>
                </c:pt>
                <c:pt idx="8">
                  <c:v>78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ABRIL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'e-SIC_2024'!$AB$22</c:f>
              <c:strCache>
                <c:ptCount val="1"/>
                <c:pt idx="0">
                  <c:v>abr/24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('e-SIC_2024'!$AB$27,'e-SIC_2024'!$AB$33,'e-SIC_2024'!$AB$39,'e-SIC_2024'!$AB$42,'e-SIC_2024'!$AB$47)</c:f>
              <c:numCache>
                <c:formatCode>General</c:formatCode>
                <c:ptCount val="5"/>
                <c:pt idx="0">
                  <c:v>799</c:v>
                </c:pt>
                <c:pt idx="1">
                  <c:v>74</c:v>
                </c:pt>
                <c:pt idx="2">
                  <c:v>48</c:v>
                </c:pt>
                <c:pt idx="3">
                  <c:v>62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 </a:t>
            </a:r>
            <a:r>
              <a:rPr lang="pt-BR" sz="1600" b="1" i="0" u="none" strike="noStrike" baseline="0">
                <a:effectLst/>
              </a:rPr>
              <a:t>- ABRIL/2024</a:t>
            </a:r>
            <a:endParaRPr lang="pt-BR" sz="16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ABRIL/2024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- 2024 </a:t>
            </a:r>
          </a:p>
        </cx:rich>
      </cx:tx>
    </cx:title>
    <cx:plotArea>
      <cx:plotAreaRegion>
        <cx:series layoutId="treemap" uniqueId="{B800DED6-DF96-47A0-96BD-EA66E2948B05}">
          <cx:dataPt idx="4">
            <cx:spPr>
              <a:solidFill>
                <a:schemeClr val="accent6">
                  <a:lumMod val="75000"/>
                </a:schemeClr>
              </a:solidFill>
            </cx:spPr>
          </cx:dataPt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ABRIL/2024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Canais_atendimento!$J$5</c:f>
              <c:numCache>
                <c:formatCode>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Canais_atendimento!$J$6</c:f>
              <c:numCache>
                <c:formatCode>0</c:formatCode>
                <c:ptCount val="1"/>
                <c:pt idx="0">
                  <c:v>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Canais_atendimento!$J$7</c:f>
              <c:numCache>
                <c:formatCode>0</c:formatCode>
                <c:ptCount val="1"/>
                <c:pt idx="0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Canais_atendimento!$J$8</c:f>
              <c:numCache>
                <c:formatCode>0</c:formatCode>
                <c:ptCount val="1"/>
                <c:pt idx="0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Canais_atendimento!$J$9</c:f>
              <c:numCache>
                <c:formatCode>0</c:formatCode>
                <c:ptCount val="1"/>
                <c:pt idx="0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Canais_atendimento!$J$10</c:f>
              <c:numCache>
                <c:formatCode>0</c:formatCode>
                <c:ptCount val="1"/>
                <c:pt idx="0">
                  <c:v>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Canais_atendimento!$J$4</c:f>
              <c:numCache>
                <c:formatCode>mmm\-yy</c:formatCode>
                <c:ptCount val="1"/>
                <c:pt idx="0">
                  <c:v>45383</c:v>
                </c:pt>
              </c:numCache>
            </c:numRef>
          </c:cat>
          <c:val>
            <c:numRef>
              <c:f>Canais_atendimento!$J$11</c:f>
              <c:numCache>
                <c:formatCode>0</c:formatCode>
                <c:ptCount val="1"/>
                <c:pt idx="0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D95-BAD3-DAB6557B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- 2024</a:t>
            </a:r>
          </a:p>
        </c:rich>
      </c:tx>
      <c:layout>
        <c:manualLayout>
          <c:xMode val="edge"/>
          <c:yMode val="edge"/>
          <c:x val="0.26616774507464641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8" formatCode="0">
                  <c:v>12</c:v>
                </c:pt>
                <c:pt idx="9" formatCode="0">
                  <c:v>13</c:v>
                </c:pt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8" formatCode="0">
                  <c:v>1898</c:v>
                </c:pt>
                <c:pt idx="9" formatCode="0">
                  <c:v>2041</c:v>
                </c:pt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8" formatCode="0">
                  <c:v>415</c:v>
                </c:pt>
                <c:pt idx="9" formatCode="0">
                  <c:v>117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8" formatCode="0">
                  <c:v>1552</c:v>
                </c:pt>
                <c:pt idx="9" formatCode="0">
                  <c:v>1249</c:v>
                </c:pt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8" formatCode="0">
                  <c:v>280</c:v>
                </c:pt>
                <c:pt idx="9" formatCode="0">
                  <c:v>175</c:v>
                </c:pt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8" formatCode="0">
                  <c:v>2192</c:v>
                </c:pt>
                <c:pt idx="9" formatCode="0">
                  <c:v>2373</c:v>
                </c:pt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Canais_atendimento!$B$11:$M$11</c:f>
              <c:numCache>
                <c:formatCode>General</c:formatCode>
                <c:ptCount val="12"/>
                <c:pt idx="8" formatCode="0">
                  <c:v>239</c:v>
                </c:pt>
                <c:pt idx="9" formatCode="0">
                  <c:v>203</c:v>
                </c:pt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F-43C5-A862-281E8169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</c:plotArea>
    <c:legend>
      <c:legendPos val="r"/>
      <c:layout>
        <c:manualLayout>
          <c:xMode val="edge"/>
          <c:yMode val="edge"/>
          <c:x val="0.64527629233511585"/>
          <c:y val="0.15834962620714318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0.18214936247723132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28.809957498482088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6.2993321190042497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23.55798421372192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4.2501517911353979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33.272616879174258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ABR/24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3.6278081360048575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7-48A7-81EC-FA28B83C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Média/2024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Sinalização e Circulação de veículos e Pedestres</c:v>
                </c:pt>
                <c:pt idx="8">
                  <c:v>Estabelecimentos comerciais, indústrias e serviços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747.75</c:v>
                </c:pt>
                <c:pt idx="1">
                  <c:v>363</c:v>
                </c:pt>
                <c:pt idx="2">
                  <c:v>312.75</c:v>
                </c:pt>
                <c:pt idx="3">
                  <c:v>222.25</c:v>
                </c:pt>
                <c:pt idx="4">
                  <c:v>201</c:v>
                </c:pt>
                <c:pt idx="5">
                  <c:v>193.5</c:v>
                </c:pt>
                <c:pt idx="6">
                  <c:v>189.75</c:v>
                </c:pt>
                <c:pt idx="7">
                  <c:v>155</c:v>
                </c:pt>
                <c:pt idx="8">
                  <c:v>153.25</c:v>
                </c:pt>
                <c:pt idx="9">
                  <c:v>151.5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ABR/24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Sinalização e Circulação de veículos e Pedestres</c:v>
                </c:pt>
                <c:pt idx="8">
                  <c:v>Estabelecimentos comerciais, indústrias e serviços</c:v>
                </c:pt>
                <c:pt idx="9">
                  <c:v>Capinação e roçada de áreas verdes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13.228880633177193</c:v>
                </c:pt>
                <c:pt idx="1">
                  <c:v>5.9602649006622519</c:v>
                </c:pt>
                <c:pt idx="2">
                  <c:v>4.5711516717816183</c:v>
                </c:pt>
                <c:pt idx="3">
                  <c:v>5.0718785333548704</c:v>
                </c:pt>
                <c:pt idx="4">
                  <c:v>4.2965595218866097</c:v>
                </c:pt>
                <c:pt idx="5">
                  <c:v>3.811985139718947</c:v>
                </c:pt>
                <c:pt idx="6">
                  <c:v>2.6974640607333225</c:v>
                </c:pt>
                <c:pt idx="7">
                  <c:v>2.8428363753836212</c:v>
                </c:pt>
                <c:pt idx="8">
                  <c:v>2.5036343078662573</c:v>
                </c:pt>
                <c:pt idx="9">
                  <c:v>2.2774995961880147</c:v>
                </c:pt>
                <c:pt idx="10">
                  <c:v>52.737845259247294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Ônibus</c:v>
                </c:pt>
                <c:pt idx="8">
                  <c:v>Sinalização e Circulação de veículos e Pedestres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813</c:v>
                </c:pt>
                <c:pt idx="1">
                  <c:v>374.33333333333331</c:v>
                </c:pt>
                <c:pt idx="2">
                  <c:v>300.66666666666669</c:v>
                </c:pt>
                <c:pt idx="3">
                  <c:v>238</c:v>
                </c:pt>
                <c:pt idx="4">
                  <c:v>202.33333333333334</c:v>
                </c:pt>
                <c:pt idx="5">
                  <c:v>200</c:v>
                </c:pt>
                <c:pt idx="6">
                  <c:v>182.33333333333334</c:v>
                </c:pt>
                <c:pt idx="7">
                  <c:v>153.66666666666666</c:v>
                </c:pt>
                <c:pt idx="8">
                  <c:v>152.66666666666666</c:v>
                </c:pt>
                <c:pt idx="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0</xdr:row>
          <xdr:rowOff>57150</xdr:rowOff>
        </xdr:from>
        <xdr:to>
          <xdr:col>23</xdr:col>
          <xdr:colOff>390525</xdr:colOff>
          <xdr:row>82</xdr:row>
          <xdr:rowOff>66675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abril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ABRIL/24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6</xdr:row>
      <xdr:rowOff>161925</xdr:rowOff>
    </xdr:from>
    <xdr:to>
      <xdr:col>6</xdr:col>
      <xdr:colOff>219075</xdr:colOff>
      <xdr:row>19</xdr:row>
      <xdr:rowOff>44781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323975"/>
          <a:ext cx="4819650" cy="2359356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19</xdr:row>
      <xdr:rowOff>85725</xdr:rowOff>
    </xdr:from>
    <xdr:to>
      <xdr:col>6</xdr:col>
      <xdr:colOff>215682</xdr:colOff>
      <xdr:row>31</xdr:row>
      <xdr:rowOff>134695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3724275"/>
          <a:ext cx="4816257" cy="233497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31</xdr:row>
      <xdr:rowOff>180975</xdr:rowOff>
    </xdr:from>
    <xdr:to>
      <xdr:col>6</xdr:col>
      <xdr:colOff>219075</xdr:colOff>
      <xdr:row>43</xdr:row>
      <xdr:rowOff>132401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6105525"/>
          <a:ext cx="4819650" cy="223742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0</xdr:rowOff>
        </xdr:from>
        <xdr:to>
          <xdr:col>9</xdr:col>
          <xdr:colOff>304800</xdr:colOff>
          <xdr:row>35</xdr:row>
          <xdr:rowOff>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5452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14</xdr:row>
      <xdr:rowOff>104774</xdr:rowOff>
    </xdr:from>
    <xdr:to>
      <xdr:col>15</xdr:col>
      <xdr:colOff>590549</xdr:colOff>
      <xdr:row>30</xdr:row>
      <xdr:rowOff>57150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12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12</xdr:row>
      <xdr:rowOff>54091</xdr:rowOff>
    </xdr:from>
    <xdr:ext cx="532651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806455" y="2911591"/>
          <a:ext cx="532651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ABRIL/2024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0257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abril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ABRIL/24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444498</xdr:colOff>
      <xdr:row>17</xdr:row>
      <xdr:rowOff>64294</xdr:rowOff>
    </xdr:from>
    <xdr:ext cx="6496843" cy="392562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ABR/24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Média/2024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8568/Desktop/N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8568/Desktop/def+inde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8568/Desktop/Pasta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8568/Documents/indefe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</sheetNames>
    <sheetDataSet>
      <sheetData sheetId="0">
        <row r="1">
          <cell r="A1" t="str">
            <v>Unidades PMSP - JANEIRO 2024</v>
          </cell>
          <cell r="B1" t="str">
            <v>TOTAL</v>
          </cell>
        </row>
        <row r="2">
          <cell r="A2" t="str">
            <v xml:space="preserve">Agência Reguladora de Serviços Públicos do Município de São Paulo** </v>
          </cell>
          <cell r="B2">
            <v>2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1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1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8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5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1</v>
          </cell>
        </row>
        <row r="17">
          <cell r="A17" t="str">
            <v>Secretaria Executiva de Mudanças Climáticas***</v>
          </cell>
          <cell r="B17">
            <v>2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47</v>
          </cell>
        </row>
        <row r="21">
          <cell r="A21" t="str">
            <v>Secretaria Municipal das Subprefeituras</v>
          </cell>
          <cell r="B21">
            <v>3</v>
          </cell>
        </row>
        <row r="22">
          <cell r="A22" t="str">
            <v>Secretaria Municipal de Assistência e Desenvolvimento Social</v>
          </cell>
          <cell r="B22">
            <v>15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9</v>
          </cell>
        </row>
        <row r="25">
          <cell r="A25" t="str">
            <v>Secretaria Municipal de Desenvolvimento Econômico e Trabalho</v>
          </cell>
          <cell r="B25">
            <v>1</v>
          </cell>
        </row>
        <row r="26">
          <cell r="A26" t="str">
            <v>Secretaria Municipal de Direitos Humanos e Cidadania</v>
          </cell>
          <cell r="B26">
            <v>6</v>
          </cell>
        </row>
        <row r="27">
          <cell r="A27" t="str">
            <v>Secretaria Municipal de Educação</v>
          </cell>
          <cell r="B27">
            <v>51</v>
          </cell>
        </row>
        <row r="28">
          <cell r="A28" t="str">
            <v>Secretaria Municipal de Esportes e Lazer</v>
          </cell>
          <cell r="B28">
            <v>4</v>
          </cell>
        </row>
        <row r="29">
          <cell r="A29" t="str">
            <v>Secretaria Municipal de Gestão</v>
          </cell>
          <cell r="B29">
            <v>1</v>
          </cell>
        </row>
        <row r="30">
          <cell r="A30" t="str">
            <v>Secretaria Municipal de Habitação</v>
          </cell>
          <cell r="B30">
            <v>1</v>
          </cell>
        </row>
        <row r="31">
          <cell r="A31" t="str">
            <v>Secretaria Municipal de Infraestrutura Urbana e Obras</v>
          </cell>
          <cell r="B31">
            <v>1</v>
          </cell>
        </row>
        <row r="32">
          <cell r="A32" t="str">
            <v>Secretaria Municipal de Inovação e Tecnologia</v>
          </cell>
          <cell r="B32">
            <v>3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6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3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4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3</v>
          </cell>
        </row>
        <row r="44">
          <cell r="A44" t="str">
            <v>Subprefeitura Cidade Ademar</v>
          </cell>
          <cell r="B44">
            <v>1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1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3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0</v>
          </cell>
        </row>
        <row r="54">
          <cell r="A54" t="str">
            <v>Subprefeitura Lapa</v>
          </cell>
          <cell r="B54">
            <v>2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1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0</v>
          </cell>
        </row>
        <row r="63">
          <cell r="A63" t="str">
            <v>Subprefeitura Santo Amaro</v>
          </cell>
          <cell r="B63">
            <v>1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3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3</v>
          </cell>
        </row>
        <row r="68">
          <cell r="A68" t="str">
            <v>Subprefeitura Vila Maria/Vila Guilherme</v>
          </cell>
          <cell r="B68">
            <v>1</v>
          </cell>
        </row>
        <row r="69">
          <cell r="A69" t="str">
            <v>Subprefeitura Vila Mariana</v>
          </cell>
          <cell r="B69">
            <v>2</v>
          </cell>
        </row>
        <row r="70">
          <cell r="A70" t="str">
            <v>Subprefeitura Vila Prudente</v>
          </cell>
          <cell r="B70">
            <v>0</v>
          </cell>
        </row>
        <row r="71">
          <cell r="A71" t="str">
            <v>Canceladas</v>
          </cell>
          <cell r="B71">
            <v>8</v>
          </cell>
        </row>
      </sheetData>
      <sheetData sheetId="1">
        <row r="1">
          <cell r="A1" t="str">
            <v>Unidades PMSP - FEVEREIRO 2024</v>
          </cell>
          <cell r="B1" t="str">
            <v>TOTAL</v>
          </cell>
        </row>
        <row r="2">
          <cell r="A2" t="str">
            <v xml:space="preserve">Agência Reguladora de Serviços Públicos do Município de São Paulo** </v>
          </cell>
          <cell r="B2">
            <v>4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4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32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5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1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40</v>
          </cell>
        </row>
        <row r="21">
          <cell r="A21" t="str">
            <v>Secretaria Municipal das Subprefeituras</v>
          </cell>
          <cell r="B21">
            <v>4</v>
          </cell>
        </row>
        <row r="22">
          <cell r="A22" t="str">
            <v>Secretaria Municipal de Assistência e Desenvolvimento Social</v>
          </cell>
          <cell r="B22">
            <v>21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4</v>
          </cell>
        </row>
        <row r="25">
          <cell r="A25" t="str">
            <v>Secretaria Municipal de Desenvolvimento Econômico e Trabalho</v>
          </cell>
          <cell r="B25">
            <v>2</v>
          </cell>
        </row>
        <row r="26">
          <cell r="A26" t="str">
            <v>Secretaria Municipal de Direitos Humanos e Cidadania</v>
          </cell>
          <cell r="B26">
            <v>10</v>
          </cell>
        </row>
        <row r="27">
          <cell r="A27" t="str">
            <v>Secretaria Municipal de Educação</v>
          </cell>
          <cell r="B27">
            <v>40</v>
          </cell>
        </row>
        <row r="28">
          <cell r="A28" t="str">
            <v>Secretaria Municipal de Esportes e Lazer</v>
          </cell>
          <cell r="B28">
            <v>6</v>
          </cell>
        </row>
        <row r="29">
          <cell r="A29" t="str">
            <v>Secretaria Municipal de Gestão</v>
          </cell>
          <cell r="B29">
            <v>2</v>
          </cell>
        </row>
        <row r="30">
          <cell r="A30" t="str">
            <v>Secretaria Municipal de Habitação</v>
          </cell>
          <cell r="B30">
            <v>2</v>
          </cell>
        </row>
        <row r="31">
          <cell r="A31" t="str">
            <v>Secretaria Municipal de Infraestrutura Urbana e Obras</v>
          </cell>
          <cell r="B31">
            <v>1</v>
          </cell>
        </row>
        <row r="32">
          <cell r="A32" t="str">
            <v>Secretaria Municipal de Inovação e Tecnologia</v>
          </cell>
          <cell r="B32">
            <v>2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12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2</v>
          </cell>
        </row>
        <row r="39">
          <cell r="A39" t="str">
            <v>Subprefeitura Aricanduva</v>
          </cell>
          <cell r="B39">
            <v>2</v>
          </cell>
        </row>
        <row r="40">
          <cell r="A40" t="str">
            <v>Subprefeitura Butantã</v>
          </cell>
          <cell r="B40">
            <v>1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1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1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1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4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1</v>
          </cell>
        </row>
        <row r="54">
          <cell r="A54" t="str">
            <v>Subprefeitura Lapa</v>
          </cell>
          <cell r="B54">
            <v>1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2</v>
          </cell>
        </row>
        <row r="59">
          <cell r="A59" t="str">
            <v>Subprefeitura Perus</v>
          </cell>
          <cell r="B59">
            <v>1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1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1</v>
          </cell>
        </row>
        <row r="65">
          <cell r="A65" t="str">
            <v>Subprefeitura São Miguel Paulista</v>
          </cell>
          <cell r="B65">
            <v>0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0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  <row r="71">
          <cell r="A71" t="str">
            <v>Canceladas</v>
          </cell>
          <cell r="B71">
            <v>19</v>
          </cell>
        </row>
        <row r="72">
          <cell r="A72" t="str">
            <v>Total</v>
          </cell>
          <cell r="B72">
            <v>230</v>
          </cell>
        </row>
      </sheetData>
      <sheetData sheetId="2">
        <row r="1">
          <cell r="A1" t="str">
            <v>Unidades PMSP - MARÇO 2024</v>
          </cell>
          <cell r="B1" t="str">
            <v>TOTAL</v>
          </cell>
        </row>
        <row r="2">
          <cell r="A2" t="str">
            <v xml:space="preserve">Agência Reguladora de Serviços Públicos do Município de São Paulo** </v>
          </cell>
          <cell r="B2">
            <v>2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2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0</v>
          </cell>
        </row>
        <row r="8">
          <cell r="A8" t="str">
            <v>Não identificado</v>
          </cell>
          <cell r="B8">
            <v>6</v>
          </cell>
        </row>
        <row r="9">
          <cell r="A9" t="str">
            <v>Órgão externo</v>
          </cell>
          <cell r="B9">
            <v>22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5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1</v>
          </cell>
        </row>
        <row r="15">
          <cell r="A15" t="str">
            <v>Secretaria do Governo Municipal</v>
          </cell>
          <cell r="B15">
            <v>2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60</v>
          </cell>
        </row>
        <row r="21">
          <cell r="A21" t="str">
            <v>Secretaria Municipal das Subprefeituras</v>
          </cell>
          <cell r="B21">
            <v>13</v>
          </cell>
        </row>
        <row r="22">
          <cell r="A22" t="str">
            <v>Secretaria Municipal de Assistência e Desenvolvimento Social</v>
          </cell>
          <cell r="B22">
            <v>20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9</v>
          </cell>
        </row>
        <row r="25">
          <cell r="A25" t="str">
            <v>Secretaria Municipal de Desenvolvimento Econômico e Trabalho</v>
          </cell>
          <cell r="B25">
            <v>0</v>
          </cell>
        </row>
        <row r="26">
          <cell r="A26" t="str">
            <v>Secretaria Municipal de Direitos Humanos e Cidadania</v>
          </cell>
          <cell r="B26">
            <v>0</v>
          </cell>
        </row>
        <row r="27">
          <cell r="A27" t="str">
            <v>Secretaria Municipal de Educação</v>
          </cell>
          <cell r="B27">
            <v>51</v>
          </cell>
        </row>
        <row r="28">
          <cell r="A28" t="str">
            <v>Secretaria Municipal de Esportes e Lazer</v>
          </cell>
          <cell r="B28">
            <v>9</v>
          </cell>
        </row>
        <row r="29">
          <cell r="A29" t="str">
            <v>Secretaria Municipal de Gestão</v>
          </cell>
          <cell r="B29">
            <v>2</v>
          </cell>
        </row>
        <row r="30">
          <cell r="A30" t="str">
            <v>Secretaria Municipal de Habitação</v>
          </cell>
          <cell r="B30">
            <v>0</v>
          </cell>
        </row>
        <row r="31">
          <cell r="A31" t="str">
            <v>Secretaria Municipal de Infraestrutura Urbana e Obras</v>
          </cell>
          <cell r="B31">
            <v>2</v>
          </cell>
        </row>
        <row r="32">
          <cell r="A32" t="str">
            <v>Secretaria Municipal de Inovação e Tecnologia</v>
          </cell>
          <cell r="B32">
            <v>0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2</v>
          </cell>
        </row>
        <row r="35">
          <cell r="A35" t="str">
            <v>Secretaria Municipal de Segurança Urbana</v>
          </cell>
          <cell r="B35">
            <v>3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15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4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1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1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2</v>
          </cell>
        </row>
        <row r="54">
          <cell r="A54" t="str">
            <v>Subprefeitura Lapa</v>
          </cell>
          <cell r="B54">
            <v>3</v>
          </cell>
        </row>
        <row r="55">
          <cell r="A55" t="str">
            <v>Subprefeitura M'Boi Mirim</v>
          </cell>
          <cell r="B55">
            <v>2</v>
          </cell>
        </row>
        <row r="56">
          <cell r="A56" t="str">
            <v>Subprefeitura Mooca</v>
          </cell>
          <cell r="B56">
            <v>5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1</v>
          </cell>
        </row>
        <row r="62">
          <cell r="A62" t="str">
            <v>Subprefeitura Santana/Tucuruvi</v>
          </cell>
          <cell r="B62">
            <v>3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1</v>
          </cell>
        </row>
        <row r="65">
          <cell r="A65" t="str">
            <v>Subprefeitura São Miguel Paulista</v>
          </cell>
          <cell r="B65">
            <v>2</v>
          </cell>
        </row>
        <row r="66">
          <cell r="A66" t="str">
            <v>Subprefeitura Sapopemba</v>
          </cell>
          <cell r="B66">
            <v>1</v>
          </cell>
        </row>
        <row r="67">
          <cell r="A67" t="str">
            <v>Subprefeitura Sé</v>
          </cell>
          <cell r="B67">
            <v>1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1</v>
          </cell>
        </row>
        <row r="70">
          <cell r="A70" t="str">
            <v>Subprefeitura Vila Prudente</v>
          </cell>
          <cell r="B70">
            <v>0</v>
          </cell>
        </row>
        <row r="71">
          <cell r="A71" t="str">
            <v>Canceladas</v>
          </cell>
          <cell r="B71">
            <v>107</v>
          </cell>
        </row>
        <row r="72">
          <cell r="A72" t="str">
            <v>Total</v>
          </cell>
          <cell r="B72">
            <v>362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indef"/>
    </sheetNames>
    <sheetDataSet>
      <sheetData sheetId="0">
        <row r="1">
          <cell r="A1" t="str">
            <v xml:space="preserve">Unidades PMSP </v>
          </cell>
          <cell r="B1" t="str">
            <v>Total</v>
          </cell>
        </row>
        <row r="2">
          <cell r="A2" t="str">
            <v xml:space="preserve">Agência Reguladora de Serviços Públicos do Município de São Paulo** </v>
          </cell>
          <cell r="B2">
            <v>10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1</v>
          </cell>
        </row>
        <row r="5">
          <cell r="A5" t="str">
            <v>Companhia de Engenharia de Tráfego - CET</v>
          </cell>
          <cell r="B5">
            <v>1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4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0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1</v>
          </cell>
        </row>
        <row r="12">
          <cell r="A12" t="str">
            <v>São Paulo Transportes - SPTRANS</v>
          </cell>
          <cell r="B12">
            <v>13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2</v>
          </cell>
        </row>
        <row r="16">
          <cell r="A16" t="str">
            <v>Secretaria Executiva de Limpeza Urbana**</v>
          </cell>
          <cell r="B16">
            <v>2</v>
          </cell>
        </row>
        <row r="17">
          <cell r="A17" t="str">
            <v>Secretaria Executiva de Mudanças Climáticas***</v>
          </cell>
          <cell r="B17">
            <v>2</v>
          </cell>
        </row>
        <row r="18">
          <cell r="A18" t="str">
            <v>Secretaria Municipal da Fazenda</v>
          </cell>
          <cell r="B18">
            <v>2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114</v>
          </cell>
        </row>
        <row r="21">
          <cell r="A21" t="str">
            <v>Secretaria Municipal das Subprefeituras</v>
          </cell>
          <cell r="B21">
            <v>9</v>
          </cell>
        </row>
        <row r="22">
          <cell r="A22" t="str">
            <v>Secretaria Municipal de Assistência e Desenvolvimento Social</v>
          </cell>
          <cell r="B22">
            <v>47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21</v>
          </cell>
        </row>
        <row r="25">
          <cell r="A25" t="str">
            <v>Secretaria Municipal de Desenvolvimento Econômico e Trabalho</v>
          </cell>
          <cell r="B25">
            <v>2</v>
          </cell>
        </row>
        <row r="26">
          <cell r="A26" t="str">
            <v>Secretaria Municipal de Direitos Humanos e Cidadania</v>
          </cell>
          <cell r="B26">
            <v>20</v>
          </cell>
        </row>
        <row r="27">
          <cell r="A27" t="str">
            <v>Secretaria Municipal de Educação</v>
          </cell>
          <cell r="B27">
            <v>152</v>
          </cell>
        </row>
        <row r="28">
          <cell r="A28" t="str">
            <v>Secretaria Municipal de Esportes e Lazer</v>
          </cell>
          <cell r="B28">
            <v>8</v>
          </cell>
        </row>
        <row r="29">
          <cell r="A29" t="str">
            <v>Secretaria Municipal de Gestão</v>
          </cell>
          <cell r="B29">
            <v>2</v>
          </cell>
        </row>
        <row r="30">
          <cell r="A30" t="str">
            <v>Secretaria Municipal de Habitação</v>
          </cell>
          <cell r="B30">
            <v>1</v>
          </cell>
        </row>
        <row r="31">
          <cell r="A31" t="str">
            <v>Secretaria Municipal de Infraestrutura Urbana e Obras</v>
          </cell>
          <cell r="B31">
            <v>5</v>
          </cell>
        </row>
        <row r="32">
          <cell r="A32" t="str">
            <v>Secretaria Municipal de Inovação e Tecnologia</v>
          </cell>
          <cell r="B32">
            <v>5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2</v>
          </cell>
        </row>
        <row r="35">
          <cell r="A35" t="str">
            <v>Secretaria Municipal de Segurança Urbana</v>
          </cell>
          <cell r="B35">
            <v>24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8</v>
          </cell>
        </row>
        <row r="39">
          <cell r="A39" t="str">
            <v>Subprefeitura Aricanduva</v>
          </cell>
          <cell r="B39">
            <v>3</v>
          </cell>
        </row>
        <row r="40">
          <cell r="A40" t="str">
            <v>Subprefeitura Butantã</v>
          </cell>
          <cell r="B40">
            <v>4</v>
          </cell>
        </row>
        <row r="41">
          <cell r="A41" t="str">
            <v>Subprefeitura Campo Limpo</v>
          </cell>
          <cell r="B41">
            <v>1</v>
          </cell>
        </row>
        <row r="42">
          <cell r="A42" t="str">
            <v>Subprefeitura Capela do Socorro</v>
          </cell>
          <cell r="B42">
            <v>1</v>
          </cell>
        </row>
        <row r="43">
          <cell r="A43" t="str">
            <v>Subprefeitura Casa Verde</v>
          </cell>
          <cell r="B43">
            <v>1</v>
          </cell>
        </row>
        <row r="44">
          <cell r="A44" t="str">
            <v>Subprefeitura Cidade Ademar</v>
          </cell>
          <cell r="B44">
            <v>4</v>
          </cell>
        </row>
        <row r="45">
          <cell r="A45" t="str">
            <v>Subprefeitura Cidade Tiradentes</v>
          </cell>
          <cell r="B45">
            <v>1</v>
          </cell>
        </row>
        <row r="46">
          <cell r="A46" t="str">
            <v>Subprefeitura Ermelino Matarazzo</v>
          </cell>
          <cell r="B46">
            <v>1</v>
          </cell>
        </row>
        <row r="47">
          <cell r="A47" t="str">
            <v>Subprefeitura Freguesia/Brasilândia</v>
          </cell>
          <cell r="B47">
            <v>1</v>
          </cell>
        </row>
        <row r="48">
          <cell r="A48" t="str">
            <v>Subprefeitura Guaianases</v>
          </cell>
          <cell r="B48">
            <v>2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11</v>
          </cell>
        </row>
        <row r="52">
          <cell r="A52" t="str">
            <v>Subprefeitura Jabaquara</v>
          </cell>
          <cell r="B52">
            <v>2</v>
          </cell>
        </row>
        <row r="53">
          <cell r="A53" t="str">
            <v>Subprefeitura Jaçanã/Tremembé</v>
          </cell>
          <cell r="B53">
            <v>1</v>
          </cell>
        </row>
        <row r="54">
          <cell r="A54" t="str">
            <v>Subprefeitura Lapa</v>
          </cell>
          <cell r="B54">
            <v>6</v>
          </cell>
        </row>
        <row r="55">
          <cell r="A55" t="str">
            <v>Subprefeitura M'Boi Mirim</v>
          </cell>
          <cell r="B55">
            <v>2</v>
          </cell>
        </row>
        <row r="56">
          <cell r="A56" t="str">
            <v>Subprefeitura Mooca</v>
          </cell>
          <cell r="B56">
            <v>10</v>
          </cell>
        </row>
        <row r="57">
          <cell r="A57" t="str">
            <v>Subprefeitura Parelheiros</v>
          </cell>
          <cell r="B57">
            <v>1</v>
          </cell>
        </row>
        <row r="58">
          <cell r="A58" t="str">
            <v>Subprefeitura Penha</v>
          </cell>
          <cell r="B58">
            <v>3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2</v>
          </cell>
        </row>
        <row r="62">
          <cell r="A62" t="str">
            <v>Subprefeitura Santana/Tucuruvi</v>
          </cell>
          <cell r="B62">
            <v>3</v>
          </cell>
        </row>
        <row r="63">
          <cell r="A63" t="str">
            <v>Subprefeitura Santo Amaro</v>
          </cell>
          <cell r="B63">
            <v>1</v>
          </cell>
        </row>
        <row r="64">
          <cell r="A64" t="str">
            <v>Subprefeitura São Mateus</v>
          </cell>
          <cell r="B64">
            <v>1</v>
          </cell>
        </row>
        <row r="65">
          <cell r="A65" t="str">
            <v>Subprefeitura São Miguel Paulista</v>
          </cell>
          <cell r="B65">
            <v>6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5</v>
          </cell>
        </row>
        <row r="68">
          <cell r="A68" t="str">
            <v>Subprefeitura Vila Maria/Vila Guilherme</v>
          </cell>
          <cell r="B68">
            <v>1</v>
          </cell>
        </row>
        <row r="69">
          <cell r="A69" t="str">
            <v>Subprefeitura Vila Mariana</v>
          </cell>
          <cell r="B69">
            <v>3</v>
          </cell>
        </row>
        <row r="70">
          <cell r="A70" t="str">
            <v>Subprefeitura Vila Prudente</v>
          </cell>
          <cell r="B70">
            <v>2</v>
          </cell>
        </row>
      </sheetData>
      <sheetData sheetId="1">
        <row r="1">
          <cell r="A1" t="str">
            <v xml:space="preserve">Unidades PMSP </v>
          </cell>
          <cell r="B1" t="str">
            <v>Total</v>
          </cell>
        </row>
        <row r="2">
          <cell r="A2" t="str">
            <v xml:space="preserve">Agência Reguladora de Serviços Públicos do Município de São Paulo** </v>
          </cell>
          <cell r="B2">
            <v>4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1</v>
          </cell>
        </row>
        <row r="6">
          <cell r="A6" t="str">
            <v>Companhia Metropolitana de Habitação - COHAB</v>
          </cell>
          <cell r="B6">
            <v>1</v>
          </cell>
        </row>
        <row r="7">
          <cell r="A7" t="str">
            <v>Controladoria Geral do Município</v>
          </cell>
          <cell r="B7">
            <v>2</v>
          </cell>
        </row>
        <row r="8">
          <cell r="A8" t="str">
            <v>Não identificado</v>
          </cell>
          <cell r="B8">
            <v>78</v>
          </cell>
        </row>
        <row r="9">
          <cell r="A9" t="str">
            <v>Órgão externo</v>
          </cell>
          <cell r="B9">
            <v>64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9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1</v>
          </cell>
        </row>
        <row r="15">
          <cell r="A15" t="str">
            <v>Secretaria do Governo Municipal</v>
          </cell>
          <cell r="B15">
            <v>1</v>
          </cell>
        </row>
        <row r="16">
          <cell r="A16" t="str">
            <v>Secretaria Executiva de Limpeza Urbana**</v>
          </cell>
          <cell r="B16">
            <v>1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1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99</v>
          </cell>
        </row>
        <row r="21">
          <cell r="A21" t="str">
            <v>Secretaria Municipal das Subprefeituras</v>
          </cell>
          <cell r="B21">
            <v>21</v>
          </cell>
        </row>
        <row r="22">
          <cell r="A22" t="str">
            <v>Secretaria Municipal de Assistência e Desenvolvimento Social</v>
          </cell>
          <cell r="B22">
            <v>36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7</v>
          </cell>
        </row>
        <row r="25">
          <cell r="A25" t="str">
            <v>Secretaria Municipal de Desenvolvimento Econômico e Trabalho</v>
          </cell>
          <cell r="B25">
            <v>3</v>
          </cell>
        </row>
        <row r="26">
          <cell r="A26" t="str">
            <v>Secretaria Municipal de Direitos Humanos e Cidadania</v>
          </cell>
          <cell r="B26">
            <v>4</v>
          </cell>
        </row>
        <row r="27">
          <cell r="A27" t="str">
            <v>Secretaria Municipal de Educação</v>
          </cell>
          <cell r="B27">
            <v>78</v>
          </cell>
        </row>
        <row r="28">
          <cell r="A28" t="str">
            <v>Secretaria Municipal de Esportes e Lazer</v>
          </cell>
          <cell r="B28">
            <v>14</v>
          </cell>
        </row>
        <row r="29">
          <cell r="A29" t="str">
            <v>Secretaria Municipal de Gestão</v>
          </cell>
          <cell r="B29">
            <v>3</v>
          </cell>
        </row>
        <row r="30">
          <cell r="A30" t="str">
            <v>Secretaria Municipal de Habitação</v>
          </cell>
          <cell r="B30">
            <v>2</v>
          </cell>
        </row>
        <row r="31">
          <cell r="A31" t="str">
            <v>Secretaria Municipal de Infraestrutura Urbana e Obras</v>
          </cell>
          <cell r="B31">
            <v>0</v>
          </cell>
        </row>
        <row r="32">
          <cell r="A32" t="str">
            <v>Secretaria Municipal de Inovação e Tecnologia</v>
          </cell>
          <cell r="B32">
            <v>5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15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20</v>
          </cell>
        </row>
        <row r="39">
          <cell r="A39" t="str">
            <v>Subprefeitura Aricanduva</v>
          </cell>
          <cell r="B39">
            <v>5</v>
          </cell>
        </row>
        <row r="40">
          <cell r="A40" t="str">
            <v>Subprefeitura Butantã</v>
          </cell>
          <cell r="B40">
            <v>5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1</v>
          </cell>
        </row>
        <row r="43">
          <cell r="A43" t="str">
            <v>Subprefeitura Casa Verde</v>
          </cell>
          <cell r="B43">
            <v>2</v>
          </cell>
        </row>
        <row r="44">
          <cell r="A44" t="str">
            <v>Subprefeitura Cidade Ademar</v>
          </cell>
          <cell r="B44">
            <v>1</v>
          </cell>
        </row>
        <row r="45">
          <cell r="A45" t="str">
            <v>Subprefeitura Cidade Tiradentes</v>
          </cell>
          <cell r="B45">
            <v>1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1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1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1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4</v>
          </cell>
        </row>
        <row r="54">
          <cell r="A54" t="str">
            <v>Subprefeitura Lapa</v>
          </cell>
          <cell r="B54">
            <v>1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1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1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2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1</v>
          </cell>
        </row>
        <row r="65">
          <cell r="A65" t="str">
            <v>Subprefeitura São Miguel Paulista</v>
          </cell>
          <cell r="B65">
            <v>1</v>
          </cell>
        </row>
        <row r="66">
          <cell r="A66" t="str">
            <v>Subprefeitura Sapopemba</v>
          </cell>
          <cell r="B66">
            <v>2</v>
          </cell>
        </row>
        <row r="67">
          <cell r="A67" t="str">
            <v>Subprefeitura Sé</v>
          </cell>
          <cell r="B67">
            <v>2</v>
          </cell>
        </row>
        <row r="68">
          <cell r="A68" t="str">
            <v>Subprefeitura Vila Maria/Vila Guilherme</v>
          </cell>
          <cell r="B68">
            <v>2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ilha2"/>
      <sheetName val="Planilha3"/>
    </sheetNames>
    <sheetDataSet>
      <sheetData sheetId="0">
        <row r="1">
          <cell r="A1" t="str">
            <v>Unidades PMSP - JANEIRO 2024</v>
          </cell>
          <cell r="B1" t="str">
            <v>DEFERIDAS</v>
          </cell>
        </row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1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1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0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1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1</v>
          </cell>
        </row>
        <row r="17">
          <cell r="A17" t="str">
            <v>Secretaria Executiva de Mudanças Climáticas***</v>
          </cell>
          <cell r="B17">
            <v>2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32</v>
          </cell>
        </row>
        <row r="21">
          <cell r="A21" t="str">
            <v>Secretaria Municipal das Subprefeituras</v>
          </cell>
          <cell r="B21">
            <v>1</v>
          </cell>
        </row>
        <row r="22">
          <cell r="A22" t="str">
            <v>Secretaria Municipal de Assistência e Desenvolvimento Social</v>
          </cell>
          <cell r="B22">
            <v>6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7</v>
          </cell>
        </row>
        <row r="25">
          <cell r="A25" t="str">
            <v>Secretaria Municipal de Desenvolvimento Econômico e Trabalho</v>
          </cell>
          <cell r="B25">
            <v>0</v>
          </cell>
        </row>
        <row r="26">
          <cell r="A26" t="str">
            <v>Secretaria Municipal de Direitos Humanos e Cidadania</v>
          </cell>
          <cell r="B26">
            <v>5</v>
          </cell>
        </row>
        <row r="27">
          <cell r="A27" t="str">
            <v>Secretaria Municipal de Educação</v>
          </cell>
          <cell r="B27">
            <v>36</v>
          </cell>
        </row>
        <row r="28">
          <cell r="A28" t="str">
            <v>Secretaria Municipal de Esportes e Lazer</v>
          </cell>
          <cell r="B28">
            <v>1</v>
          </cell>
        </row>
        <row r="29">
          <cell r="A29" t="str">
            <v>Secretaria Municipal de Gestão</v>
          </cell>
          <cell r="B29">
            <v>1</v>
          </cell>
        </row>
        <row r="30">
          <cell r="A30" t="str">
            <v>Secretaria Municipal de Habitação</v>
          </cell>
          <cell r="B30">
            <v>1</v>
          </cell>
        </row>
        <row r="31">
          <cell r="A31" t="str">
            <v>Secretaria Municipal de Infraestrutura Urbana e Obras</v>
          </cell>
          <cell r="B31">
            <v>1</v>
          </cell>
        </row>
        <row r="32">
          <cell r="A32" t="str">
            <v>Secretaria Municipal de Inovação e Tecnologia</v>
          </cell>
          <cell r="B32">
            <v>1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5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2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4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1</v>
          </cell>
        </row>
        <row r="44">
          <cell r="A44" t="str">
            <v>Subprefeitura Cidade Ademar</v>
          </cell>
          <cell r="B44">
            <v>1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1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3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0</v>
          </cell>
        </row>
        <row r="54">
          <cell r="A54" t="str">
            <v>Subprefeitura Lapa</v>
          </cell>
          <cell r="B54">
            <v>1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1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0</v>
          </cell>
        </row>
        <row r="63">
          <cell r="A63" t="str">
            <v>Subprefeitura Santo Amaro</v>
          </cell>
          <cell r="B63">
            <v>1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3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2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2</v>
          </cell>
        </row>
        <row r="70">
          <cell r="A70" t="str">
            <v>Subprefeitura Vila Prudente</v>
          </cell>
          <cell r="B70">
            <v>0</v>
          </cell>
        </row>
      </sheetData>
      <sheetData sheetId="1">
        <row r="1">
          <cell r="A1" t="str">
            <v>Unidades PMSP - FEVEREIRO 2024</v>
          </cell>
          <cell r="B1" t="str">
            <v>DEFERIDAS</v>
          </cell>
        </row>
        <row r="2">
          <cell r="A2" t="str">
            <v xml:space="preserve">Agência Reguladora de Serviços Públicos do Município de São Paulo** </v>
          </cell>
          <cell r="B2">
            <v>3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3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0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4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21</v>
          </cell>
        </row>
        <row r="21">
          <cell r="A21" t="str">
            <v>Secretaria Municipal das Subprefeituras</v>
          </cell>
          <cell r="B21">
            <v>1</v>
          </cell>
        </row>
        <row r="22">
          <cell r="A22" t="str">
            <v>Secretaria Municipal de Assistência e Desenvolvimento Social</v>
          </cell>
          <cell r="B22">
            <v>15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1</v>
          </cell>
        </row>
        <row r="25">
          <cell r="A25" t="str">
            <v>Secretaria Municipal de Desenvolvimento Econômico e Trabalho</v>
          </cell>
          <cell r="B25">
            <v>1</v>
          </cell>
        </row>
        <row r="26">
          <cell r="A26" t="str">
            <v>Secretaria Municipal de Direitos Humanos e Cidadania</v>
          </cell>
          <cell r="B26">
            <v>8</v>
          </cell>
        </row>
        <row r="27">
          <cell r="A27" t="str">
            <v>Secretaria Municipal de Educação</v>
          </cell>
          <cell r="B27">
            <v>28</v>
          </cell>
        </row>
        <row r="28">
          <cell r="A28" t="str">
            <v>Secretaria Municipal de Esportes e Lazer</v>
          </cell>
          <cell r="B28">
            <v>4</v>
          </cell>
        </row>
        <row r="29">
          <cell r="A29" t="str">
            <v>Secretaria Municipal de Gestão</v>
          </cell>
          <cell r="B29">
            <v>1</v>
          </cell>
        </row>
        <row r="30">
          <cell r="A30" t="str">
            <v>Secretaria Municipal de Habitação</v>
          </cell>
          <cell r="B30">
            <v>0</v>
          </cell>
        </row>
        <row r="31">
          <cell r="A31" t="str">
            <v>Secretaria Municipal de Infraestrutura Urbana e Obras</v>
          </cell>
          <cell r="B31">
            <v>1</v>
          </cell>
        </row>
        <row r="32">
          <cell r="A32" t="str">
            <v>Secretaria Municipal de Inovação e Tecnologia</v>
          </cell>
          <cell r="B32">
            <v>0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6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1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0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1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1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3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0</v>
          </cell>
        </row>
        <row r="54">
          <cell r="A54" t="str">
            <v>Subprefeitura Lapa</v>
          </cell>
          <cell r="B54">
            <v>1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2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1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1</v>
          </cell>
        </row>
        <row r="65">
          <cell r="A65" t="str">
            <v>Subprefeitura São Miguel Paulista</v>
          </cell>
          <cell r="B65">
            <v>0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0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</sheetData>
      <sheetData sheetId="2">
        <row r="1">
          <cell r="A1" t="str">
            <v>Unidades PMSP - MARÇO 2024</v>
          </cell>
          <cell r="B1" t="str">
            <v>DEFERIDAS</v>
          </cell>
        </row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1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0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0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5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2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22</v>
          </cell>
        </row>
        <row r="21">
          <cell r="A21" t="str">
            <v>Secretaria Municipal das Subprefeituras</v>
          </cell>
          <cell r="B21">
            <v>4</v>
          </cell>
        </row>
        <row r="22">
          <cell r="A22" t="str">
            <v>Secretaria Municipal de Assistência e Desenvolvimento Social</v>
          </cell>
          <cell r="B22">
            <v>12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7</v>
          </cell>
        </row>
        <row r="25">
          <cell r="A25" t="str">
            <v>Secretaria Municipal de Desenvolvimento Econômico e Trabalho</v>
          </cell>
          <cell r="B25">
            <v>0</v>
          </cell>
        </row>
        <row r="26">
          <cell r="A26" t="str">
            <v>Secretaria Municipal de Direitos Humanos e Cidadania</v>
          </cell>
          <cell r="B26">
            <v>0</v>
          </cell>
        </row>
        <row r="27">
          <cell r="A27" t="str">
            <v>Secretaria Municipal de Educação</v>
          </cell>
          <cell r="B27">
            <v>30</v>
          </cell>
        </row>
        <row r="28">
          <cell r="A28" t="str">
            <v>Secretaria Municipal de Esportes e Lazer</v>
          </cell>
          <cell r="B28">
            <v>1</v>
          </cell>
        </row>
        <row r="29">
          <cell r="A29" t="str">
            <v>Secretaria Municipal de Gestão</v>
          </cell>
          <cell r="B29">
            <v>0</v>
          </cell>
        </row>
        <row r="30">
          <cell r="A30" t="str">
            <v>Secretaria Municipal de Habitação</v>
          </cell>
          <cell r="B30">
            <v>0</v>
          </cell>
        </row>
        <row r="31">
          <cell r="A31" t="str">
            <v>Secretaria Municipal de Infraestrutura Urbana e Obras</v>
          </cell>
          <cell r="B31">
            <v>2</v>
          </cell>
        </row>
        <row r="32">
          <cell r="A32" t="str">
            <v>Secretaria Municipal de Inovação e Tecnologia</v>
          </cell>
          <cell r="B32">
            <v>0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2</v>
          </cell>
        </row>
        <row r="35">
          <cell r="A35" t="str">
            <v>Secretaria Municipal de Segurança Urbana</v>
          </cell>
          <cell r="B35">
            <v>1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4</v>
          </cell>
        </row>
        <row r="39">
          <cell r="A39" t="str">
            <v>Subprefeitura Aricanduva</v>
          </cell>
          <cell r="B39">
            <v>0</v>
          </cell>
        </row>
        <row r="40">
          <cell r="A40" t="str">
            <v>Subprefeitura Butantã</v>
          </cell>
          <cell r="B40">
            <v>0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1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1</v>
          </cell>
        </row>
        <row r="54">
          <cell r="A54" t="str">
            <v>Subprefeitura Lapa</v>
          </cell>
          <cell r="B54">
            <v>3</v>
          </cell>
        </row>
        <row r="55">
          <cell r="A55" t="str">
            <v>Subprefeitura M'Boi Mirim</v>
          </cell>
          <cell r="B55">
            <v>2</v>
          </cell>
        </row>
        <row r="56">
          <cell r="A56" t="str">
            <v>Subprefeitura Mooca</v>
          </cell>
          <cell r="B56">
            <v>5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1</v>
          </cell>
        </row>
        <row r="62">
          <cell r="A62" t="str">
            <v>Subprefeitura Santana/Tucuruvi</v>
          </cell>
          <cell r="B62">
            <v>2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1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1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1</v>
          </cell>
        </row>
        <row r="70">
          <cell r="A70" t="str">
            <v>Subprefeitura Vila Prudente</v>
          </cell>
          <cell r="B7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ilha2"/>
      <sheetName val="Planilha3"/>
      <sheetName val="Planilha4"/>
    </sheetNames>
    <sheetDataSet>
      <sheetData sheetId="0">
        <row r="1">
          <cell r="A1" t="str">
            <v>Unidades PMSP - JANEIRO 2024</v>
          </cell>
          <cell r="B1" t="str">
            <v>INDEFERIDAS</v>
          </cell>
        </row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0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8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4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15</v>
          </cell>
        </row>
        <row r="21">
          <cell r="A21" t="str">
            <v>Secretaria Municipal das Subprefeituras</v>
          </cell>
          <cell r="B21">
            <v>2</v>
          </cell>
        </row>
        <row r="22">
          <cell r="A22" t="str">
            <v>Secretaria Municipal de Assistência e Desenvolvimento Social</v>
          </cell>
          <cell r="B22">
            <v>9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2</v>
          </cell>
        </row>
        <row r="25">
          <cell r="A25" t="str">
            <v>Secretaria Municipal de Desenvolvimento Econômico e Trabalho</v>
          </cell>
          <cell r="B25">
            <v>1</v>
          </cell>
        </row>
        <row r="26">
          <cell r="A26" t="str">
            <v>Secretaria Municipal de Direitos Humanos e Cidadania</v>
          </cell>
          <cell r="B26">
            <v>1</v>
          </cell>
        </row>
        <row r="27">
          <cell r="A27" t="str">
            <v>Secretaria Municipal de Educação</v>
          </cell>
          <cell r="B27">
            <v>15</v>
          </cell>
        </row>
        <row r="28">
          <cell r="A28" t="str">
            <v>Secretaria Municipal de Esportes e Lazer</v>
          </cell>
          <cell r="B28">
            <v>3</v>
          </cell>
        </row>
        <row r="29">
          <cell r="A29" t="str">
            <v>Secretaria Municipal de Gestão</v>
          </cell>
          <cell r="B29">
            <v>0</v>
          </cell>
        </row>
        <row r="30">
          <cell r="A30" t="str">
            <v>Secretaria Municipal de Habitação</v>
          </cell>
          <cell r="B30">
            <v>0</v>
          </cell>
        </row>
        <row r="31">
          <cell r="A31" t="str">
            <v>Secretaria Municipal de Infraestrutura Urbana e Obras</v>
          </cell>
          <cell r="B31">
            <v>0</v>
          </cell>
        </row>
        <row r="32">
          <cell r="A32" t="str">
            <v>Secretaria Municipal de Inovação e Tecnologia</v>
          </cell>
          <cell r="B32">
            <v>2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1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1</v>
          </cell>
        </row>
        <row r="39">
          <cell r="A39" t="str">
            <v>Subprefeitura Aricanduva</v>
          </cell>
          <cell r="B39">
            <v>0</v>
          </cell>
        </row>
        <row r="40">
          <cell r="A40" t="str">
            <v>Subprefeitura Butantã</v>
          </cell>
          <cell r="B40">
            <v>0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2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0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0</v>
          </cell>
        </row>
        <row r="54">
          <cell r="A54" t="str">
            <v>Subprefeitura Lapa</v>
          </cell>
          <cell r="B54">
            <v>1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0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0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1</v>
          </cell>
        </row>
        <row r="68">
          <cell r="A68" t="str">
            <v>Subprefeitura Vila Maria/Vila Guilherme</v>
          </cell>
          <cell r="B68">
            <v>1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</sheetData>
      <sheetData sheetId="1">
        <row r="1">
          <cell r="A1" t="str">
            <v>Unidades PMSP - FEVEREIRO 2024</v>
          </cell>
          <cell r="B1" t="str">
            <v>INDEFERIDAS</v>
          </cell>
        </row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1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32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1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1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19</v>
          </cell>
        </row>
        <row r="21">
          <cell r="A21" t="str">
            <v>Secretaria Municipal das Subprefeituras</v>
          </cell>
          <cell r="B21">
            <v>3</v>
          </cell>
        </row>
        <row r="22">
          <cell r="A22" t="str">
            <v>Secretaria Municipal de Assistência e Desenvolvimento Social</v>
          </cell>
          <cell r="B22">
            <v>6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3</v>
          </cell>
        </row>
        <row r="25">
          <cell r="A25" t="str">
            <v>Secretaria Municipal de Desenvolvimento Econômico e Trabalho</v>
          </cell>
          <cell r="B25">
            <v>1</v>
          </cell>
        </row>
        <row r="26">
          <cell r="A26" t="str">
            <v>Secretaria Municipal de Direitos Humanos e Cidadania</v>
          </cell>
          <cell r="B26">
            <v>2</v>
          </cell>
        </row>
        <row r="27">
          <cell r="A27" t="str">
            <v>Secretaria Municipal de Educação</v>
          </cell>
          <cell r="B27">
            <v>12</v>
          </cell>
        </row>
        <row r="28">
          <cell r="A28" t="str">
            <v>Secretaria Municipal de Esportes e Lazer</v>
          </cell>
          <cell r="B28">
            <v>2</v>
          </cell>
        </row>
        <row r="29">
          <cell r="A29" t="str">
            <v>Secretaria Municipal de Gestão</v>
          </cell>
          <cell r="B29">
            <v>1</v>
          </cell>
        </row>
        <row r="30">
          <cell r="A30" t="str">
            <v>Secretaria Municipal de Habitação</v>
          </cell>
          <cell r="B30">
            <v>2</v>
          </cell>
        </row>
        <row r="31">
          <cell r="A31" t="str">
            <v>Secretaria Municipal de Infraestrutura Urbana e Obras</v>
          </cell>
          <cell r="B31">
            <v>0</v>
          </cell>
        </row>
        <row r="32">
          <cell r="A32" t="str">
            <v>Secretaria Municipal de Inovação e Tecnologia</v>
          </cell>
          <cell r="B32">
            <v>2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6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1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1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1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1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1</v>
          </cell>
        </row>
        <row r="54">
          <cell r="A54" t="str">
            <v>Subprefeitura Lapa</v>
          </cell>
          <cell r="B54">
            <v>0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1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0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0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0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</sheetData>
      <sheetData sheetId="2">
        <row r="1">
          <cell r="A1" t="str">
            <v>Unidades PMSP - MARÇO 2024</v>
          </cell>
          <cell r="B1" t="str">
            <v>INDEFERIDAS</v>
          </cell>
        </row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1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0</v>
          </cell>
        </row>
        <row r="8">
          <cell r="A8" t="str">
            <v>Não identificado</v>
          </cell>
          <cell r="B8">
            <v>6</v>
          </cell>
        </row>
        <row r="9">
          <cell r="A9" t="str">
            <v>Órgão externo</v>
          </cell>
          <cell r="B9">
            <v>22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0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1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0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38</v>
          </cell>
        </row>
        <row r="21">
          <cell r="A21" t="str">
            <v>Secretaria Municipal das Subprefeituras</v>
          </cell>
          <cell r="B21">
            <v>9</v>
          </cell>
        </row>
        <row r="22">
          <cell r="A22" t="str">
            <v>Secretaria Municipal de Assistência e Desenvolvimento Social</v>
          </cell>
          <cell r="B22">
            <v>8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2</v>
          </cell>
        </row>
        <row r="25">
          <cell r="A25" t="str">
            <v>Secretaria Municipal de Desenvolvimento Econômico e Trabalho</v>
          </cell>
          <cell r="B25">
            <v>0</v>
          </cell>
        </row>
        <row r="26">
          <cell r="A26" t="str">
            <v>Secretaria Municipal de Direitos Humanos e Cidadania</v>
          </cell>
          <cell r="B26">
            <v>0</v>
          </cell>
        </row>
        <row r="27">
          <cell r="A27" t="str">
            <v>Secretaria Municipal de Educação</v>
          </cell>
          <cell r="B27">
            <v>21</v>
          </cell>
        </row>
        <row r="28">
          <cell r="A28" t="str">
            <v>Secretaria Municipal de Esportes e Lazer</v>
          </cell>
          <cell r="B28">
            <v>8</v>
          </cell>
        </row>
        <row r="29">
          <cell r="A29" t="str">
            <v>Secretaria Municipal de Gestão</v>
          </cell>
          <cell r="B29">
            <v>2</v>
          </cell>
        </row>
        <row r="30">
          <cell r="A30" t="str">
            <v>Secretaria Municipal de Habitação</v>
          </cell>
          <cell r="B30">
            <v>0</v>
          </cell>
        </row>
        <row r="31">
          <cell r="A31" t="str">
            <v>Secretaria Municipal de Infraestrutura Urbana e Obras</v>
          </cell>
          <cell r="B31">
            <v>0</v>
          </cell>
        </row>
        <row r="32">
          <cell r="A32" t="str">
            <v>Secretaria Municipal de Inovação e Tecnologia</v>
          </cell>
          <cell r="B32">
            <v>0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2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11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4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1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0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1</v>
          </cell>
        </row>
        <row r="54">
          <cell r="A54" t="str">
            <v>Subprefeitura Lapa</v>
          </cell>
          <cell r="B54">
            <v>0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0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1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1</v>
          </cell>
        </row>
        <row r="65">
          <cell r="A65" t="str">
            <v>Subprefeitura São Miguel Paulista</v>
          </cell>
          <cell r="B65">
            <v>1</v>
          </cell>
        </row>
        <row r="66">
          <cell r="A66" t="str">
            <v>Subprefeitura Sapopemba</v>
          </cell>
          <cell r="B66">
            <v>1</v>
          </cell>
        </row>
        <row r="67">
          <cell r="A67" t="str">
            <v>Subprefeitura Sé</v>
          </cell>
          <cell r="B67">
            <v>0</v>
          </cell>
        </row>
        <row r="68">
          <cell r="A68" t="str">
            <v>Subprefeitura Vila Maria/Vila Guilherme</v>
          </cell>
          <cell r="B68">
            <v>0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</sheetData>
      <sheetData sheetId="3">
        <row r="1">
          <cell r="A1" t="str">
            <v>Unidades PMSP - ABRIL 2024</v>
          </cell>
          <cell r="B1" t="str">
            <v>INDEFERIDAS</v>
          </cell>
        </row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0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0</v>
          </cell>
        </row>
        <row r="6">
          <cell r="A6" t="str">
            <v>Companhia Metropolitana de Habitação - COHAB</v>
          </cell>
          <cell r="B6">
            <v>1</v>
          </cell>
        </row>
        <row r="7">
          <cell r="A7" t="str">
            <v>Controladoria Geral do Município</v>
          </cell>
          <cell r="B7">
            <v>1</v>
          </cell>
        </row>
        <row r="8">
          <cell r="A8" t="str">
            <v>Não identificado</v>
          </cell>
          <cell r="B8">
            <v>72</v>
          </cell>
        </row>
        <row r="9">
          <cell r="A9" t="str">
            <v>Órgão externo</v>
          </cell>
          <cell r="B9">
            <v>2</v>
          </cell>
        </row>
        <row r="10">
          <cell r="A10" t="str">
            <v>Procuradoria Geral do Município</v>
          </cell>
          <cell r="B10">
            <v>0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4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0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1</v>
          </cell>
        </row>
        <row r="17">
          <cell r="A17" t="str">
            <v>Secretaria Executiva de Mudanças Climáticas***</v>
          </cell>
          <cell r="B17">
            <v>0</v>
          </cell>
        </row>
        <row r="18">
          <cell r="A18" t="str">
            <v>Secretaria Municipal da Fazenda</v>
          </cell>
          <cell r="B18">
            <v>1</v>
          </cell>
        </row>
        <row r="19">
          <cell r="A19" t="str">
            <v>Secretaria Municipal da Pessoa com Deficiência</v>
          </cell>
          <cell r="B19">
            <v>0</v>
          </cell>
        </row>
        <row r="20">
          <cell r="A20" t="str">
            <v>Secretaria Municipal da Saúde</v>
          </cell>
          <cell r="B20">
            <v>27</v>
          </cell>
        </row>
        <row r="21">
          <cell r="A21" t="str">
            <v>Secretaria Municipal das Subprefeituras</v>
          </cell>
          <cell r="B21">
            <v>7</v>
          </cell>
        </row>
        <row r="22">
          <cell r="A22" t="str">
            <v>Secretaria Municipal de Assistência e Desenvolvimento Social</v>
          </cell>
          <cell r="B22">
            <v>13</v>
          </cell>
        </row>
        <row r="23">
          <cell r="A23" t="str">
            <v>Secretaria Executiva de Comunicação</v>
          </cell>
          <cell r="B23">
            <v>0</v>
          </cell>
        </row>
        <row r="24">
          <cell r="A24" t="str">
            <v>Secretaria Municipal de Cultura</v>
          </cell>
          <cell r="B24">
            <v>0</v>
          </cell>
        </row>
        <row r="25">
          <cell r="A25" t="str">
            <v>Secretaria Municipal de Desenvolvimento Econômico e Trabalho</v>
          </cell>
          <cell r="B25">
            <v>1</v>
          </cell>
        </row>
        <row r="26">
          <cell r="A26" t="str">
            <v>Secretaria Municipal de Direitos Humanos e Cidadania</v>
          </cell>
          <cell r="B26">
            <v>1</v>
          </cell>
        </row>
        <row r="27">
          <cell r="A27" t="str">
            <v>Secretaria Municipal de Educação</v>
          </cell>
          <cell r="B27">
            <v>30</v>
          </cell>
        </row>
        <row r="28">
          <cell r="A28" t="str">
            <v>Secretaria Municipal de Esportes e Lazer</v>
          </cell>
          <cell r="B28">
            <v>1</v>
          </cell>
        </row>
        <row r="29">
          <cell r="A29" t="str">
            <v>Secretaria Municipal de Gestão</v>
          </cell>
          <cell r="B29">
            <v>0</v>
          </cell>
        </row>
        <row r="30">
          <cell r="A30" t="str">
            <v>Secretaria Municipal de Habitação</v>
          </cell>
          <cell r="B30">
            <v>0</v>
          </cell>
        </row>
        <row r="31">
          <cell r="A31" t="str">
            <v>Secretaria Municipal de Infraestrutura Urbana e Obras</v>
          </cell>
          <cell r="B31">
            <v>0</v>
          </cell>
        </row>
        <row r="32">
          <cell r="A32" t="str">
            <v>Secretaria Municipal de Inovação e Tecnologia</v>
          </cell>
          <cell r="B32">
            <v>1</v>
          </cell>
        </row>
        <row r="33">
          <cell r="A33" t="str">
            <v>Secretaria Municipal de Justiça</v>
          </cell>
          <cell r="B33">
            <v>0</v>
          </cell>
        </row>
        <row r="34">
          <cell r="A34" t="str">
            <v>Secretaria Municipal de Mobilidade e Trânsito</v>
          </cell>
          <cell r="B34">
            <v>0</v>
          </cell>
        </row>
        <row r="35">
          <cell r="A35" t="str">
            <v>Secretaria Municipal de Segurança Urbana</v>
          </cell>
          <cell r="B35">
            <v>6</v>
          </cell>
        </row>
        <row r="36">
          <cell r="A36" t="str">
            <v>Secretaria Municipal de Turismo</v>
          </cell>
          <cell r="B36">
            <v>0</v>
          </cell>
        </row>
        <row r="37">
          <cell r="A37" t="str">
            <v>Secretaria Municipal de Urbanismo e Licenciamento*</v>
          </cell>
          <cell r="B37">
            <v>0</v>
          </cell>
        </row>
        <row r="38">
          <cell r="A38" t="str">
            <v>Secretaria Municipal do Verde e Meio Ambiente</v>
          </cell>
          <cell r="B38">
            <v>7</v>
          </cell>
        </row>
        <row r="39">
          <cell r="A39" t="str">
            <v>Subprefeitura Aricanduva</v>
          </cell>
          <cell r="B39">
            <v>3</v>
          </cell>
        </row>
        <row r="40">
          <cell r="A40" t="str">
            <v>Subprefeitura Butantã</v>
          </cell>
          <cell r="B40">
            <v>0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1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1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1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0</v>
          </cell>
        </row>
        <row r="52">
          <cell r="A52" t="str">
            <v>Subprefeitura Jabaquara</v>
          </cell>
          <cell r="B52">
            <v>0</v>
          </cell>
        </row>
        <row r="53">
          <cell r="A53" t="str">
            <v>Subprefeitura Jaçanã/Tremembé</v>
          </cell>
          <cell r="B53">
            <v>2</v>
          </cell>
        </row>
        <row r="54">
          <cell r="A54" t="str">
            <v>Subprefeitura Lapa</v>
          </cell>
          <cell r="B54">
            <v>0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1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0</v>
          </cell>
        </row>
        <row r="60">
          <cell r="A60" t="str">
            <v>Subprefeitura Pinheiros</v>
          </cell>
          <cell r="B60">
            <v>0</v>
          </cell>
        </row>
        <row r="61">
          <cell r="A61" t="str">
            <v>Subprefeitura Pirituba/Jaraguá</v>
          </cell>
          <cell r="B61">
            <v>0</v>
          </cell>
        </row>
        <row r="62">
          <cell r="A62" t="str">
            <v>Subprefeitura Santana/Tucuruvi</v>
          </cell>
          <cell r="B62">
            <v>1</v>
          </cell>
        </row>
        <row r="63">
          <cell r="A63" t="str">
            <v>Subprefeitura Santo Amaro</v>
          </cell>
          <cell r="B63">
            <v>0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0</v>
          </cell>
        </row>
        <row r="66">
          <cell r="A66" t="str">
            <v>Subprefeitura Sapopemba</v>
          </cell>
          <cell r="B66">
            <v>1</v>
          </cell>
        </row>
        <row r="67">
          <cell r="A67" t="str">
            <v>Subprefeitura Sé</v>
          </cell>
          <cell r="B67">
            <v>1</v>
          </cell>
        </row>
        <row r="68">
          <cell r="A68" t="str">
            <v>Subprefeitura Vila Maria/Vila Guilherme</v>
          </cell>
          <cell r="B68">
            <v>1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5.emf"/><Relationship Id="rId4" Type="http://schemas.openxmlformats.org/officeDocument/2006/relationships/package" Target="../embeddings/Documento_do_Microsoft_Word1.docx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Q1"/>
  <sheetViews>
    <sheetView showGridLines="0" tabSelected="1" zoomScale="70" zoomScaleNormal="70" workbookViewId="0">
      <selection activeCell="Y1" sqref="Y1"/>
    </sheetView>
  </sheetViews>
  <sheetFormatPr defaultRowHeight="15"/>
  <cols>
    <col min="1" max="1" width="9.140625" customWidth="1"/>
  </cols>
  <sheetData>
    <row r="1" spans="17:17">
      <c r="Q1" t="s">
        <v>319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9457" r:id="rId4">
          <objectPr defaultSize="0" autoPict="0" r:id="rId5">
            <anchor moveWithCells="1" sizeWithCells="1">
              <from>
                <xdr:col>0</xdr:col>
                <xdr:colOff>180975</xdr:colOff>
                <xdr:row>0</xdr:row>
                <xdr:rowOff>57150</xdr:rowOff>
              </from>
              <to>
                <xdr:col>23</xdr:col>
                <xdr:colOff>390525</xdr:colOff>
                <xdr:row>82</xdr:row>
                <xdr:rowOff>66675</xdr:rowOff>
              </to>
            </anchor>
          </objectPr>
        </oleObject>
      </mc:Choice>
      <mc:Fallback>
        <oleObject progId="Word.Document.12" shapeId="1945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4"/>
  <sheetViews>
    <sheetView topLeftCell="A52" workbookViewId="0"/>
  </sheetViews>
  <sheetFormatPr defaultColWidth="5.5703125" defaultRowHeight="14.25"/>
  <cols>
    <col min="1" max="1" width="68.85546875" style="106" customWidth="1"/>
    <col min="2" max="2" width="7.5703125" style="107" bestFit="1" customWidth="1"/>
    <col min="3" max="3" width="7.7109375" style="107" bestFit="1" customWidth="1"/>
    <col min="4" max="4" width="7.140625" style="107" bestFit="1" customWidth="1"/>
    <col min="5" max="5" width="7" style="107" bestFit="1" customWidth="1"/>
    <col min="6" max="6" width="7.5703125" style="107" bestFit="1" customWidth="1"/>
    <col min="7" max="7" width="6.7109375" style="95" bestFit="1" customWidth="1"/>
    <col min="8" max="8" width="7" style="107" bestFit="1" customWidth="1"/>
    <col min="9" max="9" width="7.28515625" style="107" bestFit="1" customWidth="1"/>
    <col min="10" max="10" width="7.140625" style="107" bestFit="1" customWidth="1"/>
    <col min="11" max="11" width="7.5703125" style="107" bestFit="1" customWidth="1"/>
    <col min="12" max="12" width="7.140625" style="108" bestFit="1" customWidth="1"/>
    <col min="13" max="13" width="7.85546875" style="107" customWidth="1"/>
    <col min="14" max="14" width="9.7109375" style="107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38"/>
      <c r="C1" s="138"/>
      <c r="D1" s="138"/>
      <c r="E1" s="138"/>
      <c r="F1" s="138"/>
      <c r="G1" s="92"/>
      <c r="H1" s="138"/>
      <c r="I1" s="138"/>
      <c r="J1" s="138"/>
      <c r="K1" s="138"/>
      <c r="L1" s="107"/>
      <c r="M1" s="108"/>
      <c r="N1" s="108"/>
      <c r="O1" s="9"/>
      <c r="P1" s="9"/>
    </row>
    <row r="2" spans="1:16" customFormat="1" ht="15">
      <c r="A2" s="139" t="s">
        <v>1</v>
      </c>
      <c r="B2" s="6"/>
      <c r="C2" s="6"/>
      <c r="D2" s="6"/>
      <c r="E2" s="6"/>
      <c r="F2" s="6"/>
      <c r="G2" s="70"/>
      <c r="H2" s="6"/>
      <c r="I2" s="6"/>
      <c r="J2" s="6"/>
      <c r="K2" s="6"/>
      <c r="L2" s="107"/>
      <c r="M2" s="108"/>
      <c r="N2" s="108"/>
      <c r="O2" s="9"/>
      <c r="P2" s="9"/>
    </row>
    <row r="3" spans="1:16" customFormat="1" ht="15.75" thickBot="1">
      <c r="A3" s="106"/>
      <c r="B3" s="107"/>
      <c r="C3" s="107"/>
      <c r="D3" s="107"/>
      <c r="E3" s="107"/>
      <c r="F3" s="107"/>
      <c r="G3" s="95"/>
      <c r="H3" s="107"/>
      <c r="I3" s="107"/>
      <c r="J3" s="107"/>
      <c r="K3" s="107"/>
      <c r="L3" s="107"/>
      <c r="M3" s="108"/>
      <c r="N3" s="108"/>
      <c r="O3" s="9"/>
      <c r="P3" s="9"/>
    </row>
    <row r="4" spans="1:16" customFormat="1" ht="15.75" thickBot="1">
      <c r="A4" s="140" t="s">
        <v>205</v>
      </c>
      <c r="B4" s="20">
        <v>45627</v>
      </c>
      <c r="C4" s="17">
        <v>45597</v>
      </c>
      <c r="D4" s="20">
        <v>45566</v>
      </c>
      <c r="E4" s="18">
        <v>45536</v>
      </c>
      <c r="F4" s="55">
        <v>45505</v>
      </c>
      <c r="G4" s="55">
        <v>45474</v>
      </c>
      <c r="H4" s="55">
        <v>45444</v>
      </c>
      <c r="I4" s="141">
        <v>45413</v>
      </c>
      <c r="J4" s="133">
        <v>45383</v>
      </c>
      <c r="K4" s="133">
        <v>45352</v>
      </c>
      <c r="L4" s="133">
        <v>45323</v>
      </c>
      <c r="M4" s="133">
        <v>45292</v>
      </c>
      <c r="N4" s="142" t="s">
        <v>5</v>
      </c>
      <c r="O4" s="143" t="s">
        <v>6</v>
      </c>
      <c r="P4" s="53" t="s">
        <v>25</v>
      </c>
    </row>
    <row r="5" spans="1:16" customFormat="1" ht="15">
      <c r="A5" s="144" t="s">
        <v>212</v>
      </c>
      <c r="B5" s="145"/>
      <c r="C5" s="27"/>
      <c r="D5" s="25"/>
      <c r="E5" s="25"/>
      <c r="F5" s="25"/>
      <c r="G5" s="25"/>
      <c r="H5" s="26"/>
      <c r="I5" s="25"/>
      <c r="J5" s="27">
        <v>147</v>
      </c>
      <c r="K5" s="27">
        <v>134</v>
      </c>
      <c r="L5" s="27">
        <v>116</v>
      </c>
      <c r="M5" s="27">
        <v>111</v>
      </c>
      <c r="N5" s="146">
        <f t="shared" ref="N5:N36" si="0">SUM(B5:M5)</f>
        <v>508</v>
      </c>
      <c r="O5" s="147">
        <f t="shared" ref="O5:O36" si="1">AVERAGE(B5:M5)</f>
        <v>127</v>
      </c>
      <c r="P5" s="148">
        <f t="shared" ref="P5:P36" si="2">(N5/$N$71)*100</f>
        <v>2.2087916865950694</v>
      </c>
    </row>
    <row r="6" spans="1:16" customFormat="1" ht="15">
      <c r="A6" s="149" t="s">
        <v>213</v>
      </c>
      <c r="B6" s="150"/>
      <c r="C6" s="37"/>
      <c r="D6" s="27"/>
      <c r="E6" s="27"/>
      <c r="F6" s="27"/>
      <c r="G6" s="37"/>
      <c r="H6" s="38"/>
      <c r="I6" s="37"/>
      <c r="J6" s="37">
        <v>0</v>
      </c>
      <c r="K6" s="37">
        <v>0</v>
      </c>
      <c r="L6" s="37">
        <v>0</v>
      </c>
      <c r="M6" s="37">
        <v>0</v>
      </c>
      <c r="N6" s="151">
        <f t="shared" si="0"/>
        <v>0</v>
      </c>
      <c r="O6" s="147">
        <f t="shared" si="1"/>
        <v>0</v>
      </c>
      <c r="P6" s="148">
        <f t="shared" si="2"/>
        <v>0</v>
      </c>
    </row>
    <row r="7" spans="1:16" customFormat="1" ht="15">
      <c r="A7" s="149" t="s">
        <v>214</v>
      </c>
      <c r="B7" s="152"/>
      <c r="C7" s="37"/>
      <c r="D7" s="37"/>
      <c r="E7" s="37"/>
      <c r="F7" s="37"/>
      <c r="G7" s="37"/>
      <c r="H7" s="38"/>
      <c r="I7" s="37"/>
      <c r="J7" s="37">
        <v>304</v>
      </c>
      <c r="K7" s="37">
        <v>249</v>
      </c>
      <c r="L7" s="37">
        <v>245</v>
      </c>
      <c r="M7" s="37">
        <v>328</v>
      </c>
      <c r="N7" s="151">
        <f t="shared" si="0"/>
        <v>1126</v>
      </c>
      <c r="O7" s="147">
        <f t="shared" si="1"/>
        <v>281.5</v>
      </c>
      <c r="P7" s="148">
        <f t="shared" si="2"/>
        <v>4.8958650376103305</v>
      </c>
    </row>
    <row r="8" spans="1:16" customFormat="1" ht="15">
      <c r="A8" s="149" t="s">
        <v>215</v>
      </c>
      <c r="B8" s="152"/>
      <c r="C8" s="37"/>
      <c r="D8" s="37"/>
      <c r="E8" s="37"/>
      <c r="F8" s="37"/>
      <c r="G8" s="37"/>
      <c r="H8" s="38"/>
      <c r="I8" s="37"/>
      <c r="J8" s="37">
        <v>10</v>
      </c>
      <c r="K8" s="37">
        <v>19</v>
      </c>
      <c r="L8" s="37">
        <v>8</v>
      </c>
      <c r="M8" s="37">
        <v>11</v>
      </c>
      <c r="N8" s="151">
        <f t="shared" si="0"/>
        <v>48</v>
      </c>
      <c r="O8" s="147">
        <f t="shared" si="1"/>
        <v>12</v>
      </c>
      <c r="P8" s="148">
        <f t="shared" si="2"/>
        <v>0.20870472629244749</v>
      </c>
    </row>
    <row r="9" spans="1:16" customFormat="1" ht="15">
      <c r="A9" s="149" t="s">
        <v>216</v>
      </c>
      <c r="B9" s="152"/>
      <c r="C9" s="37"/>
      <c r="D9" s="37"/>
      <c r="E9" s="37"/>
      <c r="F9" s="37"/>
      <c r="G9" s="37"/>
      <c r="H9" s="38"/>
      <c r="I9" s="37"/>
      <c r="J9" s="37">
        <v>44</v>
      </c>
      <c r="K9" s="37">
        <v>44</v>
      </c>
      <c r="L9" s="37">
        <v>38</v>
      </c>
      <c r="M9" s="37">
        <v>52</v>
      </c>
      <c r="N9" s="151">
        <f t="shared" si="0"/>
        <v>178</v>
      </c>
      <c r="O9" s="147">
        <f t="shared" si="1"/>
        <v>44.5</v>
      </c>
      <c r="P9" s="148">
        <f t="shared" si="2"/>
        <v>0.77394669333449273</v>
      </c>
    </row>
    <row r="10" spans="1:16" customFormat="1" ht="15">
      <c r="A10" s="149" t="s">
        <v>217</v>
      </c>
      <c r="B10" s="152"/>
      <c r="C10" s="37"/>
      <c r="D10" s="37"/>
      <c r="E10" s="37"/>
      <c r="F10" s="37"/>
      <c r="G10" s="37"/>
      <c r="H10" s="38"/>
      <c r="I10" s="37"/>
      <c r="J10" s="37">
        <v>2</v>
      </c>
      <c r="K10" s="37">
        <v>1</v>
      </c>
      <c r="L10" s="37">
        <v>3</v>
      </c>
      <c r="M10" s="37">
        <v>1</v>
      </c>
      <c r="N10" s="151">
        <f t="shared" si="0"/>
        <v>7</v>
      </c>
      <c r="O10" s="147">
        <f t="shared" si="1"/>
        <v>1.75</v>
      </c>
      <c r="P10" s="148">
        <f t="shared" si="2"/>
        <v>3.0436105917648594E-2</v>
      </c>
    </row>
    <row r="11" spans="1:16" customFormat="1" ht="15">
      <c r="A11" s="149" t="s">
        <v>144</v>
      </c>
      <c r="B11" s="152"/>
      <c r="C11" s="37"/>
      <c r="D11" s="37"/>
      <c r="E11" s="37"/>
      <c r="F11" s="37"/>
      <c r="G11" s="37"/>
      <c r="H11" s="38"/>
      <c r="I11" s="37"/>
      <c r="J11" s="37">
        <v>314</v>
      </c>
      <c r="K11" s="37">
        <v>147</v>
      </c>
      <c r="L11" s="37">
        <v>252</v>
      </c>
      <c r="M11" s="37">
        <v>175</v>
      </c>
      <c r="N11" s="151">
        <f t="shared" si="0"/>
        <v>888</v>
      </c>
      <c r="O11" s="147">
        <f t="shared" si="1"/>
        <v>222</v>
      </c>
      <c r="P11" s="148">
        <f t="shared" si="2"/>
        <v>3.8610374364102786</v>
      </c>
    </row>
    <row r="12" spans="1:16" customFormat="1" ht="15">
      <c r="A12" s="149" t="s">
        <v>218</v>
      </c>
      <c r="B12" s="152"/>
      <c r="C12" s="37"/>
      <c r="D12" s="37"/>
      <c r="E12" s="37"/>
      <c r="F12" s="37"/>
      <c r="G12" s="37"/>
      <c r="H12" s="37"/>
      <c r="I12" s="37"/>
      <c r="J12" s="37">
        <v>52</v>
      </c>
      <c r="K12" s="37">
        <v>27</v>
      </c>
      <c r="L12" s="37">
        <v>35</v>
      </c>
      <c r="M12" s="37">
        <v>49</v>
      </c>
      <c r="N12" s="151">
        <f t="shared" si="0"/>
        <v>163</v>
      </c>
      <c r="O12" s="147">
        <f t="shared" si="1"/>
        <v>40.75</v>
      </c>
      <c r="P12" s="148">
        <f t="shared" si="2"/>
        <v>0.70872646636810299</v>
      </c>
    </row>
    <row r="13" spans="1:16" customFormat="1" ht="15">
      <c r="A13" s="149" t="s">
        <v>219</v>
      </c>
      <c r="B13" s="152"/>
      <c r="C13" s="37"/>
      <c r="D13" s="37"/>
      <c r="E13" s="37"/>
      <c r="F13" s="37"/>
      <c r="G13" s="37"/>
      <c r="H13" s="37"/>
      <c r="I13" s="37"/>
      <c r="J13" s="37">
        <v>0</v>
      </c>
      <c r="K13" s="37">
        <v>0</v>
      </c>
      <c r="L13" s="37">
        <v>0</v>
      </c>
      <c r="M13" s="37">
        <v>0</v>
      </c>
      <c r="N13" s="151">
        <f t="shared" si="0"/>
        <v>0</v>
      </c>
      <c r="O13" s="147">
        <f t="shared" si="1"/>
        <v>0</v>
      </c>
      <c r="P13" s="148">
        <f t="shared" si="2"/>
        <v>0</v>
      </c>
    </row>
    <row r="14" spans="1:16" customFormat="1" ht="15">
      <c r="A14" s="149" t="s">
        <v>220</v>
      </c>
      <c r="B14" s="152"/>
      <c r="C14" s="37"/>
      <c r="D14" s="37"/>
      <c r="E14" s="37"/>
      <c r="F14" s="37"/>
      <c r="G14" s="37"/>
      <c r="H14" s="37"/>
      <c r="I14" s="37"/>
      <c r="J14" s="37">
        <v>329</v>
      </c>
      <c r="K14" s="37">
        <v>316</v>
      </c>
      <c r="L14" s="37">
        <v>213</v>
      </c>
      <c r="M14" s="37">
        <v>180</v>
      </c>
      <c r="N14" s="151">
        <f t="shared" si="0"/>
        <v>1038</v>
      </c>
      <c r="O14" s="147">
        <f t="shared" si="1"/>
        <v>259.5</v>
      </c>
      <c r="P14" s="148">
        <f t="shared" si="2"/>
        <v>4.5132397060741773</v>
      </c>
    </row>
    <row r="15" spans="1:16" customFormat="1" ht="15">
      <c r="A15" s="149" t="s">
        <v>221</v>
      </c>
      <c r="B15" s="152"/>
      <c r="C15" s="37"/>
      <c r="D15" s="37"/>
      <c r="E15" s="37"/>
      <c r="F15" s="37"/>
      <c r="G15" s="37"/>
      <c r="H15" s="38"/>
      <c r="I15" s="37"/>
      <c r="J15" s="37">
        <v>0</v>
      </c>
      <c r="K15" s="37">
        <v>0</v>
      </c>
      <c r="L15" s="37">
        <v>0</v>
      </c>
      <c r="M15" s="37">
        <v>0</v>
      </c>
      <c r="N15" s="151">
        <f t="shared" si="0"/>
        <v>0</v>
      </c>
      <c r="O15" s="147">
        <f t="shared" si="1"/>
        <v>0</v>
      </c>
      <c r="P15" s="148">
        <f t="shared" si="2"/>
        <v>0</v>
      </c>
    </row>
    <row r="16" spans="1:16" customFormat="1" ht="15">
      <c r="A16" s="149" t="s">
        <v>222</v>
      </c>
      <c r="B16" s="152"/>
      <c r="C16" s="37"/>
      <c r="D16" s="37"/>
      <c r="E16" s="37"/>
      <c r="F16" s="37"/>
      <c r="G16" s="37"/>
      <c r="H16" s="37"/>
      <c r="I16" s="37"/>
      <c r="J16" s="37">
        <v>0</v>
      </c>
      <c r="K16" s="37">
        <v>0</v>
      </c>
      <c r="L16" s="37">
        <v>0</v>
      </c>
      <c r="M16" s="37">
        <v>1</v>
      </c>
      <c r="N16" s="151">
        <f t="shared" si="0"/>
        <v>1</v>
      </c>
      <c r="O16" s="147">
        <f t="shared" si="1"/>
        <v>0.25</v>
      </c>
      <c r="P16" s="148">
        <f t="shared" si="2"/>
        <v>4.348015131092656E-3</v>
      </c>
    </row>
    <row r="17" spans="1:16" customFormat="1" ht="15" customHeight="1">
      <c r="A17" s="149" t="s">
        <v>223</v>
      </c>
      <c r="B17" s="152"/>
      <c r="C17" s="37"/>
      <c r="D17" s="37"/>
      <c r="E17" s="37"/>
      <c r="F17" s="37"/>
      <c r="G17" s="37"/>
      <c r="H17" s="37"/>
      <c r="I17" s="37"/>
      <c r="J17" s="37">
        <v>12</v>
      </c>
      <c r="K17" s="37">
        <v>14</v>
      </c>
      <c r="L17" s="37">
        <v>10</v>
      </c>
      <c r="M17" s="37">
        <v>15</v>
      </c>
      <c r="N17" s="151">
        <f t="shared" si="0"/>
        <v>51</v>
      </c>
      <c r="O17" s="147">
        <f t="shared" si="1"/>
        <v>12.75</v>
      </c>
      <c r="P17" s="148">
        <f t="shared" si="2"/>
        <v>0.22174877168572549</v>
      </c>
    </row>
    <row r="18" spans="1:16" customFormat="1" ht="15">
      <c r="A18" s="149" t="s">
        <v>224</v>
      </c>
      <c r="B18" s="152"/>
      <c r="C18" s="37"/>
      <c r="D18" s="37"/>
      <c r="E18" s="37"/>
      <c r="F18" s="37"/>
      <c r="G18" s="37"/>
      <c r="H18" s="37"/>
      <c r="I18" s="37"/>
      <c r="J18" s="37">
        <v>351</v>
      </c>
      <c r="K18" s="37">
        <v>360</v>
      </c>
      <c r="L18" s="37">
        <v>334</v>
      </c>
      <c r="M18" s="37">
        <v>379</v>
      </c>
      <c r="N18" s="151">
        <f t="shared" si="0"/>
        <v>1424</v>
      </c>
      <c r="O18" s="147">
        <f t="shared" si="1"/>
        <v>356</v>
      </c>
      <c r="P18" s="148">
        <f t="shared" si="2"/>
        <v>6.1915735466759418</v>
      </c>
    </row>
    <row r="19" spans="1:16" customFormat="1" ht="15">
      <c r="A19" s="149" t="s">
        <v>225</v>
      </c>
      <c r="B19" s="152"/>
      <c r="C19" s="37"/>
      <c r="D19" s="37"/>
      <c r="E19" s="37"/>
      <c r="F19" s="37"/>
      <c r="G19" s="37"/>
      <c r="H19" s="37"/>
      <c r="I19" s="37"/>
      <c r="J19" s="37">
        <v>350</v>
      </c>
      <c r="K19" s="37">
        <v>327</v>
      </c>
      <c r="L19" s="37">
        <v>388</v>
      </c>
      <c r="M19" s="37">
        <v>354</v>
      </c>
      <c r="N19" s="151">
        <f t="shared" si="0"/>
        <v>1419</v>
      </c>
      <c r="O19" s="147">
        <f t="shared" si="1"/>
        <v>354.75</v>
      </c>
      <c r="P19" s="148">
        <f t="shared" si="2"/>
        <v>6.1698334710204792</v>
      </c>
    </row>
    <row r="20" spans="1:16" customFormat="1" ht="15">
      <c r="A20" s="149" t="s">
        <v>226</v>
      </c>
      <c r="B20" s="152"/>
      <c r="C20" s="37"/>
      <c r="D20" s="37"/>
      <c r="E20" s="37"/>
      <c r="F20" s="37"/>
      <c r="G20" s="37"/>
      <c r="H20" s="37"/>
      <c r="I20" s="37"/>
      <c r="J20" s="37">
        <v>2</v>
      </c>
      <c r="K20" s="37">
        <v>2</v>
      </c>
      <c r="L20" s="37">
        <v>1</v>
      </c>
      <c r="M20" s="37">
        <v>2</v>
      </c>
      <c r="N20" s="151">
        <f t="shared" si="0"/>
        <v>7</v>
      </c>
      <c r="O20" s="147">
        <f t="shared" si="1"/>
        <v>1.75</v>
      </c>
      <c r="P20" s="148">
        <f t="shared" si="2"/>
        <v>3.0436105917648594E-2</v>
      </c>
    </row>
    <row r="21" spans="1:16" customFormat="1" ht="15">
      <c r="A21" s="149" t="s">
        <v>227</v>
      </c>
      <c r="B21" s="152"/>
      <c r="C21" s="37"/>
      <c r="D21" s="37"/>
      <c r="E21" s="37"/>
      <c r="F21" s="37"/>
      <c r="G21" s="37"/>
      <c r="H21" s="37"/>
      <c r="I21" s="37"/>
      <c r="J21" s="37">
        <v>608</v>
      </c>
      <c r="K21" s="37">
        <v>519</v>
      </c>
      <c r="L21" s="37">
        <v>424</v>
      </c>
      <c r="M21" s="37">
        <v>439</v>
      </c>
      <c r="N21" s="151">
        <f t="shared" si="0"/>
        <v>1990</v>
      </c>
      <c r="O21" s="147">
        <f t="shared" si="1"/>
        <v>497.5</v>
      </c>
      <c r="P21" s="148">
        <f t="shared" si="2"/>
        <v>8.652550110874385</v>
      </c>
    </row>
    <row r="22" spans="1:16" customFormat="1" ht="15">
      <c r="A22" s="149" t="s">
        <v>228</v>
      </c>
      <c r="B22" s="152"/>
      <c r="C22" s="37"/>
      <c r="D22" s="37"/>
      <c r="E22" s="37"/>
      <c r="F22" s="37"/>
      <c r="G22" s="37"/>
      <c r="H22" s="37"/>
      <c r="I22" s="37"/>
      <c r="J22" s="37">
        <v>622</v>
      </c>
      <c r="K22" s="37">
        <v>635</v>
      </c>
      <c r="L22" s="37">
        <v>584</v>
      </c>
      <c r="M22" s="37">
        <v>560</v>
      </c>
      <c r="N22" s="151">
        <f t="shared" si="0"/>
        <v>2401</v>
      </c>
      <c r="O22" s="147">
        <f t="shared" si="1"/>
        <v>600.25</v>
      </c>
      <c r="P22" s="148">
        <f t="shared" si="2"/>
        <v>10.439584329753467</v>
      </c>
    </row>
    <row r="23" spans="1:16" customFormat="1" ht="15">
      <c r="A23" s="149" t="s">
        <v>229</v>
      </c>
      <c r="B23" s="152"/>
      <c r="C23" s="37"/>
      <c r="D23" s="37"/>
      <c r="E23" s="37"/>
      <c r="F23" s="37"/>
      <c r="G23" s="37"/>
      <c r="H23" s="37"/>
      <c r="I23" s="37"/>
      <c r="J23" s="37">
        <v>1024</v>
      </c>
      <c r="K23" s="37">
        <v>976</v>
      </c>
      <c r="L23" s="37">
        <v>909</v>
      </c>
      <c r="M23" s="37">
        <v>711</v>
      </c>
      <c r="N23" s="151">
        <f t="shared" si="0"/>
        <v>3620</v>
      </c>
      <c r="O23" s="147">
        <f t="shared" si="1"/>
        <v>905</v>
      </c>
      <c r="P23" s="148">
        <f t="shared" si="2"/>
        <v>15.739814774555416</v>
      </c>
    </row>
    <row r="24" spans="1:16" customFormat="1" ht="15">
      <c r="A24" s="149" t="s">
        <v>230</v>
      </c>
      <c r="B24" s="152"/>
      <c r="C24" s="37"/>
      <c r="D24" s="37"/>
      <c r="E24" s="37"/>
      <c r="F24" s="37"/>
      <c r="G24" s="37"/>
      <c r="H24" s="37"/>
      <c r="I24" s="37"/>
      <c r="J24" s="37">
        <v>20</v>
      </c>
      <c r="K24" s="37">
        <v>18</v>
      </c>
      <c r="L24" s="37">
        <v>12</v>
      </c>
      <c r="M24" s="37">
        <v>18</v>
      </c>
      <c r="N24" s="151">
        <f t="shared" si="0"/>
        <v>68</v>
      </c>
      <c r="O24" s="147">
        <f t="shared" si="1"/>
        <v>17</v>
      </c>
      <c r="P24" s="148">
        <f t="shared" si="2"/>
        <v>0.29566502891430063</v>
      </c>
    </row>
    <row r="25" spans="1:16" customFormat="1" ht="15">
      <c r="A25" s="149" t="s">
        <v>231</v>
      </c>
      <c r="B25" s="152"/>
      <c r="C25" s="37"/>
      <c r="D25" s="37"/>
      <c r="E25" s="37"/>
      <c r="F25" s="37"/>
      <c r="G25" s="37"/>
      <c r="H25" s="37"/>
      <c r="I25" s="37"/>
      <c r="J25" s="37">
        <v>26</v>
      </c>
      <c r="K25" s="37">
        <v>16</v>
      </c>
      <c r="L25" s="37">
        <v>16</v>
      </c>
      <c r="M25" s="37">
        <v>21</v>
      </c>
      <c r="N25" s="151">
        <f t="shared" si="0"/>
        <v>79</v>
      </c>
      <c r="O25" s="147">
        <f t="shared" si="1"/>
        <v>19.75</v>
      </c>
      <c r="P25" s="148">
        <f t="shared" si="2"/>
        <v>0.34349319535631984</v>
      </c>
    </row>
    <row r="26" spans="1:16" customFormat="1" ht="15">
      <c r="A26" s="149" t="s">
        <v>232</v>
      </c>
      <c r="B26" s="152"/>
      <c r="C26" s="37"/>
      <c r="D26" s="37"/>
      <c r="E26" s="37"/>
      <c r="F26" s="37"/>
      <c r="G26" s="37"/>
      <c r="H26" s="38"/>
      <c r="I26" s="37"/>
      <c r="J26" s="37">
        <v>66</v>
      </c>
      <c r="K26" s="37">
        <v>45</v>
      </c>
      <c r="L26" s="37">
        <v>32</v>
      </c>
      <c r="M26" s="37">
        <v>71</v>
      </c>
      <c r="N26" s="151">
        <f t="shared" si="0"/>
        <v>214</v>
      </c>
      <c r="O26" s="147">
        <f t="shared" si="1"/>
        <v>53.5</v>
      </c>
      <c r="P26" s="148">
        <f t="shared" si="2"/>
        <v>0.93047523805382848</v>
      </c>
    </row>
    <row r="27" spans="1:16" customFormat="1" ht="15">
      <c r="A27" s="149" t="s">
        <v>233</v>
      </c>
      <c r="B27" s="152"/>
      <c r="C27" s="37"/>
      <c r="D27" s="37"/>
      <c r="E27" s="37"/>
      <c r="F27" s="37"/>
      <c r="G27" s="37"/>
      <c r="H27" s="37"/>
      <c r="I27" s="37"/>
      <c r="J27" s="37">
        <v>306</v>
      </c>
      <c r="K27" s="37">
        <v>436</v>
      </c>
      <c r="L27" s="37">
        <v>465</v>
      </c>
      <c r="M27" s="37">
        <v>268</v>
      </c>
      <c r="N27" s="151">
        <f t="shared" si="0"/>
        <v>1475</v>
      </c>
      <c r="O27" s="147">
        <f t="shared" si="1"/>
        <v>368.75</v>
      </c>
      <c r="P27" s="148">
        <f t="shared" si="2"/>
        <v>6.4133223183616677</v>
      </c>
    </row>
    <row r="28" spans="1:16" customFormat="1" ht="15">
      <c r="A28" s="149" t="s">
        <v>234</v>
      </c>
      <c r="B28" s="152"/>
      <c r="C28" s="37"/>
      <c r="D28" s="37"/>
      <c r="E28" s="37"/>
      <c r="F28" s="37"/>
      <c r="G28" s="37"/>
      <c r="H28" s="37"/>
      <c r="I28" s="37"/>
      <c r="J28" s="37">
        <v>22</v>
      </c>
      <c r="K28" s="37">
        <v>22</v>
      </c>
      <c r="L28" s="37">
        <v>23</v>
      </c>
      <c r="M28" s="37">
        <v>54</v>
      </c>
      <c r="N28" s="151">
        <f t="shared" si="0"/>
        <v>121</v>
      </c>
      <c r="O28" s="147">
        <f t="shared" si="1"/>
        <v>30.25</v>
      </c>
      <c r="P28" s="148">
        <f t="shared" si="2"/>
        <v>0.52610983086221141</v>
      </c>
    </row>
    <row r="29" spans="1:16" customFormat="1" ht="15">
      <c r="A29" s="149" t="s">
        <v>235</v>
      </c>
      <c r="B29" s="152"/>
      <c r="C29" s="37"/>
      <c r="D29" s="37"/>
      <c r="E29" s="37"/>
      <c r="F29" s="37"/>
      <c r="G29" s="37"/>
      <c r="H29" s="37"/>
      <c r="I29" s="37"/>
      <c r="J29" s="37">
        <v>42</v>
      </c>
      <c r="K29" s="37">
        <v>27</v>
      </c>
      <c r="L29" s="37">
        <v>20</v>
      </c>
      <c r="M29" s="37">
        <v>36</v>
      </c>
      <c r="N29" s="151">
        <f t="shared" si="0"/>
        <v>125</v>
      </c>
      <c r="O29" s="147">
        <f t="shared" si="1"/>
        <v>31.25</v>
      </c>
      <c r="P29" s="148">
        <f t="shared" si="2"/>
        <v>0.543501891386582</v>
      </c>
    </row>
    <row r="30" spans="1:16" customFormat="1" ht="15">
      <c r="A30" s="149" t="s">
        <v>236</v>
      </c>
      <c r="B30" s="152"/>
      <c r="C30" s="37"/>
      <c r="D30" s="37"/>
      <c r="E30" s="37"/>
      <c r="F30" s="37"/>
      <c r="G30" s="37"/>
      <c r="H30" s="37"/>
      <c r="I30" s="37"/>
      <c r="J30" s="37">
        <v>11</v>
      </c>
      <c r="K30" s="37">
        <v>5</v>
      </c>
      <c r="L30" s="37">
        <v>15</v>
      </c>
      <c r="M30" s="37">
        <v>3</v>
      </c>
      <c r="N30" s="151">
        <f t="shared" si="0"/>
        <v>34</v>
      </c>
      <c r="O30" s="147">
        <f t="shared" si="1"/>
        <v>8.5</v>
      </c>
      <c r="P30" s="148">
        <f t="shared" si="2"/>
        <v>0.14783251445715032</v>
      </c>
    </row>
    <row r="31" spans="1:16" customFormat="1" ht="15">
      <c r="A31" s="149" t="s">
        <v>237</v>
      </c>
      <c r="B31" s="152"/>
      <c r="C31" s="37"/>
      <c r="D31" s="37"/>
      <c r="E31" s="37"/>
      <c r="F31" s="37"/>
      <c r="G31" s="37"/>
      <c r="H31" s="38"/>
      <c r="I31" s="37"/>
      <c r="J31" s="37">
        <v>22</v>
      </c>
      <c r="K31" s="37">
        <v>31</v>
      </c>
      <c r="L31" s="37">
        <v>52</v>
      </c>
      <c r="M31" s="37">
        <v>46</v>
      </c>
      <c r="N31" s="151">
        <f t="shared" si="0"/>
        <v>151</v>
      </c>
      <c r="O31" s="147">
        <f t="shared" si="1"/>
        <v>37.75</v>
      </c>
      <c r="P31" s="148">
        <f t="shared" si="2"/>
        <v>0.65655028479499111</v>
      </c>
    </row>
    <row r="32" spans="1:16" customFormat="1" ht="15">
      <c r="A32" s="149" t="s">
        <v>238</v>
      </c>
      <c r="B32" s="152"/>
      <c r="C32" s="37"/>
      <c r="D32" s="37"/>
      <c r="E32" s="37"/>
      <c r="F32" s="37"/>
      <c r="G32" s="37"/>
      <c r="H32" s="37"/>
      <c r="I32" s="37"/>
      <c r="J32" s="37">
        <v>51</v>
      </c>
      <c r="K32" s="37">
        <v>29</v>
      </c>
      <c r="L32" s="37">
        <v>27</v>
      </c>
      <c r="M32" s="37">
        <v>31</v>
      </c>
      <c r="N32" s="151">
        <f t="shared" si="0"/>
        <v>138</v>
      </c>
      <c r="O32" s="147">
        <f t="shared" si="1"/>
        <v>34.5</v>
      </c>
      <c r="P32" s="148">
        <f t="shared" si="2"/>
        <v>0.6000260880907865</v>
      </c>
    </row>
    <row r="33" spans="1:16" customFormat="1" ht="15" customHeight="1">
      <c r="A33" s="149" t="s">
        <v>239</v>
      </c>
      <c r="B33" s="152"/>
      <c r="C33" s="37"/>
      <c r="D33" s="37"/>
      <c r="E33" s="37"/>
      <c r="F33" s="37"/>
      <c r="G33" s="37"/>
      <c r="H33" s="37"/>
      <c r="I33" s="37"/>
      <c r="J33" s="37">
        <v>1</v>
      </c>
      <c r="K33" s="37">
        <v>0</v>
      </c>
      <c r="L33" s="37">
        <v>0</v>
      </c>
      <c r="M33" s="37">
        <v>0</v>
      </c>
      <c r="N33" s="151">
        <f t="shared" si="0"/>
        <v>1</v>
      </c>
      <c r="O33" s="147">
        <f t="shared" si="1"/>
        <v>0.25</v>
      </c>
      <c r="P33" s="148">
        <f t="shared" si="2"/>
        <v>4.348015131092656E-3</v>
      </c>
    </row>
    <row r="34" spans="1:16" customFormat="1" ht="15" customHeight="1">
      <c r="A34" s="149" t="s">
        <v>240</v>
      </c>
      <c r="B34" s="152"/>
      <c r="C34" s="37"/>
      <c r="D34" s="37"/>
      <c r="E34" s="37"/>
      <c r="F34" s="37"/>
      <c r="G34" s="37"/>
      <c r="H34" s="37"/>
      <c r="I34" s="37"/>
      <c r="J34" s="37">
        <v>43</v>
      </c>
      <c r="K34" s="37">
        <v>52</v>
      </c>
      <c r="L34" s="37">
        <v>48</v>
      </c>
      <c r="M34" s="37">
        <v>52</v>
      </c>
      <c r="N34" s="151">
        <f t="shared" si="0"/>
        <v>195</v>
      </c>
      <c r="O34" s="147">
        <f t="shared" si="1"/>
        <v>48.75</v>
      </c>
      <c r="P34" s="148">
        <f t="shared" si="2"/>
        <v>0.84786295056306793</v>
      </c>
    </row>
    <row r="35" spans="1:16" customFormat="1" ht="15" customHeight="1">
      <c r="A35" s="149" t="s">
        <v>241</v>
      </c>
      <c r="B35" s="152"/>
      <c r="C35" s="37"/>
      <c r="D35" s="37"/>
      <c r="E35" s="37"/>
      <c r="F35" s="37"/>
      <c r="G35" s="37"/>
      <c r="H35" s="37"/>
      <c r="I35" s="37"/>
      <c r="J35" s="37">
        <v>26</v>
      </c>
      <c r="K35" s="37">
        <v>30</v>
      </c>
      <c r="L35" s="37">
        <v>35</v>
      </c>
      <c r="M35" s="37">
        <v>41</v>
      </c>
      <c r="N35" s="151">
        <f t="shared" si="0"/>
        <v>132</v>
      </c>
      <c r="O35" s="147">
        <f t="shared" si="1"/>
        <v>33</v>
      </c>
      <c r="P35" s="148">
        <f t="shared" si="2"/>
        <v>0.57393799730423056</v>
      </c>
    </row>
    <row r="36" spans="1:16" customFormat="1" ht="15" customHeight="1">
      <c r="A36" s="149" t="s">
        <v>242</v>
      </c>
      <c r="B36" s="152"/>
      <c r="C36" s="37"/>
      <c r="D36" s="37"/>
      <c r="E36" s="37"/>
      <c r="F36" s="37"/>
      <c r="G36" s="37"/>
      <c r="H36" s="37"/>
      <c r="I36" s="37"/>
      <c r="J36" s="37">
        <v>0</v>
      </c>
      <c r="K36" s="37">
        <v>0</v>
      </c>
      <c r="L36" s="37">
        <v>0</v>
      </c>
      <c r="M36" s="37">
        <v>0</v>
      </c>
      <c r="N36" s="151">
        <f t="shared" si="0"/>
        <v>0</v>
      </c>
      <c r="O36" s="147">
        <f t="shared" si="1"/>
        <v>0</v>
      </c>
      <c r="P36" s="148">
        <f t="shared" si="2"/>
        <v>0</v>
      </c>
    </row>
    <row r="37" spans="1:16" customFormat="1" ht="15" customHeight="1">
      <c r="A37" s="149" t="s">
        <v>243</v>
      </c>
      <c r="B37" s="152"/>
      <c r="C37" s="37"/>
      <c r="D37" s="37"/>
      <c r="E37" s="37"/>
      <c r="F37" s="37"/>
      <c r="G37" s="37"/>
      <c r="H37" s="37"/>
      <c r="I37" s="37"/>
      <c r="J37" s="37">
        <v>32</v>
      </c>
      <c r="K37" s="37">
        <v>68</v>
      </c>
      <c r="L37" s="37">
        <v>50</v>
      </c>
      <c r="M37" s="37">
        <v>92</v>
      </c>
      <c r="N37" s="151">
        <f t="shared" ref="N37:N67" si="3">SUM(B37:M37)</f>
        <v>242</v>
      </c>
      <c r="O37" s="147">
        <f t="shared" ref="O37:O71" si="4">AVERAGE(B37:M37)</f>
        <v>60.5</v>
      </c>
      <c r="P37" s="148">
        <f t="shared" ref="P37:P70" si="5">(N37/$N$71)*100</f>
        <v>1.0522196617244228</v>
      </c>
    </row>
    <row r="38" spans="1:16" customFormat="1" ht="15" customHeight="1">
      <c r="A38" s="149" t="s">
        <v>244</v>
      </c>
      <c r="B38" s="152"/>
      <c r="C38" s="37"/>
      <c r="D38" s="37"/>
      <c r="E38" s="37"/>
      <c r="F38" s="37"/>
      <c r="G38" s="37"/>
      <c r="H38" s="37"/>
      <c r="I38" s="37"/>
      <c r="J38" s="37">
        <v>58</v>
      </c>
      <c r="K38" s="37">
        <v>48</v>
      </c>
      <c r="L38" s="37">
        <v>54</v>
      </c>
      <c r="M38" s="37">
        <v>52</v>
      </c>
      <c r="N38" s="151">
        <f t="shared" si="3"/>
        <v>212</v>
      </c>
      <c r="O38" s="147">
        <f t="shared" si="4"/>
        <v>53</v>
      </c>
      <c r="P38" s="148">
        <f t="shared" si="5"/>
        <v>0.92177920779164313</v>
      </c>
    </row>
    <row r="39" spans="1:16" customFormat="1" ht="15" customHeight="1">
      <c r="A39" s="149" t="s">
        <v>245</v>
      </c>
      <c r="B39" s="152"/>
      <c r="C39" s="37"/>
      <c r="D39" s="37"/>
      <c r="E39" s="37"/>
      <c r="F39" s="37"/>
      <c r="G39" s="37"/>
      <c r="H39" s="37"/>
      <c r="I39" s="37"/>
      <c r="J39" s="37">
        <v>47</v>
      </c>
      <c r="K39" s="37">
        <v>21</v>
      </c>
      <c r="L39" s="37">
        <v>22</v>
      </c>
      <c r="M39" s="37">
        <v>22</v>
      </c>
      <c r="N39" s="151">
        <f t="shared" si="3"/>
        <v>112</v>
      </c>
      <c r="O39" s="147">
        <f t="shared" si="4"/>
        <v>28</v>
      </c>
      <c r="P39" s="148">
        <f t="shared" si="5"/>
        <v>0.4869776946823775</v>
      </c>
    </row>
    <row r="40" spans="1:16" customFormat="1" ht="15" customHeight="1">
      <c r="A40" s="149" t="s">
        <v>246</v>
      </c>
      <c r="B40" s="152"/>
      <c r="C40" s="37"/>
      <c r="D40" s="37"/>
      <c r="E40" s="37"/>
      <c r="F40" s="37"/>
      <c r="G40" s="37"/>
      <c r="H40" s="37"/>
      <c r="I40" s="37"/>
      <c r="J40" s="37">
        <v>55</v>
      </c>
      <c r="K40" s="37">
        <v>66</v>
      </c>
      <c r="L40" s="37">
        <v>48</v>
      </c>
      <c r="M40" s="37">
        <v>48</v>
      </c>
      <c r="N40" s="151">
        <f t="shared" si="3"/>
        <v>217</v>
      </c>
      <c r="O40" s="147">
        <f t="shared" si="4"/>
        <v>54.25</v>
      </c>
      <c r="P40" s="148">
        <f t="shared" si="5"/>
        <v>0.94351928344710634</v>
      </c>
    </row>
    <row r="41" spans="1:16" customFormat="1" ht="15" customHeight="1">
      <c r="A41" s="149" t="s">
        <v>247</v>
      </c>
      <c r="B41" s="152"/>
      <c r="C41" s="37"/>
      <c r="D41" s="37"/>
      <c r="E41" s="37"/>
      <c r="F41" s="37"/>
      <c r="G41" s="37"/>
      <c r="H41" s="37"/>
      <c r="I41" s="37"/>
      <c r="J41" s="37">
        <v>58</v>
      </c>
      <c r="K41" s="37">
        <v>33</v>
      </c>
      <c r="L41" s="37">
        <v>33</v>
      </c>
      <c r="M41" s="37">
        <v>34</v>
      </c>
      <c r="N41" s="151">
        <f t="shared" si="3"/>
        <v>158</v>
      </c>
      <c r="O41" s="147">
        <f t="shared" si="4"/>
        <v>39.5</v>
      </c>
      <c r="P41" s="148">
        <f t="shared" si="5"/>
        <v>0.68698639071263967</v>
      </c>
    </row>
    <row r="42" spans="1:16" customFormat="1" ht="15" customHeight="1">
      <c r="A42" s="149" t="s">
        <v>248</v>
      </c>
      <c r="B42" s="152"/>
      <c r="C42" s="37"/>
      <c r="D42" s="37"/>
      <c r="E42" s="37"/>
      <c r="F42" s="37"/>
      <c r="G42" s="37"/>
      <c r="H42" s="37"/>
      <c r="I42" s="37"/>
      <c r="J42" s="37">
        <v>42</v>
      </c>
      <c r="K42" s="37">
        <v>47</v>
      </c>
      <c r="L42" s="37">
        <v>51</v>
      </c>
      <c r="M42" s="37">
        <v>29</v>
      </c>
      <c r="N42" s="151">
        <f t="shared" si="3"/>
        <v>169</v>
      </c>
      <c r="O42" s="147">
        <f t="shared" si="4"/>
        <v>42.25</v>
      </c>
      <c r="P42" s="148">
        <f t="shared" si="5"/>
        <v>0.73481455715465893</v>
      </c>
    </row>
    <row r="43" spans="1:16" customFormat="1" ht="15" customHeight="1">
      <c r="A43" s="149" t="s">
        <v>249</v>
      </c>
      <c r="B43" s="152"/>
      <c r="C43" s="37"/>
      <c r="D43" s="37"/>
      <c r="E43" s="37"/>
      <c r="F43" s="37"/>
      <c r="G43" s="37"/>
      <c r="H43" s="37"/>
      <c r="I43" s="37"/>
      <c r="J43" s="37">
        <v>35</v>
      </c>
      <c r="K43" s="37">
        <v>28</v>
      </c>
      <c r="L43" s="37">
        <v>38</v>
      </c>
      <c r="M43" s="37">
        <v>43</v>
      </c>
      <c r="N43" s="151">
        <f t="shared" si="3"/>
        <v>144</v>
      </c>
      <c r="O43" s="147">
        <f t="shared" si="4"/>
        <v>36</v>
      </c>
      <c r="P43" s="148">
        <f t="shared" si="5"/>
        <v>0.62611417887734244</v>
      </c>
    </row>
    <row r="44" spans="1:16" customFormat="1" ht="15" customHeight="1">
      <c r="A44" s="149" t="s">
        <v>250</v>
      </c>
      <c r="B44" s="152"/>
      <c r="C44" s="37"/>
      <c r="D44" s="37"/>
      <c r="E44" s="37"/>
      <c r="F44" s="37"/>
      <c r="G44" s="37"/>
      <c r="H44" s="37"/>
      <c r="I44" s="37"/>
      <c r="J44" s="37">
        <v>29</v>
      </c>
      <c r="K44" s="37">
        <v>27</v>
      </c>
      <c r="L44" s="37">
        <v>24</v>
      </c>
      <c r="M44" s="37">
        <v>35</v>
      </c>
      <c r="N44" s="151">
        <f t="shared" si="3"/>
        <v>115</v>
      </c>
      <c r="O44" s="147">
        <f t="shared" si="4"/>
        <v>28.75</v>
      </c>
      <c r="P44" s="148">
        <f t="shared" si="5"/>
        <v>0.50002174007565547</v>
      </c>
    </row>
    <row r="45" spans="1:16" customFormat="1" ht="15" customHeight="1">
      <c r="A45" s="149" t="s">
        <v>251</v>
      </c>
      <c r="B45" s="152"/>
      <c r="C45" s="37"/>
      <c r="D45" s="37"/>
      <c r="E45" s="37"/>
      <c r="F45" s="37"/>
      <c r="G45" s="37"/>
      <c r="H45" s="37"/>
      <c r="I45" s="37"/>
      <c r="J45" s="37">
        <v>7</v>
      </c>
      <c r="K45" s="37">
        <v>6</v>
      </c>
      <c r="L45" s="37">
        <v>12</v>
      </c>
      <c r="M45" s="37">
        <v>8</v>
      </c>
      <c r="N45" s="151">
        <f t="shared" si="3"/>
        <v>33</v>
      </c>
      <c r="O45" s="147">
        <f t="shared" si="4"/>
        <v>8.25</v>
      </c>
      <c r="P45" s="148">
        <f t="shared" si="5"/>
        <v>0.14348449932605764</v>
      </c>
    </row>
    <row r="46" spans="1:16" customFormat="1" ht="15" customHeight="1">
      <c r="A46" s="149" t="s">
        <v>252</v>
      </c>
      <c r="B46" s="152"/>
      <c r="C46" s="37"/>
      <c r="D46" s="37"/>
      <c r="E46" s="37"/>
      <c r="F46" s="37"/>
      <c r="G46" s="37"/>
      <c r="H46" s="37"/>
      <c r="I46" s="37"/>
      <c r="J46" s="37">
        <v>13</v>
      </c>
      <c r="K46" s="37">
        <v>12</v>
      </c>
      <c r="L46" s="37">
        <v>8</v>
      </c>
      <c r="M46" s="37">
        <v>10</v>
      </c>
      <c r="N46" s="151">
        <f t="shared" si="3"/>
        <v>43</v>
      </c>
      <c r="O46" s="147">
        <f t="shared" si="4"/>
        <v>10.75</v>
      </c>
      <c r="P46" s="148">
        <f t="shared" si="5"/>
        <v>0.1869646506369842</v>
      </c>
    </row>
    <row r="47" spans="1:16" customFormat="1" ht="15" customHeight="1">
      <c r="A47" s="149" t="s">
        <v>253</v>
      </c>
      <c r="B47" s="152"/>
      <c r="C47" s="37"/>
      <c r="D47" s="37"/>
      <c r="E47" s="37"/>
      <c r="F47" s="37"/>
      <c r="G47" s="37"/>
      <c r="H47" s="37"/>
      <c r="I47" s="37"/>
      <c r="J47" s="37">
        <v>39</v>
      </c>
      <c r="K47" s="37">
        <v>40</v>
      </c>
      <c r="L47" s="37">
        <v>14</v>
      </c>
      <c r="M47" s="37">
        <v>32</v>
      </c>
      <c r="N47" s="151">
        <f t="shared" si="3"/>
        <v>125</v>
      </c>
      <c r="O47" s="147">
        <f t="shared" si="4"/>
        <v>31.25</v>
      </c>
      <c r="P47" s="148">
        <f t="shared" si="5"/>
        <v>0.543501891386582</v>
      </c>
    </row>
    <row r="48" spans="1:16" customFormat="1" ht="15" customHeight="1">
      <c r="A48" s="149" t="s">
        <v>254</v>
      </c>
      <c r="B48" s="152"/>
      <c r="C48" s="37"/>
      <c r="D48" s="37"/>
      <c r="E48" s="37"/>
      <c r="F48" s="37"/>
      <c r="G48" s="37"/>
      <c r="H48" s="37"/>
      <c r="I48" s="37"/>
      <c r="J48" s="37">
        <v>15</v>
      </c>
      <c r="K48" s="37">
        <v>20</v>
      </c>
      <c r="L48" s="37">
        <v>14</v>
      </c>
      <c r="M48" s="37">
        <v>7</v>
      </c>
      <c r="N48" s="151">
        <f t="shared" si="3"/>
        <v>56</v>
      </c>
      <c r="O48" s="147">
        <f t="shared" si="4"/>
        <v>14</v>
      </c>
      <c r="P48" s="148">
        <f t="shared" si="5"/>
        <v>0.24348884734118875</v>
      </c>
    </row>
    <row r="49" spans="1:16" customFormat="1" ht="15" customHeight="1">
      <c r="A49" s="149" t="s">
        <v>255</v>
      </c>
      <c r="B49" s="152"/>
      <c r="C49" s="37"/>
      <c r="D49" s="37"/>
      <c r="E49" s="37"/>
      <c r="F49" s="37"/>
      <c r="G49" s="37"/>
      <c r="H49" s="37"/>
      <c r="I49" s="37"/>
      <c r="J49" s="37">
        <v>42</v>
      </c>
      <c r="K49" s="37">
        <v>64</v>
      </c>
      <c r="L49" s="37">
        <v>48</v>
      </c>
      <c r="M49" s="37">
        <v>45</v>
      </c>
      <c r="N49" s="151">
        <f t="shared" si="3"/>
        <v>199</v>
      </c>
      <c r="O49" s="147">
        <f t="shared" si="4"/>
        <v>49.75</v>
      </c>
      <c r="P49" s="148">
        <f t="shared" si="5"/>
        <v>0.86525501108743863</v>
      </c>
    </row>
    <row r="50" spans="1:16" customFormat="1" ht="15" customHeight="1">
      <c r="A50" s="149" t="s">
        <v>256</v>
      </c>
      <c r="B50" s="152"/>
      <c r="C50" s="37"/>
      <c r="D50" s="37"/>
      <c r="E50" s="37"/>
      <c r="F50" s="37"/>
      <c r="G50" s="37"/>
      <c r="H50" s="37"/>
      <c r="I50" s="37"/>
      <c r="J50" s="37">
        <v>26</v>
      </c>
      <c r="K50" s="37">
        <v>25</v>
      </c>
      <c r="L50" s="37">
        <v>39</v>
      </c>
      <c r="M50" s="37">
        <v>21</v>
      </c>
      <c r="N50" s="151">
        <f t="shared" si="3"/>
        <v>111</v>
      </c>
      <c r="O50" s="147">
        <f t="shared" si="4"/>
        <v>27.75</v>
      </c>
      <c r="P50" s="148">
        <f t="shared" si="5"/>
        <v>0.48262967955128483</v>
      </c>
    </row>
    <row r="51" spans="1:16" customFormat="1" ht="15" customHeight="1">
      <c r="A51" s="149" t="s">
        <v>257</v>
      </c>
      <c r="B51" s="152"/>
      <c r="C51" s="37"/>
      <c r="D51" s="37"/>
      <c r="E51" s="37"/>
      <c r="F51" s="37"/>
      <c r="G51" s="37"/>
      <c r="H51" s="37"/>
      <c r="I51" s="37"/>
      <c r="J51" s="37">
        <v>70</v>
      </c>
      <c r="K51" s="37">
        <v>50</v>
      </c>
      <c r="L51" s="37">
        <v>44</v>
      </c>
      <c r="M51" s="37">
        <v>48</v>
      </c>
      <c r="N51" s="151">
        <f t="shared" si="3"/>
        <v>212</v>
      </c>
      <c r="O51" s="147">
        <f t="shared" si="4"/>
        <v>53</v>
      </c>
      <c r="P51" s="148">
        <f t="shared" si="5"/>
        <v>0.92177920779164313</v>
      </c>
    </row>
    <row r="52" spans="1:16" customFormat="1" ht="15" customHeight="1">
      <c r="A52" s="149" t="s">
        <v>258</v>
      </c>
      <c r="B52" s="152"/>
      <c r="C52" s="37"/>
      <c r="D52" s="37"/>
      <c r="E52" s="37"/>
      <c r="F52" s="37"/>
      <c r="G52" s="37"/>
      <c r="H52" s="37"/>
      <c r="I52" s="37"/>
      <c r="J52" s="37">
        <v>32</v>
      </c>
      <c r="K52" s="37">
        <v>22</v>
      </c>
      <c r="L52" s="37">
        <v>21</v>
      </c>
      <c r="M52" s="37">
        <v>30</v>
      </c>
      <c r="N52" s="151">
        <f t="shared" si="3"/>
        <v>105</v>
      </c>
      <c r="O52" s="147">
        <f t="shared" si="4"/>
        <v>26.25</v>
      </c>
      <c r="P52" s="148">
        <f t="shared" si="5"/>
        <v>0.45654158876472889</v>
      </c>
    </row>
    <row r="53" spans="1:16" customFormat="1" ht="15" customHeight="1">
      <c r="A53" s="149" t="s">
        <v>259</v>
      </c>
      <c r="B53" s="152"/>
      <c r="C53" s="37"/>
      <c r="D53" s="37"/>
      <c r="E53" s="37"/>
      <c r="F53" s="37"/>
      <c r="G53" s="37"/>
      <c r="H53" s="37"/>
      <c r="I53" s="37"/>
      <c r="J53" s="37">
        <v>29</v>
      </c>
      <c r="K53" s="37">
        <v>23</v>
      </c>
      <c r="L53" s="37">
        <v>24</v>
      </c>
      <c r="M53" s="37">
        <v>35</v>
      </c>
      <c r="N53" s="151">
        <f t="shared" si="3"/>
        <v>111</v>
      </c>
      <c r="O53" s="147">
        <f t="shared" si="4"/>
        <v>27.75</v>
      </c>
      <c r="P53" s="148">
        <f t="shared" si="5"/>
        <v>0.48262967955128483</v>
      </c>
    </row>
    <row r="54" spans="1:16" customFormat="1" ht="15" customHeight="1">
      <c r="A54" s="149" t="s">
        <v>260</v>
      </c>
      <c r="B54" s="152"/>
      <c r="C54" s="37"/>
      <c r="D54" s="37"/>
      <c r="E54" s="37"/>
      <c r="F54" s="37"/>
      <c r="G54" s="37"/>
      <c r="H54" s="37"/>
      <c r="I54" s="37"/>
      <c r="J54" s="37">
        <v>92</v>
      </c>
      <c r="K54" s="37">
        <v>93</v>
      </c>
      <c r="L54" s="37">
        <v>83</v>
      </c>
      <c r="M54" s="37">
        <v>92</v>
      </c>
      <c r="N54" s="151">
        <f t="shared" si="3"/>
        <v>360</v>
      </c>
      <c r="O54" s="147">
        <f t="shared" si="4"/>
        <v>90</v>
      </c>
      <c r="P54" s="148">
        <f t="shared" si="5"/>
        <v>1.5652854471933562</v>
      </c>
    </row>
    <row r="55" spans="1:16" customFormat="1" ht="15" customHeight="1">
      <c r="A55" s="149" t="s">
        <v>261</v>
      </c>
      <c r="B55" s="152"/>
      <c r="C55" s="37"/>
      <c r="D55" s="37"/>
      <c r="E55" s="37"/>
      <c r="F55" s="37"/>
      <c r="G55" s="37"/>
      <c r="H55" s="37"/>
      <c r="I55" s="37"/>
      <c r="J55" s="37">
        <v>31</v>
      </c>
      <c r="K55" s="37">
        <v>23</v>
      </c>
      <c r="L55" s="37">
        <v>26</v>
      </c>
      <c r="M55" s="37">
        <v>23</v>
      </c>
      <c r="N55" s="151">
        <f t="shared" si="3"/>
        <v>103</v>
      </c>
      <c r="O55" s="147">
        <f t="shared" si="4"/>
        <v>25.75</v>
      </c>
      <c r="P55" s="148">
        <f t="shared" si="5"/>
        <v>0.44784555850254359</v>
      </c>
    </row>
    <row r="56" spans="1:16" customFormat="1" ht="15" customHeight="1">
      <c r="A56" s="149" t="s">
        <v>262</v>
      </c>
      <c r="B56" s="152"/>
      <c r="C56" s="37"/>
      <c r="D56" s="37"/>
      <c r="E56" s="37"/>
      <c r="F56" s="37"/>
      <c r="G56" s="37"/>
      <c r="H56" s="37"/>
      <c r="I56" s="37"/>
      <c r="J56" s="37">
        <v>52</v>
      </c>
      <c r="K56" s="37">
        <v>47</v>
      </c>
      <c r="L56" s="37">
        <v>76</v>
      </c>
      <c r="M56" s="37">
        <v>62</v>
      </c>
      <c r="N56" s="151">
        <f t="shared" si="3"/>
        <v>237</v>
      </c>
      <c r="O56" s="147">
        <f t="shared" si="4"/>
        <v>59.25</v>
      </c>
      <c r="P56" s="148">
        <f t="shared" si="5"/>
        <v>1.0304795860689595</v>
      </c>
    </row>
    <row r="57" spans="1:16" customFormat="1" ht="15" customHeight="1">
      <c r="A57" s="149" t="s">
        <v>263</v>
      </c>
      <c r="B57" s="152"/>
      <c r="C57" s="37"/>
      <c r="D57" s="37"/>
      <c r="E57" s="37"/>
      <c r="F57" s="37"/>
      <c r="G57" s="37"/>
      <c r="H57" s="37"/>
      <c r="I57" s="37"/>
      <c r="J57" s="37">
        <v>11</v>
      </c>
      <c r="K57" s="37">
        <v>18</v>
      </c>
      <c r="L57" s="37">
        <v>12</v>
      </c>
      <c r="M57" s="37">
        <v>17</v>
      </c>
      <c r="N57" s="151">
        <f t="shared" si="3"/>
        <v>58</v>
      </c>
      <c r="O57" s="147">
        <f t="shared" si="4"/>
        <v>14.5</v>
      </c>
      <c r="P57" s="148">
        <f t="shared" si="5"/>
        <v>0.25218487760337405</v>
      </c>
    </row>
    <row r="58" spans="1:16" customFormat="1" ht="15" customHeight="1">
      <c r="A58" s="149" t="s">
        <v>264</v>
      </c>
      <c r="B58" s="152"/>
      <c r="C58" s="37"/>
      <c r="D58" s="37"/>
      <c r="E58" s="37"/>
      <c r="F58" s="37"/>
      <c r="G58" s="37"/>
      <c r="H58" s="37"/>
      <c r="I58" s="37"/>
      <c r="J58" s="37">
        <v>67</v>
      </c>
      <c r="K58" s="37">
        <v>70</v>
      </c>
      <c r="L58" s="37">
        <v>70</v>
      </c>
      <c r="M58" s="37">
        <v>99</v>
      </c>
      <c r="N58" s="151">
        <f t="shared" si="3"/>
        <v>306</v>
      </c>
      <c r="O58" s="147">
        <f t="shared" si="4"/>
        <v>76.5</v>
      </c>
      <c r="P58" s="148">
        <f t="shared" si="5"/>
        <v>1.3304926301143529</v>
      </c>
    </row>
    <row r="59" spans="1:16" customFormat="1" ht="15" customHeight="1">
      <c r="A59" s="149" t="s">
        <v>265</v>
      </c>
      <c r="B59" s="152"/>
      <c r="C59" s="37"/>
      <c r="D59" s="37"/>
      <c r="E59" s="37"/>
      <c r="F59" s="37"/>
      <c r="G59" s="37"/>
      <c r="H59" s="37"/>
      <c r="I59" s="37"/>
      <c r="J59" s="37">
        <v>8</v>
      </c>
      <c r="K59" s="37">
        <v>3</v>
      </c>
      <c r="L59" s="37">
        <v>8</v>
      </c>
      <c r="M59" s="37">
        <v>16</v>
      </c>
      <c r="N59" s="151">
        <f t="shared" si="3"/>
        <v>35</v>
      </c>
      <c r="O59" s="147">
        <f t="shared" si="4"/>
        <v>8.75</v>
      </c>
      <c r="P59" s="148">
        <f t="shared" si="5"/>
        <v>0.15218052958824296</v>
      </c>
    </row>
    <row r="60" spans="1:16" customFormat="1" ht="15" customHeight="1">
      <c r="A60" s="149" t="s">
        <v>266</v>
      </c>
      <c r="B60" s="152"/>
      <c r="C60" s="37"/>
      <c r="D60" s="37"/>
      <c r="E60" s="37"/>
      <c r="F60" s="37"/>
      <c r="G60" s="37"/>
      <c r="H60" s="37"/>
      <c r="I60" s="37"/>
      <c r="J60" s="37">
        <v>52</v>
      </c>
      <c r="K60" s="37">
        <v>38</v>
      </c>
      <c r="L60" s="37">
        <v>48</v>
      </c>
      <c r="M60" s="37">
        <v>52</v>
      </c>
      <c r="N60" s="151">
        <f t="shared" si="3"/>
        <v>190</v>
      </c>
      <c r="O60" s="147">
        <f t="shared" si="4"/>
        <v>47.5</v>
      </c>
      <c r="P60" s="148">
        <f t="shared" si="5"/>
        <v>0.82612287490760461</v>
      </c>
    </row>
    <row r="61" spans="1:16" customFormat="1" ht="15" customHeight="1">
      <c r="A61" s="149" t="s">
        <v>267</v>
      </c>
      <c r="B61" s="152"/>
      <c r="C61" s="37"/>
      <c r="D61" s="37"/>
      <c r="E61" s="37"/>
      <c r="F61" s="37"/>
      <c r="G61" s="37"/>
      <c r="H61" s="37"/>
      <c r="I61" s="37"/>
      <c r="J61" s="37">
        <v>64</v>
      </c>
      <c r="K61" s="37">
        <v>45</v>
      </c>
      <c r="L61" s="37">
        <v>45</v>
      </c>
      <c r="M61" s="37">
        <v>43</v>
      </c>
      <c r="N61" s="151">
        <f t="shared" si="3"/>
        <v>197</v>
      </c>
      <c r="O61" s="147">
        <f t="shared" si="4"/>
        <v>49.25</v>
      </c>
      <c r="P61" s="148">
        <f t="shared" si="5"/>
        <v>0.85655898082525328</v>
      </c>
    </row>
    <row r="62" spans="1:16" customFormat="1" ht="15" customHeight="1">
      <c r="A62" s="149" t="s">
        <v>268</v>
      </c>
      <c r="B62" s="152"/>
      <c r="C62" s="37"/>
      <c r="D62" s="37"/>
      <c r="E62" s="37"/>
      <c r="F62" s="37"/>
      <c r="G62" s="37"/>
      <c r="H62" s="37"/>
      <c r="I62" s="37"/>
      <c r="J62" s="37">
        <v>72</v>
      </c>
      <c r="K62" s="37">
        <v>66</v>
      </c>
      <c r="L62" s="37">
        <v>62</v>
      </c>
      <c r="M62" s="37">
        <v>57</v>
      </c>
      <c r="N62" s="151">
        <f t="shared" si="3"/>
        <v>257</v>
      </c>
      <c r="O62" s="147">
        <f t="shared" si="4"/>
        <v>64.25</v>
      </c>
      <c r="P62" s="148">
        <f t="shared" si="5"/>
        <v>1.1174398886908128</v>
      </c>
    </row>
    <row r="63" spans="1:16" customFormat="1" ht="15" customHeight="1">
      <c r="A63" s="149" t="s">
        <v>269</v>
      </c>
      <c r="B63" s="152"/>
      <c r="C63" s="37"/>
      <c r="D63" s="37"/>
      <c r="E63" s="37"/>
      <c r="F63" s="37"/>
      <c r="G63" s="37"/>
      <c r="H63" s="37"/>
      <c r="I63" s="37"/>
      <c r="J63" s="37">
        <v>31</v>
      </c>
      <c r="K63" s="37">
        <v>59</v>
      </c>
      <c r="L63" s="37">
        <v>57</v>
      </c>
      <c r="M63" s="37">
        <v>57</v>
      </c>
      <c r="N63" s="151">
        <f t="shared" si="3"/>
        <v>204</v>
      </c>
      <c r="O63" s="147">
        <f t="shared" si="4"/>
        <v>51</v>
      </c>
      <c r="P63" s="148">
        <f t="shared" si="5"/>
        <v>0.88699508674290195</v>
      </c>
    </row>
    <row r="64" spans="1:16" customFormat="1" ht="15" customHeight="1">
      <c r="A64" s="149" t="s">
        <v>270</v>
      </c>
      <c r="B64" s="152"/>
      <c r="C64" s="37"/>
      <c r="D64" s="37"/>
      <c r="E64" s="37"/>
      <c r="F64" s="37"/>
      <c r="G64" s="37"/>
      <c r="H64" s="37"/>
      <c r="I64" s="37"/>
      <c r="J64" s="37">
        <v>27</v>
      </c>
      <c r="K64" s="37">
        <v>27</v>
      </c>
      <c r="L64" s="37">
        <v>32</v>
      </c>
      <c r="M64" s="37">
        <v>32</v>
      </c>
      <c r="N64" s="151">
        <f t="shared" si="3"/>
        <v>118</v>
      </c>
      <c r="O64" s="147">
        <f t="shared" si="4"/>
        <v>29.5</v>
      </c>
      <c r="P64" s="148">
        <f t="shared" si="5"/>
        <v>0.51306578546893344</v>
      </c>
    </row>
    <row r="65" spans="1:16" customFormat="1" ht="15.75" customHeight="1">
      <c r="A65" s="149" t="s">
        <v>271</v>
      </c>
      <c r="B65" s="152"/>
      <c r="C65" s="37"/>
      <c r="D65" s="37"/>
      <c r="E65" s="37"/>
      <c r="F65" s="37"/>
      <c r="G65" s="37"/>
      <c r="H65" s="37"/>
      <c r="I65" s="37"/>
      <c r="J65" s="37">
        <v>19</v>
      </c>
      <c r="K65" s="37">
        <v>18</v>
      </c>
      <c r="L65" s="37">
        <v>15</v>
      </c>
      <c r="M65" s="37">
        <v>14</v>
      </c>
      <c r="N65" s="151">
        <f t="shared" si="3"/>
        <v>66</v>
      </c>
      <c r="O65" s="147">
        <f t="shared" si="4"/>
        <v>16.5</v>
      </c>
      <c r="P65" s="148">
        <f t="shared" si="5"/>
        <v>0.28696899865211528</v>
      </c>
    </row>
    <row r="66" spans="1:16" customFormat="1" ht="15.75" customHeight="1">
      <c r="A66" s="149" t="s">
        <v>272</v>
      </c>
      <c r="B66" s="152"/>
      <c r="C66" s="37"/>
      <c r="D66" s="37"/>
      <c r="E66" s="37"/>
      <c r="F66" s="37"/>
      <c r="G66" s="37"/>
      <c r="H66" s="37"/>
      <c r="I66" s="37"/>
      <c r="J66" s="37">
        <v>15</v>
      </c>
      <c r="K66" s="37">
        <v>15</v>
      </c>
      <c r="L66" s="37">
        <v>18</v>
      </c>
      <c r="M66" s="37">
        <v>7</v>
      </c>
      <c r="N66" s="151">
        <f t="shared" si="3"/>
        <v>55</v>
      </c>
      <c r="O66" s="147">
        <f t="shared" si="4"/>
        <v>13.75</v>
      </c>
      <c r="P66" s="148">
        <f t="shared" si="5"/>
        <v>0.23914083221009608</v>
      </c>
    </row>
    <row r="67" spans="1:16" customFormat="1" ht="15" customHeight="1">
      <c r="A67" s="149" t="s">
        <v>273</v>
      </c>
      <c r="B67" s="152"/>
      <c r="C67" s="37"/>
      <c r="D67" s="37"/>
      <c r="E67" s="37"/>
      <c r="F67" s="37"/>
      <c r="G67" s="37"/>
      <c r="H67" s="38"/>
      <c r="I67" s="37"/>
      <c r="J67" s="37">
        <v>77</v>
      </c>
      <c r="K67" s="37">
        <v>85</v>
      </c>
      <c r="L67" s="37">
        <v>64</v>
      </c>
      <c r="M67" s="37">
        <v>77</v>
      </c>
      <c r="N67" s="151">
        <f t="shared" si="3"/>
        <v>303</v>
      </c>
      <c r="O67" s="147">
        <f t="shared" si="4"/>
        <v>75.75</v>
      </c>
      <c r="P67" s="148">
        <f t="shared" si="5"/>
        <v>1.3174485847210748</v>
      </c>
    </row>
    <row r="68" spans="1:16" customFormat="1" ht="15">
      <c r="A68" s="149" t="s">
        <v>274</v>
      </c>
      <c r="B68" s="152"/>
      <c r="C68" s="37"/>
      <c r="D68" s="37"/>
      <c r="E68" s="37"/>
      <c r="F68" s="37"/>
      <c r="G68" s="37"/>
      <c r="H68" s="38"/>
      <c r="I68" s="37"/>
      <c r="J68" s="37">
        <v>36</v>
      </c>
      <c r="K68" s="37">
        <v>36</v>
      </c>
      <c r="L68" s="37">
        <v>57</v>
      </c>
      <c r="M68" s="37">
        <v>50</v>
      </c>
      <c r="N68" s="151">
        <f t="shared" ref="N68:N70" si="6">SUM(B68:M68)</f>
        <v>179</v>
      </c>
      <c r="O68" s="147">
        <f t="shared" si="4"/>
        <v>44.75</v>
      </c>
      <c r="P68" s="148">
        <f t="shared" si="5"/>
        <v>0.77829470846558546</v>
      </c>
    </row>
    <row r="69" spans="1:16" customFormat="1" ht="15">
      <c r="A69" s="149" t="s">
        <v>275</v>
      </c>
      <c r="B69" s="152"/>
      <c r="C69" s="37"/>
      <c r="D69" s="37"/>
      <c r="E69" s="37"/>
      <c r="F69" s="37"/>
      <c r="G69" s="37"/>
      <c r="H69" s="38"/>
      <c r="I69" s="37"/>
      <c r="J69" s="37">
        <v>57</v>
      </c>
      <c r="K69" s="37">
        <v>63</v>
      </c>
      <c r="L69" s="37">
        <v>58</v>
      </c>
      <c r="M69" s="37">
        <v>64</v>
      </c>
      <c r="N69" s="151">
        <f t="shared" si="6"/>
        <v>242</v>
      </c>
      <c r="O69" s="147">
        <f t="shared" si="4"/>
        <v>60.5</v>
      </c>
      <c r="P69" s="148">
        <f t="shared" si="5"/>
        <v>1.0522196617244228</v>
      </c>
    </row>
    <row r="70" spans="1:16" customFormat="1" ht="15.75" thickBot="1">
      <c r="A70" s="153" t="s">
        <v>276</v>
      </c>
      <c r="B70" s="154"/>
      <c r="C70" s="44"/>
      <c r="D70" s="155"/>
      <c r="E70" s="155"/>
      <c r="F70" s="155"/>
      <c r="G70" s="155"/>
      <c r="H70" s="156"/>
      <c r="I70" s="155"/>
      <c r="J70" s="44">
        <v>44</v>
      </c>
      <c r="K70" s="37">
        <v>22</v>
      </c>
      <c r="L70" s="44">
        <v>37</v>
      </c>
      <c r="M70" s="44">
        <v>20</v>
      </c>
      <c r="N70" s="157">
        <f t="shared" si="6"/>
        <v>123</v>
      </c>
      <c r="O70" s="158">
        <f t="shared" si="4"/>
        <v>30.75</v>
      </c>
      <c r="P70" s="159">
        <f t="shared" si="5"/>
        <v>0.53480586112439665</v>
      </c>
    </row>
    <row r="71" spans="1:16" customFormat="1" ht="15.75" thickBot="1">
      <c r="A71" s="140" t="s">
        <v>5</v>
      </c>
      <c r="B71" s="53"/>
      <c r="C71" s="53"/>
      <c r="D71" s="53"/>
      <c r="E71" s="53"/>
      <c r="F71" s="53"/>
      <c r="G71" s="53"/>
      <c r="H71" s="53"/>
      <c r="I71" s="53"/>
      <c r="J71" s="53">
        <f>SUM(J5:J70)</f>
        <v>6191</v>
      </c>
      <c r="K71" s="53">
        <f>SUM(K5:K70)</f>
        <v>5809</v>
      </c>
      <c r="L71" s="53">
        <f>SUM(L5:L70)</f>
        <v>5617</v>
      </c>
      <c r="M71" s="54">
        <f t="shared" ref="M71:N71" si="7">SUM(M5:M70)</f>
        <v>5382</v>
      </c>
      <c r="N71" s="160">
        <f t="shared" si="7"/>
        <v>22999</v>
      </c>
      <c r="O71" s="54">
        <f t="shared" si="4"/>
        <v>5749.75</v>
      </c>
      <c r="P71" s="161">
        <f>SUM(P5:P70)</f>
        <v>99.999999999999972</v>
      </c>
    </row>
    <row r="72" spans="1:16" customFormat="1" ht="15">
      <c r="A72" s="106"/>
      <c r="B72" s="107"/>
      <c r="C72" s="107"/>
      <c r="D72" s="107"/>
      <c r="E72" s="107"/>
      <c r="F72" s="107"/>
      <c r="G72" s="95"/>
      <c r="H72" s="107"/>
      <c r="I72" s="107"/>
      <c r="J72" s="107"/>
      <c r="K72" s="107"/>
      <c r="L72" s="107"/>
      <c r="M72" s="108"/>
      <c r="N72" s="108"/>
      <c r="O72" s="9"/>
      <c r="P72" s="9"/>
    </row>
    <row r="73" spans="1:16">
      <c r="A73" s="162" t="s">
        <v>277</v>
      </c>
    </row>
    <row r="74" spans="1:16">
      <c r="A74" s="162" t="s">
        <v>441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J71:L7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O46"/>
  <sheetViews>
    <sheetView zoomScale="90" zoomScaleNormal="90" workbookViewId="0"/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95" bestFit="1" customWidth="1"/>
    <col min="4" max="4" width="7.140625" style="9" bestFit="1" customWidth="1"/>
    <col min="5" max="5" width="7" style="93" bestFit="1" customWidth="1"/>
    <col min="6" max="6" width="7.5703125" style="9" bestFit="1" customWidth="1"/>
    <col min="7" max="7" width="6.28515625" style="93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91" t="s">
        <v>0</v>
      </c>
      <c r="B1" s="91"/>
      <c r="C1" s="92"/>
      <c r="D1" s="91"/>
      <c r="G1" s="484"/>
      <c r="H1" s="482"/>
      <c r="I1" s="482"/>
      <c r="J1" s="482"/>
      <c r="K1" s="482"/>
      <c r="L1" s="482"/>
      <c r="M1" s="482"/>
      <c r="N1" s="163"/>
      <c r="O1" s="163"/>
      <c r="P1" s="163"/>
      <c r="Q1" s="163"/>
      <c r="R1" s="163"/>
      <c r="S1" s="163"/>
    </row>
    <row r="2" spans="1:20" ht="15">
      <c r="A2" s="1" t="s">
        <v>1</v>
      </c>
      <c r="B2" s="1"/>
      <c r="C2" s="70"/>
      <c r="D2" s="1"/>
      <c r="G2" s="484"/>
      <c r="H2" s="482"/>
      <c r="I2" s="482"/>
      <c r="J2" s="482"/>
      <c r="K2" s="482"/>
      <c r="L2" s="482"/>
      <c r="M2" s="482"/>
      <c r="N2" s="163"/>
      <c r="O2" s="489"/>
      <c r="P2" s="489"/>
      <c r="Q2" s="489"/>
      <c r="R2" s="163"/>
      <c r="S2" s="163"/>
    </row>
    <row r="3" spans="1:20" ht="15">
      <c r="A3" s="1"/>
      <c r="B3" s="1"/>
      <c r="C3" s="70"/>
      <c r="D3" s="1"/>
      <c r="G3" s="484"/>
      <c r="H3" s="482"/>
      <c r="I3" s="482"/>
      <c r="J3" s="482"/>
      <c r="K3" s="482"/>
      <c r="L3" s="482"/>
      <c r="M3" s="482"/>
      <c r="N3" s="163"/>
      <c r="O3" s="489"/>
      <c r="P3" s="489"/>
      <c r="Q3" s="489"/>
      <c r="R3" s="163"/>
      <c r="S3" s="163"/>
    </row>
    <row r="4" spans="1:20" ht="15">
      <c r="A4" s="1" t="s">
        <v>498</v>
      </c>
      <c r="B4" s="1"/>
      <c r="C4" s="70"/>
      <c r="D4" s="1"/>
      <c r="G4" s="484"/>
      <c r="H4" s="482"/>
      <c r="I4" s="482"/>
      <c r="J4" s="482"/>
      <c r="K4" s="482"/>
      <c r="L4" s="482"/>
      <c r="M4" s="482"/>
      <c r="N4" s="163"/>
      <c r="O4" s="489"/>
      <c r="P4" s="563">
        <f>UNIDADES!J71</f>
        <v>6191</v>
      </c>
      <c r="Q4" s="489"/>
      <c r="R4" s="163"/>
      <c r="S4" s="163"/>
    </row>
    <row r="5" spans="1:20" ht="15" thickBot="1">
      <c r="E5" s="9"/>
      <c r="F5" s="93"/>
      <c r="G5" s="482"/>
      <c r="H5" s="484"/>
      <c r="I5" s="482"/>
      <c r="J5" s="482"/>
      <c r="K5" s="482"/>
      <c r="L5" s="482"/>
      <c r="M5" s="482"/>
      <c r="N5" s="163"/>
      <c r="O5" s="489"/>
      <c r="P5" s="489"/>
      <c r="Q5" s="489"/>
      <c r="R5" s="163"/>
      <c r="S5" s="163"/>
    </row>
    <row r="6" spans="1:20" ht="48.75" thickBot="1">
      <c r="A6" s="599" t="s">
        <v>205</v>
      </c>
      <c r="B6" s="600">
        <v>45627</v>
      </c>
      <c r="C6" s="601">
        <v>45597</v>
      </c>
      <c r="D6" s="602">
        <v>45566</v>
      </c>
      <c r="E6" s="602">
        <v>45536</v>
      </c>
      <c r="F6" s="602">
        <v>45505</v>
      </c>
      <c r="G6" s="603">
        <v>45474</v>
      </c>
      <c r="H6" s="601">
        <v>45444</v>
      </c>
      <c r="I6" s="603">
        <v>45413</v>
      </c>
      <c r="J6" s="600">
        <v>45383</v>
      </c>
      <c r="K6" s="601">
        <v>45352</v>
      </c>
      <c r="L6" s="602">
        <v>45323</v>
      </c>
      <c r="M6" s="601">
        <v>45292</v>
      </c>
      <c r="N6" s="602" t="s">
        <v>5</v>
      </c>
      <c r="O6" s="604" t="s">
        <v>6</v>
      </c>
      <c r="P6" s="605" t="s">
        <v>514</v>
      </c>
    </row>
    <row r="7" spans="1:20" ht="14.25" customHeight="1" thickBot="1">
      <c r="A7" s="519" t="s">
        <v>229</v>
      </c>
      <c r="B7" s="598"/>
      <c r="C7" s="521"/>
      <c r="D7" s="521"/>
      <c r="E7" s="521"/>
      <c r="F7" s="521"/>
      <c r="G7" s="521"/>
      <c r="H7" s="521"/>
      <c r="I7" s="521"/>
      <c r="J7" s="521">
        <v>1024</v>
      </c>
      <c r="K7" s="521">
        <v>976</v>
      </c>
      <c r="L7" s="521">
        <v>909</v>
      </c>
      <c r="M7" s="521">
        <v>711</v>
      </c>
      <c r="N7" s="165">
        <f t="shared" ref="N7:N16" si="0">SUM(B7:M7)</f>
        <v>3620</v>
      </c>
      <c r="O7" s="166">
        <f t="shared" ref="O7:O17" si="1">AVERAGE(B7:M7)</f>
        <v>905</v>
      </c>
      <c r="P7" s="606">
        <f>(J7*100)/$P$4</f>
        <v>16.540138911322888</v>
      </c>
      <c r="S7" s="93"/>
      <c r="T7" s="93"/>
    </row>
    <row r="8" spans="1:20" ht="15" customHeight="1" thickBot="1">
      <c r="A8" s="520" t="s">
        <v>228</v>
      </c>
      <c r="B8" s="150"/>
      <c r="C8" s="37"/>
      <c r="D8" s="27"/>
      <c r="E8" s="27"/>
      <c r="F8" s="27"/>
      <c r="G8" s="37"/>
      <c r="H8" s="37"/>
      <c r="I8" s="37"/>
      <c r="J8" s="37">
        <v>622</v>
      </c>
      <c r="K8" s="37">
        <v>635</v>
      </c>
      <c r="L8" s="37">
        <v>584</v>
      </c>
      <c r="M8" s="37">
        <v>560</v>
      </c>
      <c r="N8" s="167">
        <f t="shared" si="0"/>
        <v>2401</v>
      </c>
      <c r="O8" s="147">
        <f t="shared" si="1"/>
        <v>600.25</v>
      </c>
      <c r="P8" s="606">
        <f t="shared" ref="P8:P17" si="2">(J8*100)/$P$4</f>
        <v>10.046842190276207</v>
      </c>
      <c r="S8" s="93"/>
      <c r="T8" s="93"/>
    </row>
    <row r="9" spans="1:20" ht="15.75" thickBot="1">
      <c r="A9" s="520" t="s">
        <v>227</v>
      </c>
      <c r="B9" s="152"/>
      <c r="C9" s="37"/>
      <c r="D9" s="37"/>
      <c r="E9" s="37"/>
      <c r="F9" s="37"/>
      <c r="G9" s="37"/>
      <c r="H9" s="37"/>
      <c r="I9" s="37"/>
      <c r="J9" s="37">
        <v>608</v>
      </c>
      <c r="K9" s="37">
        <v>519</v>
      </c>
      <c r="L9" s="37">
        <v>424</v>
      </c>
      <c r="M9" s="37">
        <v>439</v>
      </c>
      <c r="N9" s="167">
        <f t="shared" si="0"/>
        <v>1990</v>
      </c>
      <c r="O9" s="147">
        <f t="shared" si="1"/>
        <v>497.5</v>
      </c>
      <c r="P9" s="606">
        <f t="shared" si="2"/>
        <v>9.8207074785979653</v>
      </c>
      <c r="S9" s="93"/>
      <c r="T9" s="93"/>
    </row>
    <row r="10" spans="1:20" ht="15.75" thickBot="1">
      <c r="A10" s="520" t="s">
        <v>233</v>
      </c>
      <c r="B10" s="152"/>
      <c r="C10" s="37"/>
      <c r="D10" s="37"/>
      <c r="E10" s="37"/>
      <c r="F10" s="37"/>
      <c r="G10" s="37"/>
      <c r="H10" s="38"/>
      <c r="I10" s="37"/>
      <c r="J10" s="37">
        <v>306</v>
      </c>
      <c r="K10" s="37">
        <v>436</v>
      </c>
      <c r="L10" s="37">
        <v>465</v>
      </c>
      <c r="M10" s="37">
        <v>268</v>
      </c>
      <c r="N10" s="167">
        <f t="shared" si="0"/>
        <v>1475</v>
      </c>
      <c r="O10" s="147">
        <f t="shared" si="1"/>
        <v>368.75</v>
      </c>
      <c r="P10" s="606">
        <f t="shared" si="2"/>
        <v>4.9426586981101597</v>
      </c>
      <c r="S10" s="93"/>
      <c r="T10" s="93"/>
    </row>
    <row r="11" spans="1:20" ht="15.75" thickBot="1">
      <c r="A11" s="520" t="s">
        <v>224</v>
      </c>
      <c r="B11" s="152"/>
      <c r="C11" s="37"/>
      <c r="D11" s="37"/>
      <c r="E11" s="37"/>
      <c r="F11" s="37"/>
      <c r="G11" s="37"/>
      <c r="H11" s="37"/>
      <c r="I11" s="37"/>
      <c r="J11" s="37">
        <v>351</v>
      </c>
      <c r="K11" s="37">
        <v>360</v>
      </c>
      <c r="L11" s="37">
        <v>334</v>
      </c>
      <c r="M11" s="37">
        <v>379</v>
      </c>
      <c r="N11" s="167">
        <f t="shared" si="0"/>
        <v>1424</v>
      </c>
      <c r="O11" s="147">
        <f t="shared" si="1"/>
        <v>356</v>
      </c>
      <c r="P11" s="606">
        <f t="shared" si="2"/>
        <v>5.6695202713616544</v>
      </c>
      <c r="S11" s="93"/>
      <c r="T11" s="93"/>
    </row>
    <row r="12" spans="1:20" ht="15" customHeight="1" thickBot="1">
      <c r="A12" s="520" t="s">
        <v>225</v>
      </c>
      <c r="B12" s="152"/>
      <c r="C12" s="37"/>
      <c r="D12" s="37"/>
      <c r="E12" s="37"/>
      <c r="F12" s="37"/>
      <c r="G12" s="37"/>
      <c r="H12" s="37"/>
      <c r="I12" s="37"/>
      <c r="J12" s="37">
        <v>350</v>
      </c>
      <c r="K12" s="37">
        <v>327</v>
      </c>
      <c r="L12" s="37">
        <v>388</v>
      </c>
      <c r="M12" s="37">
        <v>354</v>
      </c>
      <c r="N12" s="167">
        <f t="shared" si="0"/>
        <v>1419</v>
      </c>
      <c r="O12" s="147">
        <f t="shared" si="1"/>
        <v>354.75</v>
      </c>
      <c r="P12" s="606">
        <f t="shared" si="2"/>
        <v>5.6533677919560654</v>
      </c>
      <c r="S12" s="93"/>
      <c r="T12" s="93"/>
    </row>
    <row r="13" spans="1:20" ht="15.75" thickBot="1">
      <c r="A13" s="520" t="s">
        <v>214</v>
      </c>
      <c r="B13" s="152"/>
      <c r="C13" s="37"/>
      <c r="D13" s="37"/>
      <c r="E13" s="37"/>
      <c r="F13" s="37"/>
      <c r="G13" s="37"/>
      <c r="H13" s="37"/>
      <c r="I13" s="37"/>
      <c r="J13" s="37">
        <v>304</v>
      </c>
      <c r="K13" s="37">
        <v>249</v>
      </c>
      <c r="L13" s="37">
        <v>245</v>
      </c>
      <c r="M13" s="37">
        <v>328</v>
      </c>
      <c r="N13" s="167">
        <f t="shared" si="0"/>
        <v>1126</v>
      </c>
      <c r="O13" s="147">
        <f t="shared" si="1"/>
        <v>281.5</v>
      </c>
      <c r="P13" s="606">
        <f t="shared" si="2"/>
        <v>4.9103537392989827</v>
      </c>
      <c r="S13" s="93"/>
      <c r="T13" s="93"/>
    </row>
    <row r="14" spans="1:20" ht="15.75" thickBot="1">
      <c r="A14" s="520" t="s">
        <v>220</v>
      </c>
      <c r="B14" s="152"/>
      <c r="C14" s="37"/>
      <c r="D14" s="37"/>
      <c r="E14" s="37"/>
      <c r="F14" s="37"/>
      <c r="G14" s="37"/>
      <c r="H14" s="37"/>
      <c r="I14" s="37"/>
      <c r="J14" s="37">
        <v>329</v>
      </c>
      <c r="K14" s="37">
        <v>316</v>
      </c>
      <c r="L14" s="37">
        <v>213</v>
      </c>
      <c r="M14" s="37">
        <v>180</v>
      </c>
      <c r="N14" s="167">
        <f t="shared" si="0"/>
        <v>1038</v>
      </c>
      <c r="O14" s="147">
        <f t="shared" si="1"/>
        <v>259.5</v>
      </c>
      <c r="P14" s="606">
        <f t="shared" si="2"/>
        <v>5.3141657244387011</v>
      </c>
      <c r="S14" s="93"/>
      <c r="T14" s="93"/>
    </row>
    <row r="15" spans="1:20" ht="15.75" thickBot="1">
      <c r="A15" s="520" t="s">
        <v>144</v>
      </c>
      <c r="B15" s="152"/>
      <c r="C15" s="37"/>
      <c r="D15" s="37"/>
      <c r="E15" s="37"/>
      <c r="F15" s="37"/>
      <c r="G15" s="37"/>
      <c r="H15" s="38"/>
      <c r="I15" s="37"/>
      <c r="J15" s="37">
        <v>314</v>
      </c>
      <c r="K15" s="37">
        <v>147</v>
      </c>
      <c r="L15" s="37">
        <v>252</v>
      </c>
      <c r="M15" s="37">
        <v>175</v>
      </c>
      <c r="N15" s="167">
        <f t="shared" si="0"/>
        <v>888</v>
      </c>
      <c r="O15" s="147">
        <f t="shared" si="1"/>
        <v>222</v>
      </c>
      <c r="P15" s="606">
        <f t="shared" si="2"/>
        <v>5.0718785333548704</v>
      </c>
      <c r="S15" s="93"/>
      <c r="T15" s="93"/>
    </row>
    <row r="16" spans="1:20" ht="15.75" thickBot="1">
      <c r="A16" s="520" t="s">
        <v>212</v>
      </c>
      <c r="B16" s="152"/>
      <c r="C16" s="37"/>
      <c r="D16" s="37"/>
      <c r="E16" s="37"/>
      <c r="F16" s="37"/>
      <c r="G16" s="37"/>
      <c r="H16" s="37"/>
      <c r="I16" s="37"/>
      <c r="J16" s="37">
        <v>147</v>
      </c>
      <c r="K16" s="37">
        <v>134</v>
      </c>
      <c r="L16" s="37">
        <v>116</v>
      </c>
      <c r="M16" s="37">
        <v>111</v>
      </c>
      <c r="N16" s="168">
        <f t="shared" si="0"/>
        <v>508</v>
      </c>
      <c r="O16" s="158">
        <f t="shared" si="1"/>
        <v>127</v>
      </c>
      <c r="P16" s="667">
        <f t="shared" si="2"/>
        <v>2.3744144726215475</v>
      </c>
      <c r="S16" s="93"/>
      <c r="T16" s="93"/>
    </row>
    <row r="17" spans="1:41" ht="15.75" customHeight="1" thickBot="1">
      <c r="A17" s="492" t="s">
        <v>5</v>
      </c>
      <c r="B17" s="607"/>
      <c r="C17" s="607"/>
      <c r="D17" s="607"/>
      <c r="E17" s="607"/>
      <c r="F17" s="607"/>
      <c r="G17" s="607"/>
      <c r="H17" s="607"/>
      <c r="I17" s="607"/>
      <c r="J17" s="607">
        <f>SUM(J7:J16)</f>
        <v>4355</v>
      </c>
      <c r="K17" s="607">
        <f>SUM(K7:K16)</f>
        <v>4099</v>
      </c>
      <c r="L17" s="607">
        <f>SUM(L7:L16)</f>
        <v>3930</v>
      </c>
      <c r="M17" s="608">
        <f t="shared" ref="M17:N17" si="3">SUM(M7:M16)</f>
        <v>3505</v>
      </c>
      <c r="N17" s="609">
        <f t="shared" si="3"/>
        <v>15889</v>
      </c>
      <c r="O17" s="610">
        <f t="shared" si="1"/>
        <v>3972.25</v>
      </c>
      <c r="P17" s="479">
        <f t="shared" si="2"/>
        <v>70.344047811339038</v>
      </c>
      <c r="S17" s="93"/>
      <c r="T17" s="93"/>
    </row>
    <row r="18" spans="1:41" s="489" customFormat="1" ht="23.25" customHeight="1">
      <c r="A18" s="489" t="s">
        <v>206</v>
      </c>
      <c r="C18" s="490"/>
      <c r="O18" s="489" t="s">
        <v>207</v>
      </c>
      <c r="P18" s="491">
        <f>100-P17</f>
        <v>29.655952188660962</v>
      </c>
    </row>
    <row r="19" spans="1:41" ht="54.75" customHeight="1">
      <c r="A19" s="494"/>
      <c r="B19" s="494"/>
      <c r="C19" s="506"/>
      <c r="D19" s="489"/>
      <c r="E19" s="507"/>
      <c r="F19" s="489"/>
      <c r="G19" s="489"/>
      <c r="H19" s="489"/>
      <c r="I19" s="489"/>
      <c r="J19" s="489"/>
      <c r="K19" s="489"/>
      <c r="L19" s="489"/>
      <c r="M19" s="489"/>
      <c r="N19" s="1058"/>
      <c r="O19" s="1058"/>
      <c r="P19" s="1058"/>
      <c r="Q19" s="489"/>
      <c r="R19" s="489"/>
      <c r="S19" s="489"/>
      <c r="T19" s="489"/>
      <c r="U19" s="489"/>
      <c r="V19" s="489"/>
      <c r="W19" s="507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</row>
    <row r="20" spans="1:41">
      <c r="A20" s="499"/>
      <c r="B20" s="499"/>
      <c r="C20" s="508"/>
      <c r="D20" s="489"/>
      <c r="E20" s="507"/>
      <c r="F20" s="489"/>
      <c r="G20" s="489"/>
      <c r="H20" s="489"/>
      <c r="I20" s="489"/>
      <c r="J20" s="489"/>
      <c r="K20" s="489"/>
      <c r="L20" s="489"/>
      <c r="M20" s="489"/>
      <c r="N20" s="489"/>
      <c r="O20" s="507"/>
      <c r="P20" s="489"/>
      <c r="Q20" s="489"/>
      <c r="R20" s="489"/>
      <c r="S20" s="489"/>
      <c r="T20" s="489"/>
      <c r="U20" s="489"/>
      <c r="V20" s="489"/>
      <c r="W20" s="507"/>
      <c r="X20" s="489"/>
      <c r="Y20" s="489"/>
      <c r="Z20" s="489"/>
      <c r="AA20" s="489"/>
      <c r="AB20" s="489"/>
      <c r="AC20" s="496"/>
      <c r="AD20" s="497"/>
      <c r="AE20" s="497"/>
      <c r="AF20" s="497"/>
      <c r="AG20" s="497"/>
      <c r="AH20" s="107"/>
      <c r="AI20" s="107"/>
      <c r="AJ20" s="95"/>
      <c r="AK20" s="107"/>
      <c r="AL20" s="107"/>
      <c r="AM20" s="107"/>
      <c r="AN20" s="107"/>
      <c r="AO20" s="108"/>
    </row>
    <row r="21" spans="1:41" ht="92.25" customHeight="1">
      <c r="A21" s="494"/>
      <c r="B21" s="494"/>
      <c r="C21" s="506"/>
      <c r="D21" s="489"/>
      <c r="E21" s="507"/>
      <c r="F21" s="489"/>
      <c r="G21" s="489"/>
      <c r="H21" s="489"/>
      <c r="I21" s="489"/>
      <c r="J21" s="489"/>
      <c r="K21" s="489"/>
      <c r="L21" s="509"/>
      <c r="M21" s="489"/>
      <c r="N21" s="1058"/>
      <c r="O21" s="1058"/>
      <c r="P21" s="1058"/>
      <c r="Q21" s="489"/>
      <c r="R21" s="489"/>
      <c r="S21" s="489"/>
      <c r="T21" s="489"/>
      <c r="U21" s="489"/>
      <c r="V21" s="489"/>
      <c r="W21" s="507"/>
      <c r="X21" s="489"/>
      <c r="Y21" s="489"/>
      <c r="Z21" s="489"/>
      <c r="AA21" s="489"/>
      <c r="AB21" s="489"/>
      <c r="AC21" s="496"/>
      <c r="AD21" s="497"/>
      <c r="AE21" s="497"/>
      <c r="AF21" s="497"/>
      <c r="AG21" s="497"/>
      <c r="AH21" s="107"/>
      <c r="AI21" s="107"/>
      <c r="AJ21" s="95"/>
      <c r="AK21" s="107"/>
      <c r="AL21" s="107"/>
      <c r="AM21" s="107"/>
      <c r="AN21" s="107"/>
      <c r="AO21" s="108"/>
    </row>
    <row r="22" spans="1:41">
      <c r="A22" s="494"/>
      <c r="B22" s="494"/>
      <c r="C22" s="506"/>
      <c r="D22" s="489"/>
      <c r="E22" s="507"/>
      <c r="F22" s="489"/>
      <c r="G22" s="489"/>
      <c r="H22" s="489"/>
      <c r="I22" s="489"/>
      <c r="J22" s="489"/>
      <c r="K22" s="489"/>
      <c r="L22" s="489"/>
      <c r="M22" s="489"/>
      <c r="N22" s="489"/>
      <c r="O22" s="507"/>
      <c r="P22" s="489"/>
      <c r="Q22" s="489"/>
      <c r="R22" s="489"/>
      <c r="S22" s="489"/>
      <c r="T22" s="489"/>
      <c r="U22" s="489"/>
      <c r="V22" s="489"/>
      <c r="W22" s="510"/>
      <c r="X22" s="489"/>
      <c r="Y22" s="489"/>
      <c r="Z22" s="489"/>
      <c r="AA22" s="489"/>
      <c r="AB22" s="489"/>
      <c r="AC22" s="496"/>
      <c r="AD22" s="497"/>
      <c r="AE22" s="497"/>
      <c r="AF22" s="497"/>
      <c r="AG22" s="497"/>
      <c r="AH22" s="107"/>
      <c r="AI22" s="107"/>
      <c r="AJ22" s="95"/>
      <c r="AK22" s="107"/>
      <c r="AL22" s="107"/>
      <c r="AM22" s="107"/>
      <c r="AN22" s="107"/>
      <c r="AO22" s="108"/>
    </row>
    <row r="23" spans="1:41" ht="66.75" customHeight="1">
      <c r="A23" s="494"/>
      <c r="B23" s="494"/>
      <c r="C23" s="506"/>
      <c r="D23" s="489"/>
      <c r="E23" s="507"/>
      <c r="F23" s="489"/>
      <c r="G23" s="489"/>
      <c r="H23" s="489"/>
      <c r="I23" s="489"/>
      <c r="J23" s="489"/>
      <c r="K23" s="489"/>
      <c r="L23" s="489"/>
      <c r="M23" s="489"/>
      <c r="N23" s="1058"/>
      <c r="O23" s="1058"/>
      <c r="P23" s="1058"/>
      <c r="Q23" s="489"/>
      <c r="R23" s="489"/>
      <c r="S23" s="489"/>
      <c r="T23" s="489"/>
      <c r="U23" s="489"/>
      <c r="V23" s="489"/>
      <c r="W23" s="507"/>
      <c r="X23" s="489"/>
      <c r="Y23" s="489"/>
      <c r="Z23" s="489"/>
      <c r="AA23" s="489"/>
      <c r="AB23" s="489"/>
      <c r="AC23" s="496"/>
      <c r="AD23" s="497"/>
      <c r="AE23" s="497"/>
      <c r="AF23" s="497"/>
      <c r="AG23" s="497"/>
      <c r="AH23" s="107"/>
      <c r="AI23" s="107"/>
      <c r="AJ23" s="95"/>
      <c r="AK23" s="107"/>
      <c r="AL23" s="107"/>
      <c r="AM23" s="107"/>
      <c r="AN23" s="107"/>
      <c r="AO23" s="108"/>
    </row>
    <row r="24" spans="1:41">
      <c r="A24" s="499"/>
      <c r="B24" s="499"/>
      <c r="C24" s="508"/>
      <c r="D24" s="489"/>
      <c r="E24" s="507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507"/>
      <c r="X24" s="489"/>
      <c r="Y24" s="489"/>
      <c r="Z24" s="489"/>
      <c r="AA24" s="489"/>
      <c r="AB24" s="489"/>
      <c r="AC24" s="496"/>
      <c r="AD24" s="497"/>
      <c r="AE24" s="497"/>
      <c r="AF24" s="497"/>
      <c r="AG24" s="497"/>
      <c r="AH24" s="107"/>
      <c r="AI24" s="107"/>
      <c r="AJ24" s="95"/>
      <c r="AK24" s="107"/>
      <c r="AL24" s="107"/>
      <c r="AM24" s="107"/>
      <c r="AN24" s="107"/>
      <c r="AO24" s="108"/>
    </row>
    <row r="25" spans="1:41">
      <c r="A25" s="494"/>
      <c r="B25" s="494"/>
      <c r="C25" s="506"/>
      <c r="D25" s="489"/>
      <c r="E25" s="507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507"/>
      <c r="X25" s="489"/>
      <c r="Y25" s="489"/>
      <c r="Z25" s="489"/>
      <c r="AA25" s="489"/>
      <c r="AB25" s="489"/>
      <c r="AC25" s="496"/>
      <c r="AD25" s="497"/>
      <c r="AE25" s="497"/>
      <c r="AF25" s="497"/>
      <c r="AG25" s="497"/>
      <c r="AH25" s="107"/>
      <c r="AI25" s="107"/>
      <c r="AJ25" s="95"/>
      <c r="AK25" s="107"/>
      <c r="AL25" s="107"/>
      <c r="AM25" s="107"/>
      <c r="AN25" s="107"/>
      <c r="AO25" s="108"/>
    </row>
    <row r="26" spans="1:41">
      <c r="A26" s="489"/>
      <c r="B26" s="489"/>
      <c r="C26" s="490"/>
      <c r="D26" s="489"/>
      <c r="E26" s="507"/>
      <c r="F26" s="489"/>
      <c r="G26" s="507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96"/>
      <c r="AD26" s="497"/>
      <c r="AE26" s="497"/>
      <c r="AF26" s="497"/>
      <c r="AG26" s="497"/>
      <c r="AH26" s="107"/>
      <c r="AI26" s="107"/>
      <c r="AJ26" s="95"/>
      <c r="AK26" s="107"/>
      <c r="AL26" s="107"/>
      <c r="AM26" s="107"/>
      <c r="AN26" s="107"/>
      <c r="AO26" s="108"/>
    </row>
    <row r="27" spans="1:41">
      <c r="A27" s="489"/>
      <c r="B27" s="489"/>
      <c r="C27" s="490"/>
      <c r="D27" s="489"/>
      <c r="E27" s="507"/>
      <c r="F27" s="489"/>
      <c r="G27" s="507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96"/>
      <c r="S27" s="497"/>
      <c r="T27" s="498"/>
      <c r="U27" s="498"/>
      <c r="V27" s="498"/>
      <c r="W27" s="511"/>
      <c r="X27" s="489"/>
      <c r="Y27" s="489"/>
      <c r="Z27" s="489"/>
      <c r="AA27" s="489"/>
      <c r="AB27" s="489"/>
      <c r="AC27" s="496"/>
      <c r="AD27" s="497"/>
      <c r="AE27" s="497"/>
      <c r="AF27" s="497"/>
      <c r="AG27" s="497"/>
      <c r="AH27" s="107"/>
      <c r="AI27" s="107"/>
      <c r="AJ27" s="95"/>
      <c r="AK27" s="107"/>
      <c r="AL27" s="107"/>
      <c r="AM27" s="107"/>
      <c r="AN27" s="107"/>
      <c r="AO27" s="108"/>
    </row>
    <row r="28" spans="1:41">
      <c r="A28" s="489"/>
      <c r="B28" s="489"/>
      <c r="C28" s="490"/>
      <c r="D28" s="489"/>
      <c r="E28" s="507"/>
      <c r="F28" s="489"/>
      <c r="G28" s="507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96"/>
      <c r="S28" s="497"/>
      <c r="T28" s="498"/>
      <c r="U28" s="498"/>
      <c r="V28" s="498"/>
      <c r="W28" s="511"/>
      <c r="X28" s="489"/>
      <c r="Y28" s="489"/>
      <c r="Z28" s="489"/>
      <c r="AA28" s="489"/>
      <c r="AB28" s="489"/>
      <c r="AC28" s="496"/>
      <c r="AD28" s="497"/>
      <c r="AE28" s="497"/>
      <c r="AF28" s="497"/>
      <c r="AG28" s="497"/>
      <c r="AH28" s="107"/>
      <c r="AI28" s="107"/>
      <c r="AJ28" s="95"/>
      <c r="AK28" s="107"/>
      <c r="AL28" s="107"/>
      <c r="AM28" s="107"/>
      <c r="AN28" s="107"/>
      <c r="AO28" s="108"/>
    </row>
    <row r="29" spans="1:41">
      <c r="A29" s="489"/>
      <c r="B29" s="489"/>
      <c r="C29" s="490"/>
      <c r="D29" s="489"/>
      <c r="E29" s="507"/>
      <c r="F29" s="489"/>
      <c r="G29" s="507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96"/>
      <c r="S29" s="497"/>
      <c r="T29" s="498"/>
      <c r="U29" s="498"/>
      <c r="V29" s="498"/>
      <c r="W29" s="511"/>
      <c r="X29" s="489"/>
      <c r="Y29" s="489"/>
      <c r="Z29" s="489"/>
      <c r="AA29" s="489"/>
      <c r="AB29" s="489"/>
      <c r="AC29" s="496"/>
      <c r="AD29" s="497"/>
      <c r="AE29" s="497"/>
      <c r="AF29" s="497"/>
      <c r="AG29" s="497"/>
      <c r="AH29" s="107"/>
      <c r="AI29" s="107"/>
      <c r="AJ29" s="95"/>
      <c r="AK29" s="107"/>
      <c r="AL29" s="107"/>
      <c r="AM29" s="107"/>
      <c r="AN29" s="107"/>
      <c r="AO29" s="108"/>
    </row>
    <row r="30" spans="1:41">
      <c r="A30" s="489"/>
      <c r="B30" s="489"/>
      <c r="C30" s="490"/>
      <c r="D30" s="489"/>
      <c r="E30" s="507"/>
      <c r="F30" s="489"/>
      <c r="G30" s="507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96"/>
      <c r="S30" s="497"/>
      <c r="T30" s="498"/>
      <c r="U30" s="498"/>
      <c r="V30" s="498"/>
      <c r="W30" s="511"/>
      <c r="X30" s="489"/>
      <c r="Y30" s="489"/>
      <c r="Z30" s="489"/>
      <c r="AA30" s="489"/>
      <c r="AB30" s="489"/>
      <c r="AC30" s="489"/>
      <c r="AD30" s="489"/>
      <c r="AE30" s="489"/>
      <c r="AF30" s="489"/>
      <c r="AG30" s="489"/>
      <c r="AO30" s="93"/>
    </row>
    <row r="31" spans="1:41">
      <c r="A31" s="489"/>
      <c r="B31" s="489"/>
      <c r="C31" s="490"/>
      <c r="D31" s="489"/>
      <c r="E31" s="507"/>
      <c r="F31" s="489"/>
      <c r="G31" s="507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96"/>
      <c r="S31" s="497"/>
      <c r="T31" s="498"/>
      <c r="U31" s="498"/>
      <c r="V31" s="498"/>
      <c r="W31" s="511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</row>
    <row r="32" spans="1:41">
      <c r="A32" s="489"/>
      <c r="B32" s="489"/>
      <c r="C32" s="490"/>
      <c r="D32" s="489"/>
      <c r="E32" s="507"/>
      <c r="F32" s="489"/>
      <c r="G32" s="507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96"/>
      <c r="S32" s="497"/>
      <c r="T32" s="498"/>
      <c r="U32" s="498"/>
      <c r="V32" s="498"/>
      <c r="W32" s="511"/>
      <c r="X32" s="489"/>
      <c r="Y32" s="489"/>
      <c r="Z32" s="489"/>
      <c r="AA32" s="489"/>
      <c r="AB32" s="489"/>
      <c r="AC32" s="489"/>
      <c r="AD32" s="489"/>
      <c r="AE32" s="489"/>
      <c r="AF32" s="489"/>
      <c r="AG32" s="489"/>
    </row>
    <row r="33" spans="1:33">
      <c r="A33" s="482"/>
      <c r="B33" s="489"/>
      <c r="C33" s="490"/>
      <c r="D33" s="489"/>
      <c r="E33" s="507"/>
      <c r="F33" s="489"/>
      <c r="G33" s="507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96"/>
      <c r="S33" s="497"/>
      <c r="T33" s="498"/>
      <c r="U33" s="498"/>
      <c r="V33" s="498"/>
      <c r="W33" s="511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</row>
    <row r="34" spans="1:33">
      <c r="A34" s="482"/>
      <c r="B34" s="489"/>
      <c r="C34" s="490"/>
      <c r="D34" s="489"/>
      <c r="E34" s="507"/>
      <c r="F34" s="489"/>
      <c r="G34" s="507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96"/>
      <c r="S34" s="497"/>
      <c r="T34" s="498"/>
      <c r="U34" s="498"/>
      <c r="V34" s="498"/>
      <c r="W34" s="511"/>
      <c r="X34" s="489"/>
      <c r="Y34" s="489"/>
      <c r="Z34" s="489"/>
      <c r="AA34" s="489"/>
      <c r="AB34" s="489"/>
      <c r="AC34" s="489"/>
      <c r="AD34" s="489"/>
      <c r="AE34" s="489"/>
      <c r="AF34" s="489"/>
      <c r="AG34" s="489"/>
    </row>
    <row r="35" spans="1:33">
      <c r="A35" s="627"/>
      <c r="B35" s="489"/>
      <c r="C35" s="490"/>
      <c r="D35" s="489"/>
      <c r="E35" s="507"/>
      <c r="F35" s="489"/>
      <c r="G35" s="507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96"/>
      <c r="S35" s="497"/>
      <c r="T35" s="498"/>
      <c r="U35" s="498"/>
      <c r="V35" s="498"/>
      <c r="W35" s="511"/>
      <c r="X35" s="489"/>
      <c r="Y35" s="489"/>
      <c r="Z35" s="489"/>
      <c r="AA35" s="489"/>
      <c r="AB35" s="489"/>
      <c r="AC35" s="489"/>
      <c r="AD35" s="489"/>
      <c r="AE35" s="489"/>
      <c r="AF35" s="489"/>
      <c r="AG35" s="489"/>
    </row>
    <row r="36" spans="1:33">
      <c r="A36" s="482"/>
      <c r="B36" s="489"/>
      <c r="C36" s="490"/>
      <c r="D36" s="489"/>
      <c r="E36" s="507"/>
      <c r="F36" s="489"/>
      <c r="G36" s="507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96"/>
      <c r="S36" s="497"/>
      <c r="T36" s="498"/>
      <c r="U36" s="498"/>
      <c r="V36" s="498"/>
      <c r="W36" s="511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</row>
    <row r="37" spans="1:33">
      <c r="A37" s="482"/>
      <c r="B37" s="489"/>
      <c r="C37" s="490"/>
      <c r="D37" s="489"/>
      <c r="E37" s="507"/>
      <c r="F37" s="489"/>
      <c r="G37" s="507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</row>
    <row r="38" spans="1:33">
      <c r="A38" s="482"/>
      <c r="B38" s="489"/>
      <c r="C38" s="490"/>
      <c r="D38" s="489"/>
      <c r="E38" s="507"/>
      <c r="F38" s="489"/>
      <c r="G38" s="507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</row>
    <row r="39" spans="1:33">
      <c r="A39" s="489"/>
      <c r="B39" s="489"/>
      <c r="C39" s="490"/>
      <c r="D39" s="489"/>
      <c r="E39" s="507"/>
      <c r="F39" s="489"/>
      <c r="G39" s="507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89"/>
      <c r="AF39" s="489"/>
      <c r="AG39" s="489"/>
    </row>
    <row r="40" spans="1:33">
      <c r="A40" s="489"/>
      <c r="B40" s="489"/>
      <c r="C40" s="490"/>
      <c r="D40" s="489"/>
      <c r="E40" s="507"/>
      <c r="F40" s="489"/>
      <c r="G40" s="507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89"/>
      <c r="V40" s="489"/>
      <c r="W40" s="489"/>
      <c r="X40" s="489"/>
      <c r="Y40" s="489"/>
      <c r="Z40" s="489"/>
      <c r="AA40" s="489"/>
      <c r="AB40" s="489"/>
      <c r="AC40" s="489"/>
      <c r="AD40" s="489"/>
      <c r="AE40" s="489"/>
      <c r="AF40" s="489"/>
      <c r="AG40" s="489"/>
    </row>
    <row r="41" spans="1:33">
      <c r="A41" s="489"/>
      <c r="B41" s="489"/>
      <c r="C41" s="490"/>
      <c r="D41" s="489"/>
      <c r="E41" s="507"/>
      <c r="F41" s="489"/>
      <c r="G41" s="507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</row>
    <row r="42" spans="1:33" ht="14.25" customHeight="1">
      <c r="A42" s="489"/>
      <c r="B42" s="489"/>
      <c r="C42" s="490"/>
      <c r="D42" s="489"/>
      <c r="E42" s="507"/>
      <c r="F42" s="489"/>
      <c r="G42" s="507"/>
      <c r="H42" s="489"/>
      <c r="I42" s="489"/>
      <c r="J42" s="489"/>
      <c r="K42" s="489"/>
      <c r="L42" s="489"/>
      <c r="M42" s="489"/>
      <c r="N42" s="489"/>
      <c r="O42" s="489"/>
      <c r="P42" s="489"/>
      <c r="Q42" s="489"/>
      <c r="R42" s="489"/>
      <c r="S42" s="489"/>
      <c r="T42" s="489"/>
      <c r="U42" s="489"/>
      <c r="V42" s="489"/>
      <c r="W42" s="489"/>
      <c r="X42" s="489"/>
      <c r="Y42" s="489"/>
      <c r="Z42" s="489"/>
      <c r="AA42" s="489"/>
      <c r="AB42" s="489"/>
      <c r="AC42" s="489"/>
      <c r="AD42" s="489"/>
      <c r="AE42" s="489"/>
      <c r="AF42" s="489"/>
      <c r="AG42" s="489"/>
    </row>
    <row r="43" spans="1:33">
      <c r="A43" s="499"/>
      <c r="B43" s="499"/>
      <c r="C43" s="508"/>
      <c r="D43" s="499"/>
      <c r="E43" s="507"/>
      <c r="F43" s="489"/>
      <c r="G43" s="507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89"/>
      <c r="Y43" s="489"/>
      <c r="Z43" s="489"/>
      <c r="AA43" s="489"/>
      <c r="AB43" s="489"/>
      <c r="AC43" s="489"/>
      <c r="AD43" s="489"/>
      <c r="AE43" s="489"/>
      <c r="AF43" s="489"/>
      <c r="AG43" s="489"/>
    </row>
    <row r="44" spans="1:33" ht="14.25" customHeight="1">
      <c r="A44" s="489"/>
      <c r="B44" s="489"/>
      <c r="C44" s="490"/>
      <c r="D44" s="489"/>
      <c r="E44" s="507"/>
      <c r="F44" s="489"/>
      <c r="G44" s="507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  <c r="AD44" s="489"/>
      <c r="AE44" s="489"/>
      <c r="AF44" s="489"/>
      <c r="AG44" s="489"/>
    </row>
    <row r="45" spans="1:33">
      <c r="A45" s="104"/>
      <c r="B45" s="104"/>
      <c r="C45" s="105"/>
      <c r="D45" s="104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7:M1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O60"/>
  <sheetViews>
    <sheetView topLeftCell="A13" workbookViewId="0"/>
  </sheetViews>
  <sheetFormatPr defaultRowHeight="14.25"/>
  <cols>
    <col min="1" max="1" width="10.42578125" style="9" customWidth="1"/>
    <col min="2" max="2" width="13.42578125" style="93" customWidth="1"/>
    <col min="3" max="3" width="11.7109375" style="93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499</v>
      </c>
    </row>
    <row r="5" spans="1:15" ht="15">
      <c r="A5" s="1"/>
    </row>
    <row r="6" spans="1:15">
      <c r="A6" s="9" t="s">
        <v>208</v>
      </c>
    </row>
    <row r="7" spans="1:15">
      <c r="A7" s="9" t="s">
        <v>209</v>
      </c>
    </row>
    <row r="8" spans="1:15" ht="15" thickBot="1">
      <c r="B8" s="9"/>
      <c r="C8" s="9"/>
    </row>
    <row r="9" spans="1:15" s="113" customFormat="1" ht="41.25" customHeight="1" thickBot="1">
      <c r="A9" s="1059" t="str">
        <f>'10+_UNIDADES_2024'!A7</f>
        <v>Secretaria Municipal de Assistência e Desenvolvimento Social</v>
      </c>
      <c r="B9" s="1060"/>
      <c r="C9" s="1061"/>
      <c r="E9" s="1059" t="str">
        <f>'10+_UNIDADES_2024'!A8</f>
        <v>Secretaria Municipal das Subprefeituras</v>
      </c>
      <c r="F9" s="1060"/>
      <c r="G9" s="1061"/>
      <c r="I9" s="1059" t="str">
        <f>'10+_UNIDADES_2024'!A9</f>
        <v>Secretaria Municipal da Saúde</v>
      </c>
      <c r="J9" s="1060"/>
      <c r="K9" s="1061"/>
      <c r="M9" s="1059" t="str">
        <f>'10+_UNIDADES_2024'!A10</f>
        <v>Secretaria Municipal de Educação</v>
      </c>
      <c r="N9" s="1060"/>
      <c r="O9" s="1061"/>
    </row>
    <row r="10" spans="1:15" ht="15.75" thickBot="1">
      <c r="A10" s="748" t="s">
        <v>2</v>
      </c>
      <c r="B10" s="4" t="s">
        <v>210</v>
      </c>
      <c r="C10" s="752" t="s">
        <v>211</v>
      </c>
      <c r="E10" s="746" t="s">
        <v>2</v>
      </c>
      <c r="F10" s="4" t="s">
        <v>210</v>
      </c>
      <c r="G10" s="752" t="s">
        <v>211</v>
      </c>
      <c r="I10" s="748" t="s">
        <v>2</v>
      </c>
      <c r="J10" s="4" t="s">
        <v>210</v>
      </c>
      <c r="K10" s="752" t="s">
        <v>211</v>
      </c>
      <c r="M10" s="746" t="s">
        <v>2</v>
      </c>
      <c r="N10" s="5" t="s">
        <v>210</v>
      </c>
      <c r="O10" s="747" t="s">
        <v>211</v>
      </c>
    </row>
    <row r="11" spans="1:15" ht="15">
      <c r="A11" s="736">
        <v>45292</v>
      </c>
      <c r="B11" s="170">
        <f>'10+_UNIDADES_2024'!M7</f>
        <v>711</v>
      </c>
      <c r="C11" s="753">
        <f>((B11-350)/350)*100</f>
        <v>103.14285714285714</v>
      </c>
      <c r="E11" s="736">
        <v>45292</v>
      </c>
      <c r="F11" s="170">
        <f>'10+_UNIDADES_2024'!M8</f>
        <v>560</v>
      </c>
      <c r="G11" s="753">
        <f>((F11-514)/514)*100</f>
        <v>8.9494163424124515</v>
      </c>
      <c r="I11" s="736">
        <v>45292</v>
      </c>
      <c r="J11" s="170">
        <f>'10+_UNIDADES_2024'!M9</f>
        <v>439</v>
      </c>
      <c r="K11" s="753">
        <f>((J11-398)/398)*100</f>
        <v>10.301507537688442</v>
      </c>
      <c r="M11" s="736">
        <v>45292</v>
      </c>
      <c r="N11" s="115">
        <f>'10+_UNIDADES_2024'!M10</f>
        <v>268</v>
      </c>
      <c r="O11" s="754">
        <f>((N11-336)/336)*100</f>
        <v>-20.238095238095237</v>
      </c>
    </row>
    <row r="12" spans="1:15" s="482" customFormat="1" ht="15">
      <c r="A12" s="906">
        <v>45323</v>
      </c>
      <c r="B12" s="923">
        <f>'10+_UNIDADES_2024'!L7</f>
        <v>909</v>
      </c>
      <c r="C12" s="924">
        <f t="shared" ref="C12:C18" si="0">((B12-B11)/B11)*100</f>
        <v>27.848101265822784</v>
      </c>
      <c r="E12" s="906">
        <v>45323</v>
      </c>
      <c r="F12" s="923">
        <f>'10+_UNIDADES_2024'!L8</f>
        <v>584</v>
      </c>
      <c r="G12" s="924">
        <f t="shared" ref="G12:G17" si="1">((F12-F11)/F11)*100</f>
        <v>4.2857142857142856</v>
      </c>
      <c r="I12" s="906">
        <v>45323</v>
      </c>
      <c r="J12" s="923">
        <f>'10+_UNIDADES_2024'!L9</f>
        <v>424</v>
      </c>
      <c r="K12" s="924">
        <f t="shared" ref="K12:K17" si="2">((J12-J11)/J11)*100</f>
        <v>-3.416856492027335</v>
      </c>
      <c r="M12" s="906">
        <v>45323</v>
      </c>
      <c r="N12" s="909">
        <f>'10+_UNIDADES_2024'!L10</f>
        <v>465</v>
      </c>
      <c r="O12" s="910">
        <f t="shared" ref="O12:O17" si="3">((N12-N11)/N11)*100</f>
        <v>73.507462686567166</v>
      </c>
    </row>
    <row r="13" spans="1:15" s="482" customFormat="1" ht="15">
      <c r="A13" s="906">
        <v>45352</v>
      </c>
      <c r="B13" s="923">
        <f>'10+_UNIDADES_2024'!K7</f>
        <v>976</v>
      </c>
      <c r="C13" s="924">
        <f t="shared" si="0"/>
        <v>7.3707370737073701</v>
      </c>
      <c r="E13" s="906">
        <v>45352</v>
      </c>
      <c r="F13" s="923">
        <f>'10+_UNIDADES_2024'!K8</f>
        <v>635</v>
      </c>
      <c r="G13" s="924">
        <f t="shared" si="1"/>
        <v>8.7328767123287676</v>
      </c>
      <c r="I13" s="906">
        <v>45352</v>
      </c>
      <c r="J13" s="923">
        <f>'10+_UNIDADES_2024'!K9</f>
        <v>519</v>
      </c>
      <c r="K13" s="924">
        <f t="shared" si="2"/>
        <v>22.40566037735849</v>
      </c>
      <c r="M13" s="906">
        <v>45352</v>
      </c>
      <c r="N13" s="909">
        <f>'10+_UNIDADES_2024'!K10</f>
        <v>436</v>
      </c>
      <c r="O13" s="910">
        <f t="shared" si="3"/>
        <v>-6.236559139784946</v>
      </c>
    </row>
    <row r="14" spans="1:15" s="482" customFormat="1" ht="15">
      <c r="A14" s="906">
        <v>45383</v>
      </c>
      <c r="B14" s="923">
        <f>'10+_UNIDADES_2024'!J$7</f>
        <v>1024</v>
      </c>
      <c r="C14" s="924">
        <f t="shared" si="0"/>
        <v>4.918032786885246</v>
      </c>
      <c r="E14" s="906">
        <v>45383</v>
      </c>
      <c r="F14" s="923">
        <f>'10+_UNIDADES_2024'!J$8</f>
        <v>622</v>
      </c>
      <c r="G14" s="924">
        <f t="shared" si="1"/>
        <v>-2.0472440944881889</v>
      </c>
      <c r="I14" s="906">
        <v>45383</v>
      </c>
      <c r="J14" s="923">
        <f>'10+_UNIDADES_2024'!J$9</f>
        <v>608</v>
      </c>
      <c r="K14" s="924">
        <f t="shared" si="2"/>
        <v>17.148362235067438</v>
      </c>
      <c r="M14" s="906">
        <v>45383</v>
      </c>
      <c r="N14" s="909">
        <f>'10+_UNIDADES_2024'!J$10</f>
        <v>306</v>
      </c>
      <c r="O14" s="910">
        <f t="shared" si="3"/>
        <v>-29.816513761467888</v>
      </c>
    </row>
    <row r="15" spans="1:15" ht="15">
      <c r="A15" s="738">
        <v>45413</v>
      </c>
      <c r="B15" s="809">
        <f>'10+_UNIDADES_2024'!I$7</f>
        <v>0</v>
      </c>
      <c r="C15" s="810">
        <f t="shared" si="0"/>
        <v>-100</v>
      </c>
      <c r="E15" s="738">
        <v>45413</v>
      </c>
      <c r="F15" s="809">
        <f>'10+_UNIDADES_2024'!I$8</f>
        <v>0</v>
      </c>
      <c r="G15" s="810">
        <f t="shared" si="1"/>
        <v>-100</v>
      </c>
      <c r="I15" s="738">
        <v>45413</v>
      </c>
      <c r="J15" s="809">
        <f>'10+_UNIDADES_2024'!I$9</f>
        <v>0</v>
      </c>
      <c r="K15" s="810">
        <f t="shared" si="2"/>
        <v>-100</v>
      </c>
      <c r="M15" s="738">
        <v>45413</v>
      </c>
      <c r="N15" s="802">
        <f>'10+_UNIDADES_2024'!I$10</f>
        <v>0</v>
      </c>
      <c r="O15" s="803">
        <f t="shared" si="3"/>
        <v>-100</v>
      </c>
    </row>
    <row r="16" spans="1:15" ht="15">
      <c r="A16" s="738">
        <v>45444</v>
      </c>
      <c r="B16" s="809">
        <f>'10+_UNIDADES_2024'!H$7</f>
        <v>0</v>
      </c>
      <c r="C16" s="810" t="e">
        <f t="shared" si="0"/>
        <v>#DIV/0!</v>
      </c>
      <c r="E16" s="738">
        <v>45444</v>
      </c>
      <c r="F16" s="809">
        <f>'10+_UNIDADES_2024'!H$8</f>
        <v>0</v>
      </c>
      <c r="G16" s="810" t="e">
        <f t="shared" si="1"/>
        <v>#DIV/0!</v>
      </c>
      <c r="I16" s="738">
        <v>45444</v>
      </c>
      <c r="J16" s="809">
        <f>'10+_UNIDADES_2024'!H$9</f>
        <v>0</v>
      </c>
      <c r="K16" s="810" t="e">
        <f t="shared" si="2"/>
        <v>#DIV/0!</v>
      </c>
      <c r="M16" s="738">
        <v>45444</v>
      </c>
      <c r="N16" s="802">
        <f>'10+_UNIDADES_2024'!H$10</f>
        <v>0</v>
      </c>
      <c r="O16" s="803" t="e">
        <f t="shared" si="3"/>
        <v>#DIV/0!</v>
      </c>
    </row>
    <row r="17" spans="1:15" ht="15">
      <c r="A17" s="738">
        <v>45474</v>
      </c>
      <c r="B17" s="809">
        <f>'10+_UNIDADES_2024'!G$7</f>
        <v>0</v>
      </c>
      <c r="C17" s="810" t="e">
        <f t="shared" si="0"/>
        <v>#DIV/0!</v>
      </c>
      <c r="E17" s="738">
        <v>45474</v>
      </c>
      <c r="F17" s="809">
        <f>'10+_UNIDADES_2024'!G$8</f>
        <v>0</v>
      </c>
      <c r="G17" s="810" t="e">
        <f t="shared" si="1"/>
        <v>#DIV/0!</v>
      </c>
      <c r="I17" s="738">
        <v>45474</v>
      </c>
      <c r="J17" s="809">
        <f>'10+_UNIDADES_2024'!G$9</f>
        <v>0</v>
      </c>
      <c r="K17" s="810" t="e">
        <f t="shared" si="2"/>
        <v>#DIV/0!</v>
      </c>
      <c r="M17" s="738">
        <v>45474</v>
      </c>
      <c r="N17" s="802">
        <f>'10+_UNIDADES_2024'!G$10</f>
        <v>0</v>
      </c>
      <c r="O17" s="803" t="e">
        <f t="shared" si="3"/>
        <v>#DIV/0!</v>
      </c>
    </row>
    <row r="18" spans="1:15" ht="15">
      <c r="A18" s="738">
        <v>45505</v>
      </c>
      <c r="B18" s="809">
        <f>'10+_UNIDADES_2024'!F$7</f>
        <v>0</v>
      </c>
      <c r="C18" s="810" t="e">
        <f t="shared" si="0"/>
        <v>#DIV/0!</v>
      </c>
      <c r="E18" s="738">
        <v>45505</v>
      </c>
      <c r="F18" s="809">
        <f>'10+_UNIDADES_2024'!F$8</f>
        <v>0</v>
      </c>
      <c r="G18" s="810" t="e">
        <f t="shared" ref="G18" si="4">((F18-F17)/F17)*100</f>
        <v>#DIV/0!</v>
      </c>
      <c r="I18" s="738">
        <v>45505</v>
      </c>
      <c r="J18" s="809">
        <f>'10+_UNIDADES_2024'!F$9</f>
        <v>0</v>
      </c>
      <c r="K18" s="810" t="e">
        <f t="shared" ref="K18" si="5">((J18-J17)/J17)*100</f>
        <v>#DIV/0!</v>
      </c>
      <c r="M18" s="738">
        <v>45505</v>
      </c>
      <c r="N18" s="802">
        <f>'10+_UNIDADES_2024'!F$10</f>
        <v>0</v>
      </c>
      <c r="O18" s="803" t="e">
        <f t="shared" ref="O18" si="6">((N18-N17)/N17)*100</f>
        <v>#DIV/0!</v>
      </c>
    </row>
    <row r="19" spans="1:15" ht="15">
      <c r="A19" s="738">
        <v>45536</v>
      </c>
      <c r="B19" s="809">
        <f>'10+_UNIDADES_2024'!E$7</f>
        <v>0</v>
      </c>
      <c r="C19" s="810" t="e">
        <f t="shared" ref="C19:C21" si="7">((B19-B18)/B18)*100</f>
        <v>#DIV/0!</v>
      </c>
      <c r="E19" s="738">
        <v>45536</v>
      </c>
      <c r="F19" s="809">
        <f>'10+_UNIDADES_2024'!E$8</f>
        <v>0</v>
      </c>
      <c r="G19" s="810" t="e">
        <f t="shared" ref="G19:G21" si="8">((F19-F18)/F18)*100</f>
        <v>#DIV/0!</v>
      </c>
      <c r="I19" s="738">
        <v>45536</v>
      </c>
      <c r="J19" s="809">
        <f>'10+_UNIDADES_2024'!E$9</f>
        <v>0</v>
      </c>
      <c r="K19" s="810" t="e">
        <f t="shared" ref="K19:K21" si="9">((J19-J18)/J18)*100</f>
        <v>#DIV/0!</v>
      </c>
      <c r="M19" s="738">
        <v>45536</v>
      </c>
      <c r="N19" s="802">
        <f>'10+_UNIDADES_2024'!E$10</f>
        <v>0</v>
      </c>
      <c r="O19" s="803" t="e">
        <f t="shared" ref="O19:O21" si="10">((N19-N18)/N18)*100</f>
        <v>#DIV/0!</v>
      </c>
    </row>
    <row r="20" spans="1:15" ht="15">
      <c r="A20" s="738">
        <v>45566</v>
      </c>
      <c r="B20" s="809">
        <f>'10+_UNIDADES_2024'!D$7</f>
        <v>0</v>
      </c>
      <c r="C20" s="810" t="e">
        <f t="shared" si="7"/>
        <v>#DIV/0!</v>
      </c>
      <c r="E20" s="738">
        <v>45566</v>
      </c>
      <c r="F20" s="809">
        <f>'10+_UNIDADES_2024'!D$8</f>
        <v>0</v>
      </c>
      <c r="G20" s="810" t="e">
        <f t="shared" si="8"/>
        <v>#DIV/0!</v>
      </c>
      <c r="I20" s="738">
        <v>45566</v>
      </c>
      <c r="J20" s="809">
        <f>'10+_UNIDADES_2024'!D$9</f>
        <v>0</v>
      </c>
      <c r="K20" s="810" t="e">
        <f t="shared" si="9"/>
        <v>#DIV/0!</v>
      </c>
      <c r="M20" s="738">
        <v>45566</v>
      </c>
      <c r="N20" s="802">
        <f>'10+_UNIDADES_2024'!D$10</f>
        <v>0</v>
      </c>
      <c r="O20" s="803" t="e">
        <f t="shared" si="10"/>
        <v>#DIV/0!</v>
      </c>
    </row>
    <row r="21" spans="1:15" ht="15">
      <c r="A21" s="738">
        <v>45597</v>
      </c>
      <c r="B21" s="809">
        <f>'10+_UNIDADES_2024'!C$7</f>
        <v>0</v>
      </c>
      <c r="C21" s="810" t="e">
        <f t="shared" si="7"/>
        <v>#DIV/0!</v>
      </c>
      <c r="E21" s="738">
        <v>45597</v>
      </c>
      <c r="F21" s="809">
        <f>'10+_UNIDADES_2024'!C$8</f>
        <v>0</v>
      </c>
      <c r="G21" s="810" t="e">
        <f t="shared" si="8"/>
        <v>#DIV/0!</v>
      </c>
      <c r="I21" s="738">
        <v>45597</v>
      </c>
      <c r="J21" s="809">
        <f>'10+_UNIDADES_2024'!C$9</f>
        <v>0</v>
      </c>
      <c r="K21" s="810" t="e">
        <f t="shared" si="9"/>
        <v>#DIV/0!</v>
      </c>
      <c r="M21" s="738">
        <v>45597</v>
      </c>
      <c r="N21" s="802">
        <f>'10+_UNIDADES_2024'!C$10</f>
        <v>0</v>
      </c>
      <c r="O21" s="803" t="e">
        <f t="shared" si="10"/>
        <v>#DIV/0!</v>
      </c>
    </row>
    <row r="22" spans="1:15" ht="15.75" thickBot="1">
      <c r="A22" s="739">
        <v>45627</v>
      </c>
      <c r="B22" s="811">
        <f>'10+_UNIDADES_2024'!B$7</f>
        <v>0</v>
      </c>
      <c r="C22" s="812" t="e">
        <f t="shared" ref="C22" si="11">((B22-B21)/B21)*100</f>
        <v>#DIV/0!</v>
      </c>
      <c r="E22" s="739">
        <v>45627</v>
      </c>
      <c r="F22" s="811">
        <f>'10+_UNIDADES_2024'!B$8</f>
        <v>0</v>
      </c>
      <c r="G22" s="812" t="e">
        <f t="shared" ref="G22" si="12">((F22-F21)/F21)*100</f>
        <v>#DIV/0!</v>
      </c>
      <c r="I22" s="739">
        <v>45627</v>
      </c>
      <c r="J22" s="811">
        <f>'10+_UNIDADES_2024'!B$9</f>
        <v>0</v>
      </c>
      <c r="K22" s="812" t="e">
        <f t="shared" ref="K22" si="13">((J22-J21)/J21)*100</f>
        <v>#DIV/0!</v>
      </c>
      <c r="M22" s="739">
        <v>45627</v>
      </c>
      <c r="N22" s="804">
        <f>'10+_UNIDADES_2024'!B$10</f>
        <v>0</v>
      </c>
      <c r="O22" s="805" t="e">
        <f t="shared" ref="O22" si="14"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30.75" customHeight="1" thickBot="1">
      <c r="A25" s="1059" t="str">
        <f>'10+_UNIDADES_2024'!A11</f>
        <v>Secretaria Executiva de Limpeza Urbana**</v>
      </c>
      <c r="B25" s="1060"/>
      <c r="C25" s="1061"/>
      <c r="E25" s="1059" t="str">
        <f>'10+_UNIDADES_2024'!A12</f>
        <v>Secretaria Municipal da Fazenda</v>
      </c>
      <c r="F25" s="1060"/>
      <c r="G25" s="1061"/>
      <c r="I25" s="1059" t="str">
        <f>'10+_UNIDADES_2024'!A13</f>
        <v>Companhia de Engenharia de Tráfego - CET</v>
      </c>
      <c r="J25" s="1060"/>
      <c r="K25" s="1061"/>
      <c r="M25" s="1059" t="str">
        <f>'10+_UNIDADES_2024'!A14</f>
        <v>São Paulo Transportes - SPTRANS</v>
      </c>
      <c r="N25" s="1060"/>
      <c r="O25" s="1061"/>
    </row>
    <row r="26" spans="1:15" ht="15.75" thickBot="1">
      <c r="A26" s="748" t="s">
        <v>2</v>
      </c>
      <c r="B26" s="5" t="s">
        <v>210</v>
      </c>
      <c r="C26" s="747" t="s">
        <v>211</v>
      </c>
      <c r="E26" s="746" t="s">
        <v>2</v>
      </c>
      <c r="F26" s="5" t="s">
        <v>210</v>
      </c>
      <c r="G26" s="747" t="s">
        <v>211</v>
      </c>
      <c r="I26" s="748" t="s">
        <v>2</v>
      </c>
      <c r="J26" s="5" t="s">
        <v>210</v>
      </c>
      <c r="K26" s="747" t="s">
        <v>211</v>
      </c>
      <c r="M26" s="755" t="s">
        <v>2</v>
      </c>
      <c r="N26" s="5" t="s">
        <v>210</v>
      </c>
      <c r="O26" s="747" t="s">
        <v>211</v>
      </c>
    </row>
    <row r="27" spans="1:15" ht="15">
      <c r="A27" s="736">
        <v>45292</v>
      </c>
      <c r="B27" s="115">
        <f>'10+_UNIDADES_2024'!M11</f>
        <v>379</v>
      </c>
      <c r="C27" s="754">
        <f>((B27-301)/301)*100</f>
        <v>25.91362126245847</v>
      </c>
      <c r="E27" s="736">
        <v>45292</v>
      </c>
      <c r="F27" s="115">
        <f>'10+_UNIDADES_2024'!M12</f>
        <v>354</v>
      </c>
      <c r="G27" s="754">
        <f>((F27-266)/266)*100</f>
        <v>33.082706766917291</v>
      </c>
      <c r="I27" s="736">
        <v>45292</v>
      </c>
      <c r="J27" s="115">
        <f>'10+_UNIDADES_2024'!M13</f>
        <v>328</v>
      </c>
      <c r="K27" s="754">
        <f>((J27-148)/148)*100</f>
        <v>121.62162162162163</v>
      </c>
      <c r="M27" s="736">
        <v>45292</v>
      </c>
      <c r="N27" s="115">
        <f>'10+_UNIDADES_2024'!M14</f>
        <v>180</v>
      </c>
      <c r="O27" s="754">
        <f>((N27-163)/163)*100</f>
        <v>10.429447852760736</v>
      </c>
    </row>
    <row r="28" spans="1:15" s="482" customFormat="1" ht="15">
      <c r="A28" s="906">
        <v>45323</v>
      </c>
      <c r="B28" s="909">
        <f>'10+_UNIDADES_2024'!L11</f>
        <v>334</v>
      </c>
      <c r="C28" s="910">
        <f t="shared" ref="C28:C33" si="15">((B28-B27)/B27)*100</f>
        <v>-11.87335092348285</v>
      </c>
      <c r="E28" s="906">
        <v>45323</v>
      </c>
      <c r="F28" s="909">
        <f>'10+_UNIDADES_2024'!L12</f>
        <v>388</v>
      </c>
      <c r="G28" s="910">
        <f t="shared" ref="G28:G33" si="16">((F28-F27)/F27)*100</f>
        <v>9.6045197740112993</v>
      </c>
      <c r="I28" s="906">
        <v>45323</v>
      </c>
      <c r="J28" s="909">
        <f>'10+_UNIDADES_2024'!L13</f>
        <v>245</v>
      </c>
      <c r="K28" s="910">
        <f t="shared" ref="K28:K33" si="17">((J28-J27)/J27)*100</f>
        <v>-25.304878048780488</v>
      </c>
      <c r="M28" s="906">
        <v>45323</v>
      </c>
      <c r="N28" s="909">
        <f>'10+_UNIDADES_2024'!L14</f>
        <v>213</v>
      </c>
      <c r="O28" s="910">
        <f t="shared" ref="O28:O33" si="18">((N28-N27)/N27)*100</f>
        <v>18.333333333333332</v>
      </c>
    </row>
    <row r="29" spans="1:15" s="482" customFormat="1" ht="15">
      <c r="A29" s="906">
        <v>45352</v>
      </c>
      <c r="B29" s="909">
        <f>'10+_UNIDADES_2024'!K11</f>
        <v>360</v>
      </c>
      <c r="C29" s="910">
        <f t="shared" si="15"/>
        <v>7.7844311377245514</v>
      </c>
      <c r="E29" s="906">
        <v>45352</v>
      </c>
      <c r="F29" s="909">
        <f>'10+_UNIDADES_2024'!K12</f>
        <v>327</v>
      </c>
      <c r="G29" s="910">
        <f t="shared" si="16"/>
        <v>-15.721649484536082</v>
      </c>
      <c r="I29" s="906">
        <v>45352</v>
      </c>
      <c r="J29" s="909">
        <f>'10+_UNIDADES_2024'!K13</f>
        <v>249</v>
      </c>
      <c r="K29" s="910">
        <f t="shared" si="17"/>
        <v>1.6326530612244898</v>
      </c>
      <c r="M29" s="906">
        <v>45352</v>
      </c>
      <c r="N29" s="909">
        <f>'10+_UNIDADES_2024'!K14</f>
        <v>316</v>
      </c>
      <c r="O29" s="910">
        <f t="shared" si="18"/>
        <v>48.356807511737088</v>
      </c>
    </row>
    <row r="30" spans="1:15" s="482" customFormat="1" ht="15">
      <c r="A30" s="906">
        <v>45383</v>
      </c>
      <c r="B30" s="909">
        <f>'10+_UNIDADES_2024'!J$11</f>
        <v>351</v>
      </c>
      <c r="C30" s="910">
        <f t="shared" si="15"/>
        <v>-2.5</v>
      </c>
      <c r="E30" s="906">
        <v>45383</v>
      </c>
      <c r="F30" s="909">
        <f>'10+_UNIDADES_2024'!J$12</f>
        <v>350</v>
      </c>
      <c r="G30" s="910">
        <f t="shared" si="16"/>
        <v>7.0336391437308867</v>
      </c>
      <c r="I30" s="906">
        <v>45383</v>
      </c>
      <c r="J30" s="909">
        <f>'10+_UNIDADES_2024'!J$13</f>
        <v>304</v>
      </c>
      <c r="K30" s="910">
        <f t="shared" si="17"/>
        <v>22.08835341365462</v>
      </c>
      <c r="M30" s="906">
        <v>45383</v>
      </c>
      <c r="N30" s="909">
        <f>'10+_UNIDADES_2024'!J$14</f>
        <v>329</v>
      </c>
      <c r="O30" s="910">
        <f t="shared" si="18"/>
        <v>4.1139240506329111</v>
      </c>
    </row>
    <row r="31" spans="1:15" ht="15">
      <c r="A31" s="738">
        <v>45413</v>
      </c>
      <c r="B31" s="802">
        <f>'10+_UNIDADES_2024'!I$11</f>
        <v>0</v>
      </c>
      <c r="C31" s="803">
        <f t="shared" si="15"/>
        <v>-100</v>
      </c>
      <c r="E31" s="738">
        <v>45413</v>
      </c>
      <c r="F31" s="802">
        <f>'10+_UNIDADES_2024'!I$12</f>
        <v>0</v>
      </c>
      <c r="G31" s="803">
        <f t="shared" si="16"/>
        <v>-100</v>
      </c>
      <c r="I31" s="738">
        <v>45413</v>
      </c>
      <c r="J31" s="802">
        <f>'10+_UNIDADES_2024'!I$13</f>
        <v>0</v>
      </c>
      <c r="K31" s="803">
        <f t="shared" si="17"/>
        <v>-100</v>
      </c>
      <c r="M31" s="738">
        <v>45413</v>
      </c>
      <c r="N31" s="802">
        <f>'10+_UNIDADES_2024'!I$14</f>
        <v>0</v>
      </c>
      <c r="O31" s="803">
        <f t="shared" si="18"/>
        <v>-100</v>
      </c>
    </row>
    <row r="32" spans="1:15" ht="15">
      <c r="A32" s="738">
        <v>45444</v>
      </c>
      <c r="B32" s="802">
        <f>'10+_UNIDADES_2024'!H$11</f>
        <v>0</v>
      </c>
      <c r="C32" s="803" t="e">
        <f t="shared" si="15"/>
        <v>#DIV/0!</v>
      </c>
      <c r="E32" s="738">
        <v>45444</v>
      </c>
      <c r="F32" s="802">
        <f>'10+_UNIDADES_2024'!H$12</f>
        <v>0</v>
      </c>
      <c r="G32" s="803" t="e">
        <f t="shared" si="16"/>
        <v>#DIV/0!</v>
      </c>
      <c r="I32" s="738">
        <v>45444</v>
      </c>
      <c r="J32" s="802">
        <f>'10+_UNIDADES_2024'!H$13</f>
        <v>0</v>
      </c>
      <c r="K32" s="803" t="e">
        <f t="shared" si="17"/>
        <v>#DIV/0!</v>
      </c>
      <c r="M32" s="738">
        <v>45444</v>
      </c>
      <c r="N32" s="802">
        <f>'10+_UNIDADES_2024'!H$14</f>
        <v>0</v>
      </c>
      <c r="O32" s="803" t="e">
        <f t="shared" si="18"/>
        <v>#DIV/0!</v>
      </c>
    </row>
    <row r="33" spans="1:15" ht="15">
      <c r="A33" s="738">
        <v>45474</v>
      </c>
      <c r="B33" s="802">
        <f>'10+_UNIDADES_2024'!G$11</f>
        <v>0</v>
      </c>
      <c r="C33" s="803" t="e">
        <f t="shared" si="15"/>
        <v>#DIV/0!</v>
      </c>
      <c r="E33" s="738">
        <v>45474</v>
      </c>
      <c r="F33" s="802">
        <f>'10+_UNIDADES_2024'!G$12</f>
        <v>0</v>
      </c>
      <c r="G33" s="803" t="e">
        <f t="shared" si="16"/>
        <v>#DIV/0!</v>
      </c>
      <c r="I33" s="738">
        <v>45474</v>
      </c>
      <c r="J33" s="802">
        <f>'10+_UNIDADES_2024'!G$13</f>
        <v>0</v>
      </c>
      <c r="K33" s="803" t="e">
        <f t="shared" si="17"/>
        <v>#DIV/0!</v>
      </c>
      <c r="M33" s="738">
        <v>45474</v>
      </c>
      <c r="N33" s="802">
        <f>'10+_UNIDADES_2024'!G$14</f>
        <v>0</v>
      </c>
      <c r="O33" s="803" t="e">
        <f t="shared" si="18"/>
        <v>#DIV/0!</v>
      </c>
    </row>
    <row r="34" spans="1:15" ht="15">
      <c r="A34" s="738">
        <v>45505</v>
      </c>
      <c r="B34" s="802">
        <f>'10+_UNIDADES_2024'!F$11</f>
        <v>0</v>
      </c>
      <c r="C34" s="803" t="e">
        <f t="shared" ref="C34" si="19">((B34-B33)/B33)*100</f>
        <v>#DIV/0!</v>
      </c>
      <c r="E34" s="738">
        <v>45505</v>
      </c>
      <c r="F34" s="802">
        <f>'10+_UNIDADES_2024'!F$12</f>
        <v>0</v>
      </c>
      <c r="G34" s="803" t="e">
        <f t="shared" ref="G34" si="20">((F34-F33)/F33)*100</f>
        <v>#DIV/0!</v>
      </c>
      <c r="I34" s="738">
        <v>45505</v>
      </c>
      <c r="J34" s="802">
        <f>'10+_UNIDADES_2024'!F$13</f>
        <v>0</v>
      </c>
      <c r="K34" s="803" t="e">
        <f t="shared" ref="K34" si="21">((J34-J33)/J33)*100</f>
        <v>#DIV/0!</v>
      </c>
      <c r="M34" s="738">
        <v>45505</v>
      </c>
      <c r="N34" s="802">
        <f>'10+_UNIDADES_2024'!F$14</f>
        <v>0</v>
      </c>
      <c r="O34" s="803" t="e">
        <f t="shared" ref="O34" si="22">((N34-N33)/N33)*100</f>
        <v>#DIV/0!</v>
      </c>
    </row>
    <row r="35" spans="1:15" ht="15">
      <c r="A35" s="738">
        <v>45536</v>
      </c>
      <c r="B35" s="802">
        <f>'10+_UNIDADES_2024'!E$11</f>
        <v>0</v>
      </c>
      <c r="C35" s="803" t="e">
        <f t="shared" ref="C35:C37" si="23">((B35-B34)/B34)*100</f>
        <v>#DIV/0!</v>
      </c>
      <c r="E35" s="738">
        <v>45536</v>
      </c>
      <c r="F35" s="802">
        <f>'10+_UNIDADES_2024'!E$12</f>
        <v>0</v>
      </c>
      <c r="G35" s="803" t="e">
        <f t="shared" ref="G35:G38" si="24">((F35-F34)/F34)*100</f>
        <v>#DIV/0!</v>
      </c>
      <c r="I35" s="738">
        <v>45536</v>
      </c>
      <c r="J35" s="802">
        <f>'10+_UNIDADES_2024'!E$13</f>
        <v>0</v>
      </c>
      <c r="K35" s="803" t="e">
        <f t="shared" ref="K35:K37" si="25">((J35-J34)/J34)*100</f>
        <v>#DIV/0!</v>
      </c>
      <c r="M35" s="738">
        <v>45536</v>
      </c>
      <c r="N35" s="802">
        <f>'10+_UNIDADES_2024'!E$14</f>
        <v>0</v>
      </c>
      <c r="O35" s="803" t="e">
        <f t="shared" ref="O35:O37" si="26">((N35-N34)/N34)*100</f>
        <v>#DIV/0!</v>
      </c>
    </row>
    <row r="36" spans="1:15" ht="15">
      <c r="A36" s="738">
        <v>45566</v>
      </c>
      <c r="B36" s="802">
        <f>'10+_UNIDADES_2024'!D$11</f>
        <v>0</v>
      </c>
      <c r="C36" s="803" t="e">
        <f t="shared" si="23"/>
        <v>#DIV/0!</v>
      </c>
      <c r="E36" s="738">
        <v>45566</v>
      </c>
      <c r="F36" s="802">
        <f>'10+_UNIDADES_2024'!D$12</f>
        <v>0</v>
      </c>
      <c r="G36" s="803" t="e">
        <f t="shared" si="24"/>
        <v>#DIV/0!</v>
      </c>
      <c r="I36" s="738">
        <v>45566</v>
      </c>
      <c r="J36" s="802">
        <f>'10+_UNIDADES_2024'!D$13</f>
        <v>0</v>
      </c>
      <c r="K36" s="803" t="e">
        <f t="shared" si="25"/>
        <v>#DIV/0!</v>
      </c>
      <c r="M36" s="738">
        <v>45566</v>
      </c>
      <c r="N36" s="802">
        <f>'10+_UNIDADES_2024'!D$14</f>
        <v>0</v>
      </c>
      <c r="O36" s="803" t="e">
        <f t="shared" si="26"/>
        <v>#DIV/0!</v>
      </c>
    </row>
    <row r="37" spans="1:15" ht="15">
      <c r="A37" s="738">
        <v>45597</v>
      </c>
      <c r="B37" s="802">
        <f>'10+_UNIDADES_2024'!C$11</f>
        <v>0</v>
      </c>
      <c r="C37" s="803" t="e">
        <f t="shared" si="23"/>
        <v>#DIV/0!</v>
      </c>
      <c r="E37" s="738">
        <v>45597</v>
      </c>
      <c r="F37" s="802">
        <f>'10+_UNIDADES_2024'!C$12</f>
        <v>0</v>
      </c>
      <c r="G37" s="803" t="e">
        <f t="shared" si="24"/>
        <v>#DIV/0!</v>
      </c>
      <c r="I37" s="738">
        <v>45597</v>
      </c>
      <c r="J37" s="802">
        <f>'10+_UNIDADES_2024'!C$13</f>
        <v>0</v>
      </c>
      <c r="K37" s="803" t="e">
        <f t="shared" si="25"/>
        <v>#DIV/0!</v>
      </c>
      <c r="M37" s="738">
        <v>45597</v>
      </c>
      <c r="N37" s="802">
        <f>'10+_UNIDADES_2024'!C$14</f>
        <v>0</v>
      </c>
      <c r="O37" s="803" t="e">
        <f t="shared" si="26"/>
        <v>#DIV/0!</v>
      </c>
    </row>
    <row r="38" spans="1:15" ht="15.75" thickBot="1">
      <c r="A38" s="739">
        <v>45627</v>
      </c>
      <c r="B38" s="804">
        <f>'10+_UNIDADES_2024'!B$11</f>
        <v>0</v>
      </c>
      <c r="C38" s="805" t="e">
        <f t="shared" ref="C38" si="27">((B38-B37)/B37)*100</f>
        <v>#DIV/0!</v>
      </c>
      <c r="E38" s="739">
        <v>45627</v>
      </c>
      <c r="F38" s="804">
        <f>'10+_UNIDADES_2024'!B$12</f>
        <v>0</v>
      </c>
      <c r="G38" s="805" t="e">
        <f t="shared" si="24"/>
        <v>#DIV/0!</v>
      </c>
      <c r="I38" s="739">
        <v>45627</v>
      </c>
      <c r="J38" s="804">
        <f>'10+_UNIDADES_2024'!B$13</f>
        <v>0</v>
      </c>
      <c r="K38" s="805" t="e">
        <f t="shared" ref="K38" si="28">((J38-J37)/J37)*100</f>
        <v>#DIV/0!</v>
      </c>
      <c r="M38" s="739">
        <v>45627</v>
      </c>
      <c r="N38" s="804">
        <f>'10+_UNIDADES_2024'!B$14</f>
        <v>0</v>
      </c>
      <c r="O38" s="805" t="e">
        <f t="shared" ref="O38" si="29">((N38-N37)/N37)*100</f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059" t="str">
        <f>'10+_UNIDADES_2024'!A15</f>
        <v>Órgão externo</v>
      </c>
      <c r="B41" s="1060"/>
      <c r="C41" s="1061"/>
      <c r="E41" s="1059" t="str">
        <f>'10+_UNIDADES_2024'!A16</f>
        <v xml:space="preserve">Agência Reguladora de Serviços Públicos do Município de São Paulo** </v>
      </c>
      <c r="F41" s="1060"/>
      <c r="G41" s="1061"/>
    </row>
    <row r="42" spans="1:15" ht="15.75" thickBot="1">
      <c r="A42" s="755" t="s">
        <v>2</v>
      </c>
      <c r="B42" s="5" t="s">
        <v>210</v>
      </c>
      <c r="C42" s="747" t="s">
        <v>211</v>
      </c>
      <c r="E42" s="748" t="s">
        <v>2</v>
      </c>
      <c r="F42" s="5" t="s">
        <v>210</v>
      </c>
      <c r="G42" s="747" t="s">
        <v>211</v>
      </c>
    </row>
    <row r="43" spans="1:15" ht="15">
      <c r="A43" s="736">
        <v>45292</v>
      </c>
      <c r="B43" s="115">
        <f>'10+_UNIDADES_2024'!M15</f>
        <v>175</v>
      </c>
      <c r="C43" s="754">
        <f>((B43-159)/159)*100</f>
        <v>10.062893081761008</v>
      </c>
      <c r="E43" s="736">
        <v>45292</v>
      </c>
      <c r="F43" s="115">
        <f>'10+_UNIDADES_2024'!M16</f>
        <v>111</v>
      </c>
      <c r="G43" s="754">
        <f>((F43-59)/59)*100</f>
        <v>88.135593220338976</v>
      </c>
    </row>
    <row r="44" spans="1:15" s="482" customFormat="1" ht="15">
      <c r="A44" s="906">
        <v>45323</v>
      </c>
      <c r="B44" s="909">
        <f>'10+_UNIDADES_2024'!L15</f>
        <v>252</v>
      </c>
      <c r="C44" s="910">
        <f t="shared" ref="C44:C49" si="30">((B44-B43)/B43)*100</f>
        <v>44</v>
      </c>
      <c r="E44" s="906">
        <v>45323</v>
      </c>
      <c r="F44" s="909">
        <f>'10+_UNIDADES_2024'!L16</f>
        <v>116</v>
      </c>
      <c r="G44" s="910">
        <f t="shared" ref="G44:G49" si="31">((F44-F43)/F43)*100</f>
        <v>4.5045045045045047</v>
      </c>
    </row>
    <row r="45" spans="1:15" s="482" customFormat="1" ht="15">
      <c r="A45" s="906">
        <v>45352</v>
      </c>
      <c r="B45" s="909">
        <f>'10+_UNIDADES_2024'!K15</f>
        <v>147</v>
      </c>
      <c r="C45" s="910">
        <f t="shared" si="30"/>
        <v>-41.666666666666671</v>
      </c>
      <c r="E45" s="906">
        <v>45352</v>
      </c>
      <c r="F45" s="909">
        <f>'10+_UNIDADES_2024'!K16</f>
        <v>134</v>
      </c>
      <c r="G45" s="910">
        <f t="shared" si="31"/>
        <v>15.517241379310345</v>
      </c>
    </row>
    <row r="46" spans="1:15" s="482" customFormat="1" ht="15">
      <c r="A46" s="906">
        <v>45383</v>
      </c>
      <c r="B46" s="909">
        <f>'10+_UNIDADES_2024'!J$15</f>
        <v>314</v>
      </c>
      <c r="C46" s="910">
        <f t="shared" si="30"/>
        <v>113.60544217687074</v>
      </c>
      <c r="E46" s="906">
        <v>45383</v>
      </c>
      <c r="F46" s="909">
        <f>'10+_UNIDADES_2024'!J$16</f>
        <v>147</v>
      </c>
      <c r="G46" s="910">
        <f t="shared" si="31"/>
        <v>9.7014925373134329</v>
      </c>
    </row>
    <row r="47" spans="1:15" ht="15">
      <c r="A47" s="738">
        <v>45413</v>
      </c>
      <c r="B47" s="802">
        <f>'10+_UNIDADES_2024'!I$15</f>
        <v>0</v>
      </c>
      <c r="C47" s="803">
        <f t="shared" si="30"/>
        <v>-100</v>
      </c>
      <c r="E47" s="738">
        <v>45413</v>
      </c>
      <c r="F47" s="802">
        <f>'10+_UNIDADES_2024'!I$16</f>
        <v>0</v>
      </c>
      <c r="G47" s="803">
        <f t="shared" si="31"/>
        <v>-100</v>
      </c>
    </row>
    <row r="48" spans="1:15" ht="15">
      <c r="A48" s="738">
        <v>45444</v>
      </c>
      <c r="B48" s="802">
        <f>'10+_UNIDADES_2024'!H$15</f>
        <v>0</v>
      </c>
      <c r="C48" s="803" t="e">
        <f t="shared" si="30"/>
        <v>#DIV/0!</v>
      </c>
      <c r="E48" s="738">
        <v>45444</v>
      </c>
      <c r="F48" s="802">
        <f>'10+_UNIDADES_2024'!H$16</f>
        <v>0</v>
      </c>
      <c r="G48" s="803" t="e">
        <f t="shared" si="31"/>
        <v>#DIV/0!</v>
      </c>
    </row>
    <row r="49" spans="1:7" ht="15">
      <c r="A49" s="738">
        <v>45474</v>
      </c>
      <c r="B49" s="802">
        <f>'10+_UNIDADES_2024'!G$15</f>
        <v>0</v>
      </c>
      <c r="C49" s="803" t="e">
        <f t="shared" si="30"/>
        <v>#DIV/0!</v>
      </c>
      <c r="E49" s="738">
        <v>45474</v>
      </c>
      <c r="F49" s="802">
        <f>'10+_UNIDADES_2024'!G$16</f>
        <v>0</v>
      </c>
      <c r="G49" s="803" t="e">
        <f t="shared" si="31"/>
        <v>#DIV/0!</v>
      </c>
    </row>
    <row r="50" spans="1:7" ht="15">
      <c r="A50" s="738">
        <v>45505</v>
      </c>
      <c r="B50" s="802">
        <f>'10+_UNIDADES_2024'!F$15</f>
        <v>0</v>
      </c>
      <c r="C50" s="803" t="e">
        <f t="shared" ref="C50" si="32">((B50-B49)/B49)*100</f>
        <v>#DIV/0!</v>
      </c>
      <c r="E50" s="738">
        <v>45505</v>
      </c>
      <c r="F50" s="802">
        <f>'10+_UNIDADES_2024'!F$16</f>
        <v>0</v>
      </c>
      <c r="G50" s="803" t="e">
        <f t="shared" ref="G50" si="33">((F50-F49)/F49)*100</f>
        <v>#DIV/0!</v>
      </c>
    </row>
    <row r="51" spans="1:7" ht="15">
      <c r="A51" s="738">
        <v>45536</v>
      </c>
      <c r="B51" s="802">
        <f>'10+_UNIDADES_2024'!E$15</f>
        <v>0</v>
      </c>
      <c r="C51" s="803" t="e">
        <f t="shared" ref="C51:C53" si="34">((B51-B50)/B50)*100</f>
        <v>#DIV/0!</v>
      </c>
      <c r="E51" s="738">
        <v>45536</v>
      </c>
      <c r="F51" s="802">
        <f>'10+_UNIDADES_2024'!E$16</f>
        <v>0</v>
      </c>
      <c r="G51" s="803" t="e">
        <f t="shared" ref="G51:G53" si="35">((F51-F50)/F50)*100</f>
        <v>#DIV/0!</v>
      </c>
    </row>
    <row r="52" spans="1:7" ht="15">
      <c r="A52" s="738">
        <v>45566</v>
      </c>
      <c r="B52" s="802">
        <f>'10+_UNIDADES_2024'!D$15</f>
        <v>0</v>
      </c>
      <c r="C52" s="803" t="e">
        <f t="shared" si="34"/>
        <v>#DIV/0!</v>
      </c>
      <c r="E52" s="738">
        <v>45566</v>
      </c>
      <c r="F52" s="802">
        <f>'10+_UNIDADES_2024'!D$16</f>
        <v>0</v>
      </c>
      <c r="G52" s="803" t="e">
        <f t="shared" si="35"/>
        <v>#DIV/0!</v>
      </c>
    </row>
    <row r="53" spans="1:7" ht="15">
      <c r="A53" s="738">
        <v>45597</v>
      </c>
      <c r="B53" s="802">
        <f>'10+_UNIDADES_2024'!C$15</f>
        <v>0</v>
      </c>
      <c r="C53" s="803" t="e">
        <f t="shared" si="34"/>
        <v>#DIV/0!</v>
      </c>
      <c r="E53" s="738">
        <v>45597</v>
      </c>
      <c r="F53" s="802">
        <f>'10+_UNIDADES_2024'!C$16</f>
        <v>0</v>
      </c>
      <c r="G53" s="803" t="e">
        <f t="shared" si="35"/>
        <v>#DIV/0!</v>
      </c>
    </row>
    <row r="54" spans="1:7" ht="15.75" thickBot="1">
      <c r="A54" s="739">
        <v>45627</v>
      </c>
      <c r="B54" s="804">
        <f>'10+_UNIDADES_2024'!B$15</f>
        <v>0</v>
      </c>
      <c r="C54" s="805" t="e">
        <f t="shared" ref="C54" si="36">((B54-B53)/B53)*100</f>
        <v>#DIV/0!</v>
      </c>
      <c r="E54" s="739">
        <v>45627</v>
      </c>
      <c r="F54" s="804">
        <f>'10+_UNIDADES_2024'!B$16</f>
        <v>0</v>
      </c>
      <c r="G54" s="805" t="e">
        <f t="shared" ref="G54" si="37">((F54-F53)/F53)*100</f>
        <v>#DIV/0!</v>
      </c>
    </row>
    <row r="55" spans="1:7">
      <c r="B55" s="9"/>
      <c r="C55" s="9"/>
    </row>
    <row r="56" spans="1:7">
      <c r="B56" s="9"/>
      <c r="C56" s="9"/>
    </row>
    <row r="57" spans="1:7">
      <c r="B57" s="9"/>
      <c r="C57" s="9"/>
    </row>
    <row r="58" spans="1:7">
      <c r="B58" s="9"/>
      <c r="C58" s="9"/>
    </row>
    <row r="59" spans="1:7">
      <c r="B59" s="9"/>
      <c r="C59" s="9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R25"/>
  <sheetViews>
    <sheetView zoomScaleNormal="100" workbookViewId="0"/>
  </sheetViews>
  <sheetFormatPr defaultColWidth="5.5703125" defaultRowHeight="14.25"/>
  <cols>
    <col min="1" max="1" width="52.42578125" style="9" customWidth="1"/>
    <col min="2" max="2" width="7.7109375" style="107" bestFit="1" customWidth="1"/>
    <col min="3" max="4" width="7.5703125" style="107" bestFit="1" customWidth="1"/>
    <col min="5" max="5" width="7.5703125" style="107" customWidth="1"/>
    <col min="6" max="6" width="9.140625" style="107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91" t="s">
        <v>0</v>
      </c>
      <c r="B1" s="138"/>
      <c r="C1" s="138"/>
      <c r="D1" s="138"/>
      <c r="E1" s="138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500</v>
      </c>
      <c r="B4" s="6"/>
      <c r="C4" s="6"/>
      <c r="D4" s="6"/>
      <c r="E4" s="6"/>
    </row>
    <row r="6" spans="1:18" ht="15.75" thickBot="1">
      <c r="A6" s="171" t="s">
        <v>205</v>
      </c>
      <c r="B6" s="133">
        <v>45383</v>
      </c>
      <c r="C6" s="133">
        <v>45352</v>
      </c>
      <c r="D6" s="143">
        <v>45323</v>
      </c>
      <c r="E6" s="133" t="s">
        <v>5</v>
      </c>
      <c r="F6" s="169" t="s">
        <v>6</v>
      </c>
    </row>
    <row r="7" spans="1:18" ht="14.25" customHeight="1" thickBot="1">
      <c r="A7" s="519" t="s">
        <v>229</v>
      </c>
      <c r="B7" s="521">
        <v>1024</v>
      </c>
      <c r="C7" s="521">
        <v>976</v>
      </c>
      <c r="D7" s="521">
        <v>909</v>
      </c>
      <c r="E7" s="172">
        <f>SUM(B7:D7)</f>
        <v>2909</v>
      </c>
      <c r="F7" s="173">
        <f>AVERAGE(B7:D7)</f>
        <v>969.66666666666663</v>
      </c>
      <c r="R7" s="106"/>
    </row>
    <row r="8" spans="1:18" ht="15" customHeight="1" thickBot="1">
      <c r="A8" s="520" t="s">
        <v>228</v>
      </c>
      <c r="B8" s="27">
        <v>622</v>
      </c>
      <c r="C8" s="27">
        <v>635</v>
      </c>
      <c r="D8" s="37">
        <v>584</v>
      </c>
      <c r="E8" s="32">
        <f t="shared" ref="E8:E16" si="0">SUM(B8:D8)</f>
        <v>1841</v>
      </c>
      <c r="F8" s="146">
        <f t="shared" ref="F8:F17" si="1">AVERAGE(B8:D8)</f>
        <v>613.66666666666663</v>
      </c>
      <c r="R8" s="106"/>
    </row>
    <row r="9" spans="1:18" ht="15.75" thickBot="1">
      <c r="A9" s="520" t="s">
        <v>227</v>
      </c>
      <c r="B9" s="37">
        <v>608</v>
      </c>
      <c r="C9" s="37">
        <v>519</v>
      </c>
      <c r="D9" s="37">
        <v>424</v>
      </c>
      <c r="E9" s="32">
        <f t="shared" si="0"/>
        <v>1551</v>
      </c>
      <c r="F9" s="146">
        <f t="shared" si="1"/>
        <v>517</v>
      </c>
      <c r="R9" s="106"/>
    </row>
    <row r="10" spans="1:18" ht="15.75" thickBot="1">
      <c r="A10" s="520" t="s">
        <v>233</v>
      </c>
      <c r="B10" s="37">
        <v>306</v>
      </c>
      <c r="C10" s="37">
        <v>436</v>
      </c>
      <c r="D10" s="37">
        <v>465</v>
      </c>
      <c r="E10" s="32">
        <f t="shared" si="0"/>
        <v>1207</v>
      </c>
      <c r="F10" s="146">
        <f t="shared" si="1"/>
        <v>402.33333333333331</v>
      </c>
      <c r="R10" s="106"/>
    </row>
    <row r="11" spans="1:18" ht="15.75" thickBot="1">
      <c r="A11" s="520" t="s">
        <v>225</v>
      </c>
      <c r="B11" s="37">
        <v>350</v>
      </c>
      <c r="C11" s="37">
        <v>327</v>
      </c>
      <c r="D11" s="37">
        <v>388</v>
      </c>
      <c r="E11" s="32">
        <f t="shared" si="0"/>
        <v>1065</v>
      </c>
      <c r="F11" s="146">
        <f t="shared" si="1"/>
        <v>355</v>
      </c>
      <c r="R11" s="106"/>
    </row>
    <row r="12" spans="1:18" ht="15" customHeight="1" thickBot="1">
      <c r="A12" s="520" t="s">
        <v>224</v>
      </c>
      <c r="B12" s="37">
        <v>351</v>
      </c>
      <c r="C12" s="37">
        <v>360</v>
      </c>
      <c r="D12" s="37">
        <v>334</v>
      </c>
      <c r="E12" s="32">
        <f t="shared" si="0"/>
        <v>1045</v>
      </c>
      <c r="F12" s="146">
        <f t="shared" si="1"/>
        <v>348.33333333333331</v>
      </c>
      <c r="R12" s="106"/>
    </row>
    <row r="13" spans="1:18" ht="15.75" thickBot="1">
      <c r="A13" s="520" t="s">
        <v>220</v>
      </c>
      <c r="B13" s="37">
        <v>329</v>
      </c>
      <c r="C13" s="37">
        <v>316</v>
      </c>
      <c r="D13" s="37">
        <v>213</v>
      </c>
      <c r="E13" s="32">
        <f t="shared" si="0"/>
        <v>858</v>
      </c>
      <c r="F13" s="146">
        <f t="shared" si="1"/>
        <v>286</v>
      </c>
      <c r="R13" s="106"/>
    </row>
    <row r="14" spans="1:18" ht="15.75" thickBot="1">
      <c r="A14" s="520" t="s">
        <v>214</v>
      </c>
      <c r="B14" s="37">
        <v>304</v>
      </c>
      <c r="C14" s="37">
        <v>249</v>
      </c>
      <c r="D14" s="37">
        <v>245</v>
      </c>
      <c r="E14" s="32">
        <f t="shared" si="0"/>
        <v>798</v>
      </c>
      <c r="F14" s="146">
        <f t="shared" si="1"/>
        <v>266</v>
      </c>
      <c r="R14" s="106"/>
    </row>
    <row r="15" spans="1:18" ht="15.75" thickBot="1">
      <c r="A15" s="520" t="s">
        <v>144</v>
      </c>
      <c r="B15" s="37">
        <v>314</v>
      </c>
      <c r="C15" s="37">
        <v>147</v>
      </c>
      <c r="D15" s="37">
        <v>252</v>
      </c>
      <c r="E15" s="32">
        <f t="shared" si="0"/>
        <v>713</v>
      </c>
      <c r="F15" s="146">
        <f t="shared" si="1"/>
        <v>237.66666666666666</v>
      </c>
      <c r="R15" s="106"/>
    </row>
    <row r="16" spans="1:18" ht="15.75" thickBot="1">
      <c r="A16" s="520" t="s">
        <v>212</v>
      </c>
      <c r="B16" s="37">
        <v>147</v>
      </c>
      <c r="C16" s="37">
        <v>134</v>
      </c>
      <c r="D16" s="37">
        <v>116</v>
      </c>
      <c r="E16" s="174">
        <f t="shared" si="0"/>
        <v>397</v>
      </c>
      <c r="F16" s="175">
        <f t="shared" si="1"/>
        <v>132.33333333333334</v>
      </c>
      <c r="R16" s="106"/>
    </row>
    <row r="17" spans="1:7" ht="15.75" customHeight="1" thickBot="1">
      <c r="A17" s="102" t="s">
        <v>5</v>
      </c>
      <c r="B17" s="53">
        <f>SUM(B7:B16)</f>
        <v>4355</v>
      </c>
      <c r="C17" s="171">
        <f>SUM(C7:C16)</f>
        <v>4099</v>
      </c>
      <c r="D17" s="54">
        <f>SUM(D7:D16)</f>
        <v>3930</v>
      </c>
      <c r="E17" s="160">
        <f>SUM(E7:E16)</f>
        <v>12384</v>
      </c>
      <c r="F17" s="176">
        <f t="shared" si="1"/>
        <v>4128</v>
      </c>
    </row>
    <row r="18" spans="1:7" ht="15">
      <c r="A18" s="177"/>
      <c r="B18" s="6"/>
      <c r="C18" s="6"/>
      <c r="D18" s="6"/>
      <c r="E18" s="6"/>
    </row>
    <row r="19" spans="1:7" ht="57" customHeight="1">
      <c r="A19" s="103"/>
      <c r="B19" s="178"/>
      <c r="C19" s="178"/>
      <c r="D19" s="178"/>
      <c r="E19" s="178"/>
      <c r="F19" s="1046"/>
      <c r="G19" s="1046"/>
    </row>
    <row r="20" spans="1:7">
      <c r="A20" s="104"/>
      <c r="B20" s="179"/>
      <c r="C20" s="179"/>
      <c r="D20" s="179"/>
      <c r="E20" s="179"/>
    </row>
    <row r="21" spans="1:7" ht="82.5" customHeight="1">
      <c r="A21" s="103"/>
      <c r="B21" s="178"/>
      <c r="C21" s="178"/>
      <c r="D21" s="178"/>
      <c r="E21" s="178"/>
      <c r="F21" s="1046"/>
      <c r="G21" s="1046"/>
    </row>
    <row r="22" spans="1:7">
      <c r="A22" s="103"/>
      <c r="B22" s="178"/>
      <c r="C22" s="178"/>
      <c r="D22" s="178"/>
      <c r="E22" s="178"/>
    </row>
    <row r="23" spans="1:7" ht="66.75" customHeight="1">
      <c r="A23" s="103"/>
      <c r="B23" s="178"/>
      <c r="C23" s="178"/>
      <c r="D23" s="178"/>
      <c r="E23" s="178"/>
      <c r="F23" s="1046"/>
      <c r="G23" s="1046"/>
    </row>
    <row r="24" spans="1:7">
      <c r="A24" s="104"/>
      <c r="B24" s="179"/>
      <c r="C24" s="179"/>
      <c r="D24" s="179"/>
      <c r="E24" s="179"/>
    </row>
    <row r="25" spans="1:7">
      <c r="A25" s="103"/>
      <c r="B25" s="178"/>
      <c r="C25" s="178"/>
      <c r="D25" s="178"/>
      <c r="E25" s="178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Normal="100" workbookViewId="0"/>
  </sheetViews>
  <sheetFormatPr defaultColWidth="5.5703125" defaultRowHeight="14.25"/>
  <cols>
    <col min="1" max="1" width="58.28515625" style="9" customWidth="1"/>
    <col min="2" max="2" width="8.140625" style="107" customWidth="1"/>
    <col min="3" max="16" width="9.140625" style="9" customWidth="1"/>
    <col min="17" max="21" width="9.140625" style="94" customWidth="1"/>
    <col min="22" max="22" width="12" style="94" customWidth="1"/>
    <col min="23" max="23" width="9.140625" style="94" customWidth="1"/>
    <col min="24" max="24" width="12.85546875" style="94" customWidth="1"/>
    <col min="25" max="25" width="20.28515625" style="94" bestFit="1" customWidth="1"/>
    <col min="26" max="26" width="24.28515625" style="94" hidden="1" customWidth="1"/>
    <col min="27" max="27" width="9.140625" style="94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91" t="s">
        <v>0</v>
      </c>
    </row>
    <row r="2" spans="1:15" ht="15">
      <c r="A2" s="1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5">
      <c r="A3" s="1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5">
      <c r="A4" s="1" t="s">
        <v>516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15" thickBot="1"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ht="15.75" thickBot="1">
      <c r="A6" s="671" t="s">
        <v>205</v>
      </c>
      <c r="B6" s="55">
        <v>45383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>
      <c r="A7" s="678" t="s">
        <v>229</v>
      </c>
      <c r="B7" s="673">
        <v>1024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>
      <c r="A8" s="672" t="s">
        <v>228</v>
      </c>
      <c r="B8" s="679">
        <v>622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5" ht="15" customHeight="1">
      <c r="A9" s="672" t="s">
        <v>227</v>
      </c>
      <c r="B9" s="674">
        <v>608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>
      <c r="A10" s="672" t="s">
        <v>224</v>
      </c>
      <c r="B10" s="674">
        <v>351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>
      <c r="A11" s="672" t="s">
        <v>225</v>
      </c>
      <c r="B11" s="674">
        <v>350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>
      <c r="A12" s="672" t="s">
        <v>220</v>
      </c>
      <c r="B12" s="674">
        <v>329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</row>
    <row r="13" spans="1:15" ht="15" customHeight="1">
      <c r="A13" s="672" t="s">
        <v>144</v>
      </c>
      <c r="B13" s="674">
        <v>314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</row>
    <row r="14" spans="1:15">
      <c r="A14" s="672" t="s">
        <v>233</v>
      </c>
      <c r="B14" s="674">
        <v>306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</row>
    <row r="15" spans="1:15">
      <c r="A15" s="672" t="s">
        <v>214</v>
      </c>
      <c r="B15" s="674">
        <v>304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15" ht="15" thickBot="1">
      <c r="A16" s="676" t="s">
        <v>212</v>
      </c>
      <c r="B16" s="675">
        <v>147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31" ht="15.75" thickBot="1">
      <c r="A17" s="677" t="s">
        <v>5</v>
      </c>
      <c r="B17" s="611">
        <f>SUM(B7:B16)</f>
        <v>4355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31" s="489" customFormat="1" ht="15">
      <c r="A18" s="522"/>
      <c r="B18" s="523"/>
    </row>
    <row r="19" spans="1:31" s="489" customFormat="1">
      <c r="A19" s="494" t="s">
        <v>278</v>
      </c>
      <c r="B19" s="512"/>
      <c r="O19" s="482"/>
    </row>
    <row r="20" spans="1:31" s="489" customFormat="1" ht="15.75" customHeight="1">
      <c r="A20" s="499"/>
      <c r="B20" s="925"/>
      <c r="O20" s="482"/>
    </row>
    <row r="21" spans="1:31" s="489" customFormat="1">
      <c r="A21" s="494"/>
      <c r="B21" s="512"/>
      <c r="O21" s="482"/>
    </row>
    <row r="22" spans="1:31" s="489" customFormat="1" ht="15" customHeight="1">
      <c r="A22" s="493"/>
      <c r="B22" s="489" t="str">
        <f>A7</f>
        <v>Secretaria Municipal de Assistência e Desenvolvimento Social</v>
      </c>
      <c r="C22" s="489" t="str">
        <f>A8</f>
        <v>Secretaria Municipal das Subprefeituras</v>
      </c>
      <c r="D22" s="489" t="str">
        <f>A9</f>
        <v>Secretaria Municipal da Saúde</v>
      </c>
      <c r="E22" s="489" t="str">
        <f>A10</f>
        <v>Secretaria Executiva de Limpeza Urbana**</v>
      </c>
      <c r="F22" s="489" t="str">
        <f>A11</f>
        <v>Secretaria Municipal da Fazenda</v>
      </c>
      <c r="G22" s="489" t="str">
        <f>A12</f>
        <v>São Paulo Transportes - SPTRANS</v>
      </c>
      <c r="H22" s="489" t="str">
        <f>A13</f>
        <v>Órgão externo</v>
      </c>
      <c r="I22" s="489" t="str">
        <f>A14</f>
        <v>Secretaria Municipal de Educação</v>
      </c>
      <c r="J22" s="489" t="str">
        <f>A15</f>
        <v>Companhia de Engenharia de Tráfego - CET</v>
      </c>
      <c r="K22" s="489" t="str">
        <f>A16</f>
        <v xml:space="preserve">Agência Reguladora de Serviços Públicos do Município de São Paulo** </v>
      </c>
      <c r="L22" s="489" t="s">
        <v>5</v>
      </c>
      <c r="O22" s="482"/>
    </row>
    <row r="23" spans="1:31" s="489" customFormat="1">
      <c r="A23" s="494"/>
      <c r="B23" s="489">
        <f>B7</f>
        <v>1024</v>
      </c>
      <c r="C23" s="489">
        <f>B8</f>
        <v>622</v>
      </c>
      <c r="D23" s="489">
        <f>B9</f>
        <v>608</v>
      </c>
      <c r="E23" s="489">
        <f>B10</f>
        <v>351</v>
      </c>
      <c r="F23" s="489">
        <f>B11</f>
        <v>350</v>
      </c>
      <c r="G23" s="489">
        <f>B12</f>
        <v>329</v>
      </c>
      <c r="H23" s="489">
        <f>B13</f>
        <v>314</v>
      </c>
      <c r="I23" s="489">
        <f>B14</f>
        <v>306</v>
      </c>
      <c r="J23" s="489">
        <f>B15</f>
        <v>304</v>
      </c>
      <c r="K23" s="489">
        <f>B16</f>
        <v>147</v>
      </c>
      <c r="L23" s="495"/>
      <c r="O23" s="482"/>
      <c r="S23" s="496"/>
      <c r="T23" s="497"/>
      <c r="U23" s="497"/>
      <c r="V23" s="497"/>
      <c r="W23" s="497"/>
      <c r="X23" s="497"/>
      <c r="Y23" s="497"/>
      <c r="Z23" s="490"/>
      <c r="AA23" s="497"/>
      <c r="AB23" s="497"/>
      <c r="AC23" s="497"/>
      <c r="AD23" s="497"/>
      <c r="AE23" s="498"/>
    </row>
    <row r="24" spans="1:31" s="489" customFormat="1" ht="16.5" customHeight="1">
      <c r="A24" s="499"/>
      <c r="L24" s="495"/>
      <c r="O24" s="482"/>
      <c r="S24" s="496"/>
      <c r="T24" s="497"/>
      <c r="U24" s="497"/>
      <c r="V24" s="497"/>
      <c r="W24" s="497"/>
      <c r="X24" s="497"/>
      <c r="Y24" s="497"/>
      <c r="Z24" s="490"/>
      <c r="AA24" s="497"/>
      <c r="AB24" s="497"/>
      <c r="AC24" s="497"/>
      <c r="AD24" s="497"/>
      <c r="AE24" s="498"/>
    </row>
    <row r="25" spans="1:31" s="489" customFormat="1">
      <c r="A25" s="494"/>
      <c r="K25" s="489">
        <v>250</v>
      </c>
      <c r="L25" s="495">
        <f>UNIDADES!J71</f>
        <v>6191</v>
      </c>
      <c r="O25" s="482"/>
      <c r="S25" s="496"/>
      <c r="T25" s="497"/>
      <c r="U25" s="497"/>
      <c r="V25" s="497"/>
      <c r="W25" s="497"/>
      <c r="X25" s="497"/>
      <c r="Y25" s="497"/>
      <c r="Z25" s="490"/>
      <c r="AA25" s="497"/>
      <c r="AB25" s="497"/>
      <c r="AC25" s="497"/>
      <c r="AD25" s="497"/>
      <c r="AE25" s="498"/>
    </row>
    <row r="26" spans="1:31" s="489" customFormat="1" ht="15">
      <c r="A26" s="482"/>
      <c r="B26" s="486"/>
      <c r="C26" s="482"/>
      <c r="D26" s="482"/>
      <c r="E26" s="482"/>
      <c r="F26" s="482"/>
      <c r="G26" s="482"/>
      <c r="H26" s="564"/>
      <c r="I26" s="482"/>
      <c r="J26" s="482"/>
      <c r="K26" s="482"/>
      <c r="L26" s="482"/>
      <c r="M26" s="482"/>
      <c r="N26" s="482"/>
      <c r="O26" s="482"/>
      <c r="S26" s="496"/>
      <c r="T26" s="497"/>
      <c r="U26" s="497"/>
      <c r="V26" s="497"/>
      <c r="W26" s="497"/>
      <c r="X26" s="497"/>
      <c r="Y26" s="497"/>
      <c r="Z26" s="490"/>
      <c r="AA26" s="497"/>
      <c r="AB26" s="497"/>
      <c r="AC26" s="497"/>
      <c r="AD26" s="497"/>
      <c r="AE26" s="498"/>
    </row>
    <row r="27" spans="1:31" s="489" customFormat="1">
      <c r="A27" s="482"/>
      <c r="B27" s="486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S27" s="496"/>
      <c r="T27" s="497"/>
      <c r="U27" s="497"/>
      <c r="V27" s="497"/>
      <c r="W27" s="497"/>
      <c r="X27" s="497"/>
      <c r="Y27" s="497"/>
      <c r="Z27" s="490"/>
      <c r="AA27" s="497"/>
      <c r="AB27" s="497"/>
      <c r="AC27" s="497"/>
      <c r="AD27" s="497"/>
      <c r="AE27" s="498"/>
    </row>
    <row r="28" spans="1:31" s="482" customFormat="1">
      <c r="B28" s="486"/>
      <c r="S28" s="485"/>
      <c r="T28" s="486"/>
      <c r="U28" s="486"/>
      <c r="V28" s="486"/>
      <c r="W28" s="486"/>
      <c r="X28" s="486"/>
      <c r="Y28" s="486"/>
      <c r="Z28" s="483"/>
      <c r="AA28" s="486"/>
      <c r="AB28" s="486"/>
      <c r="AC28" s="486"/>
      <c r="AD28" s="486"/>
      <c r="AE28" s="487"/>
    </row>
    <row r="29" spans="1:31" s="482" customFormat="1">
      <c r="B29" s="486"/>
      <c r="S29" s="485"/>
      <c r="T29" s="486"/>
      <c r="U29" s="486"/>
      <c r="V29" s="486"/>
      <c r="W29" s="486"/>
      <c r="X29" s="486"/>
      <c r="Y29" s="486"/>
      <c r="Z29" s="483"/>
      <c r="AA29" s="486"/>
      <c r="AB29" s="486"/>
      <c r="AC29" s="486"/>
      <c r="AD29" s="486"/>
      <c r="AE29" s="487"/>
    </row>
    <row r="30" spans="1:31" s="482" customFormat="1">
      <c r="B30" s="486"/>
      <c r="S30" s="485"/>
      <c r="T30" s="486"/>
      <c r="U30" s="486"/>
      <c r="V30" s="486"/>
      <c r="W30" s="486"/>
      <c r="X30" s="486"/>
      <c r="Y30" s="486"/>
      <c r="Z30" s="483"/>
      <c r="AA30" s="486"/>
      <c r="AB30" s="486"/>
      <c r="AC30" s="486"/>
      <c r="AD30" s="486"/>
      <c r="AE30" s="487"/>
    </row>
    <row r="31" spans="1:31" s="482" customFormat="1">
      <c r="B31" s="486"/>
      <c r="S31" s="485"/>
      <c r="T31" s="486"/>
      <c r="U31" s="486"/>
      <c r="V31" s="486"/>
      <c r="W31" s="486"/>
      <c r="X31" s="486"/>
      <c r="Y31" s="486"/>
      <c r="Z31" s="483"/>
      <c r="AA31" s="486"/>
      <c r="AB31" s="486"/>
      <c r="AC31" s="486"/>
      <c r="AD31" s="486"/>
      <c r="AE31" s="487"/>
    </row>
    <row r="32" spans="1:31" s="482" customFormat="1">
      <c r="B32" s="486"/>
      <c r="S32" s="485"/>
      <c r="T32" s="486"/>
      <c r="U32" s="486"/>
      <c r="V32" s="486"/>
      <c r="W32" s="486"/>
      <c r="X32" s="486"/>
      <c r="Y32" s="486"/>
      <c r="Z32" s="483"/>
      <c r="AA32" s="486"/>
      <c r="AB32" s="486"/>
      <c r="AC32" s="486"/>
      <c r="AD32" s="486"/>
      <c r="AE32" s="487"/>
    </row>
    <row r="33" spans="1:28" s="482" customFormat="1">
      <c r="B33" s="486"/>
    </row>
    <row r="34" spans="1:28" s="482" customFormat="1">
      <c r="B34" s="486"/>
    </row>
    <row r="35" spans="1:28">
      <c r="A35" s="94"/>
      <c r="B35" s="185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U35" s="9"/>
      <c r="V35" s="9"/>
      <c r="W35" s="9"/>
      <c r="X35" s="9"/>
      <c r="Y35" s="9"/>
      <c r="Z35" s="9"/>
      <c r="AA35" s="9"/>
      <c r="AB35" s="94"/>
    </row>
    <row r="36" spans="1:28">
      <c r="A36" s="94"/>
      <c r="B36" s="185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U36" s="9"/>
      <c r="V36" s="9"/>
      <c r="W36" s="9"/>
      <c r="X36" s="9"/>
      <c r="Y36" s="9"/>
      <c r="Z36" s="9"/>
      <c r="AA36" s="9"/>
      <c r="AB36" s="94"/>
    </row>
    <row r="37" spans="1:28">
      <c r="A37" s="94"/>
      <c r="B37" s="185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U37" s="9"/>
      <c r="V37" s="9"/>
      <c r="W37" s="9"/>
      <c r="X37" s="9"/>
      <c r="Y37" s="9"/>
      <c r="Z37" s="9"/>
      <c r="AA37" s="9"/>
      <c r="AB37" s="94"/>
    </row>
    <row r="38" spans="1:28">
      <c r="A38" s="94"/>
      <c r="B38" s="185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U38" s="9"/>
      <c r="V38" s="9"/>
      <c r="W38" s="9"/>
      <c r="X38" s="9"/>
      <c r="Y38" s="9"/>
      <c r="Z38" s="9"/>
      <c r="AA38" s="9"/>
      <c r="AB38" s="94"/>
    </row>
    <row r="39" spans="1:28">
      <c r="A39" s="94"/>
      <c r="B39" s="185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U39" s="9"/>
      <c r="V39" s="9"/>
      <c r="W39" s="9"/>
      <c r="X39" s="9"/>
      <c r="Y39" s="9"/>
      <c r="Z39" s="9"/>
      <c r="AA39" s="9"/>
      <c r="AB39" s="94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/>
  </sheetViews>
  <sheetFormatPr defaultRowHeight="15"/>
  <cols>
    <col min="1" max="1" width="24.85546875" style="187" customWidth="1"/>
    <col min="2" max="3" width="6.85546875" bestFit="1" customWidth="1"/>
    <col min="4" max="4" width="6.42578125" bestFit="1" customWidth="1"/>
    <col min="5" max="5" width="6.5703125" style="71" customWidth="1"/>
    <col min="6" max="6" width="7" style="90" bestFit="1" customWidth="1"/>
    <col min="7" max="7" width="5.85546875" style="90" bestFit="1" customWidth="1"/>
    <col min="8" max="8" width="6.42578125" style="90" bestFit="1" customWidth="1"/>
    <col min="9" max="9" width="7" style="90" bestFit="1" customWidth="1"/>
    <col min="10" max="10" width="6.5703125" style="126" bestFit="1" customWidth="1"/>
    <col min="11" max="11" width="7.140625" style="90" bestFit="1" customWidth="1"/>
    <col min="12" max="12" width="6.28515625" style="90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86" t="s">
        <v>0</v>
      </c>
      <c r="B1" s="91"/>
      <c r="C1" s="91"/>
      <c r="D1" s="91"/>
      <c r="E1" s="92"/>
      <c r="F1" s="138"/>
      <c r="G1" s="138"/>
    </row>
    <row r="2" spans="1:16">
      <c r="A2" s="139" t="s">
        <v>1</v>
      </c>
      <c r="B2" s="1"/>
      <c r="C2" s="1"/>
      <c r="D2" s="1"/>
      <c r="E2" s="70"/>
      <c r="F2" s="6"/>
      <c r="G2" s="6"/>
    </row>
    <row r="3" spans="1:16" ht="15.75" thickBot="1"/>
    <row r="4" spans="1:16" ht="39.75" thickBot="1">
      <c r="A4" s="51" t="s">
        <v>483</v>
      </c>
      <c r="B4" s="188">
        <v>45627</v>
      </c>
      <c r="C4" s="189">
        <v>45597</v>
      </c>
      <c r="D4" s="190">
        <v>45566</v>
      </c>
      <c r="E4" s="188">
        <v>45536</v>
      </c>
      <c r="F4" s="189">
        <v>45505</v>
      </c>
      <c r="G4" s="190">
        <v>45474</v>
      </c>
      <c r="H4" s="188">
        <v>45444</v>
      </c>
      <c r="I4" s="188">
        <v>45413</v>
      </c>
      <c r="J4" s="188">
        <v>45383</v>
      </c>
      <c r="K4" s="188">
        <v>45352</v>
      </c>
      <c r="L4" s="188">
        <v>45323</v>
      </c>
      <c r="M4" s="189">
        <v>45292</v>
      </c>
      <c r="N4" s="78" t="s">
        <v>5</v>
      </c>
      <c r="O4" s="78" t="s">
        <v>6</v>
      </c>
      <c r="P4" s="191" t="s">
        <v>279</v>
      </c>
    </row>
    <row r="5" spans="1:16">
      <c r="A5" s="144" t="s">
        <v>280</v>
      </c>
      <c r="B5" s="27"/>
      <c r="C5" s="27"/>
      <c r="D5" s="27"/>
      <c r="E5" s="27"/>
      <c r="F5" s="27"/>
      <c r="G5" s="27"/>
      <c r="H5" s="27"/>
      <c r="I5" s="27"/>
      <c r="J5" s="27">
        <v>47</v>
      </c>
      <c r="K5" s="37">
        <v>21</v>
      </c>
      <c r="L5" s="27">
        <v>22</v>
      </c>
      <c r="M5" s="192">
        <v>22</v>
      </c>
      <c r="N5" s="193">
        <f t="shared" ref="N5:N36" si="0">SUM(B5:M5)</f>
        <v>112</v>
      </c>
      <c r="O5" s="194">
        <f t="shared" ref="O5:O37" si="1">AVERAGE(B5:M5)</f>
        <v>28</v>
      </c>
      <c r="P5" s="195">
        <f>N5/$N$37*100</f>
        <v>2.2658304673275338</v>
      </c>
    </row>
    <row r="6" spans="1:16">
      <c r="A6" s="149" t="s">
        <v>281</v>
      </c>
      <c r="B6" s="37"/>
      <c r="C6" s="37"/>
      <c r="D6" s="37"/>
      <c r="E6" s="37"/>
      <c r="F6" s="37"/>
      <c r="G6" s="37"/>
      <c r="H6" s="37"/>
      <c r="I6" s="37"/>
      <c r="J6" s="37">
        <v>55</v>
      </c>
      <c r="K6" s="37">
        <v>66</v>
      </c>
      <c r="L6" s="37">
        <v>48</v>
      </c>
      <c r="M6" s="35">
        <v>48</v>
      </c>
      <c r="N6" s="196">
        <f t="shared" si="0"/>
        <v>217</v>
      </c>
      <c r="O6" s="197">
        <f t="shared" si="1"/>
        <v>54.25</v>
      </c>
      <c r="P6" s="198">
        <f t="shared" ref="P6:P36" si="2">N6/$N$37*100</f>
        <v>4.3900465304470968</v>
      </c>
    </row>
    <row r="7" spans="1:16">
      <c r="A7" s="149" t="s">
        <v>282</v>
      </c>
      <c r="B7" s="37"/>
      <c r="C7" s="37"/>
      <c r="D7" s="37"/>
      <c r="E7" s="37"/>
      <c r="F7" s="37"/>
      <c r="G7" s="37"/>
      <c r="H7" s="37"/>
      <c r="I7" s="37"/>
      <c r="J7" s="37">
        <v>58</v>
      </c>
      <c r="K7" s="37">
        <v>33</v>
      </c>
      <c r="L7" s="37">
        <v>33</v>
      </c>
      <c r="M7" s="35">
        <v>34</v>
      </c>
      <c r="N7" s="196">
        <f t="shared" si="0"/>
        <v>158</v>
      </c>
      <c r="O7" s="197">
        <f t="shared" si="1"/>
        <v>39.5</v>
      </c>
      <c r="P7" s="198">
        <f t="shared" si="2"/>
        <v>3.1964394092656279</v>
      </c>
    </row>
    <row r="8" spans="1:16">
      <c r="A8" s="149" t="s">
        <v>283</v>
      </c>
      <c r="B8" s="37"/>
      <c r="C8" s="37"/>
      <c r="D8" s="37"/>
      <c r="E8" s="37"/>
      <c r="F8" s="37"/>
      <c r="G8" s="37"/>
      <c r="H8" s="37"/>
      <c r="I8" s="37"/>
      <c r="J8" s="37">
        <v>42</v>
      </c>
      <c r="K8" s="37">
        <v>47</v>
      </c>
      <c r="L8" s="37">
        <v>51</v>
      </c>
      <c r="M8" s="35">
        <v>29</v>
      </c>
      <c r="N8" s="196">
        <f t="shared" si="0"/>
        <v>169</v>
      </c>
      <c r="O8" s="197">
        <f t="shared" si="1"/>
        <v>42.25</v>
      </c>
      <c r="P8" s="198">
        <f t="shared" si="2"/>
        <v>3.4189763301638685</v>
      </c>
    </row>
    <row r="9" spans="1:16">
      <c r="A9" s="149" t="s">
        <v>284</v>
      </c>
      <c r="B9" s="37"/>
      <c r="C9" s="37"/>
      <c r="D9" s="37"/>
      <c r="E9" s="37"/>
      <c r="F9" s="37"/>
      <c r="G9" s="37"/>
      <c r="H9" s="37"/>
      <c r="I9" s="37"/>
      <c r="J9" s="37">
        <v>35</v>
      </c>
      <c r="K9" s="37">
        <v>28</v>
      </c>
      <c r="L9" s="37">
        <v>38</v>
      </c>
      <c r="M9" s="35">
        <v>43</v>
      </c>
      <c r="N9" s="196">
        <f t="shared" si="0"/>
        <v>144</v>
      </c>
      <c r="O9" s="197">
        <f t="shared" si="1"/>
        <v>36</v>
      </c>
      <c r="P9" s="198">
        <f t="shared" si="2"/>
        <v>2.9132106008496863</v>
      </c>
    </row>
    <row r="10" spans="1:16">
      <c r="A10" s="149" t="s">
        <v>285</v>
      </c>
      <c r="B10" s="37"/>
      <c r="C10" s="37"/>
      <c r="D10" s="37"/>
      <c r="E10" s="37"/>
      <c r="F10" s="37"/>
      <c r="G10" s="37"/>
      <c r="H10" s="37"/>
      <c r="I10" s="37"/>
      <c r="J10" s="37">
        <v>29</v>
      </c>
      <c r="K10" s="37">
        <v>27</v>
      </c>
      <c r="L10" s="37">
        <v>24</v>
      </c>
      <c r="M10" s="35">
        <v>35</v>
      </c>
      <c r="N10" s="196">
        <f t="shared" si="0"/>
        <v>115</v>
      </c>
      <c r="O10" s="197">
        <f t="shared" si="1"/>
        <v>28.75</v>
      </c>
      <c r="P10" s="198">
        <f t="shared" si="2"/>
        <v>2.3265223548452356</v>
      </c>
    </row>
    <row r="11" spans="1:16">
      <c r="A11" s="149" t="s">
        <v>286</v>
      </c>
      <c r="B11" s="37"/>
      <c r="C11" s="37"/>
      <c r="D11" s="37"/>
      <c r="E11" s="37"/>
      <c r="F11" s="37"/>
      <c r="G11" s="37"/>
      <c r="H11" s="37"/>
      <c r="I11" s="37"/>
      <c r="J11" s="37">
        <v>7</v>
      </c>
      <c r="K11" s="37">
        <v>6</v>
      </c>
      <c r="L11" s="37">
        <v>12</v>
      </c>
      <c r="M11" s="35">
        <v>8</v>
      </c>
      <c r="N11" s="196">
        <f t="shared" si="0"/>
        <v>33</v>
      </c>
      <c r="O11" s="197">
        <f t="shared" si="1"/>
        <v>8.25</v>
      </c>
      <c r="P11" s="198">
        <f t="shared" si="2"/>
        <v>0.66761076269471975</v>
      </c>
    </row>
    <row r="12" spans="1:16">
      <c r="A12" s="149" t="s">
        <v>287</v>
      </c>
      <c r="B12" s="37"/>
      <c r="C12" s="37"/>
      <c r="D12" s="37"/>
      <c r="E12" s="37"/>
      <c r="F12" s="37"/>
      <c r="G12" s="37"/>
      <c r="H12" s="37"/>
      <c r="I12" s="37"/>
      <c r="J12" s="37">
        <v>13</v>
      </c>
      <c r="K12" s="37">
        <v>12</v>
      </c>
      <c r="L12" s="37">
        <v>8</v>
      </c>
      <c r="M12" s="35">
        <v>10</v>
      </c>
      <c r="N12" s="196">
        <f t="shared" si="0"/>
        <v>43</v>
      </c>
      <c r="O12" s="197">
        <f t="shared" si="1"/>
        <v>10.75</v>
      </c>
      <c r="P12" s="198">
        <f t="shared" si="2"/>
        <v>0.86991705442039247</v>
      </c>
    </row>
    <row r="13" spans="1:16">
      <c r="A13" s="149" t="s">
        <v>288</v>
      </c>
      <c r="B13" s="37"/>
      <c r="C13" s="37"/>
      <c r="D13" s="37"/>
      <c r="E13" s="37"/>
      <c r="F13" s="37"/>
      <c r="G13" s="37"/>
      <c r="H13" s="37"/>
      <c r="I13" s="37"/>
      <c r="J13" s="37">
        <v>39</v>
      </c>
      <c r="K13" s="37">
        <v>40</v>
      </c>
      <c r="L13" s="37">
        <v>14</v>
      </c>
      <c r="M13" s="35">
        <v>32</v>
      </c>
      <c r="N13" s="196">
        <f t="shared" si="0"/>
        <v>125</v>
      </c>
      <c r="O13" s="197">
        <f t="shared" si="1"/>
        <v>31.25</v>
      </c>
      <c r="P13" s="198">
        <f t="shared" si="2"/>
        <v>2.5288286465709082</v>
      </c>
    </row>
    <row r="14" spans="1:16">
      <c r="A14" s="149" t="s">
        <v>289</v>
      </c>
      <c r="B14" s="37"/>
      <c r="C14" s="37"/>
      <c r="D14" s="37"/>
      <c r="E14" s="37"/>
      <c r="F14" s="37"/>
      <c r="G14" s="37"/>
      <c r="H14" s="37"/>
      <c r="I14" s="37"/>
      <c r="J14" s="37">
        <v>15</v>
      </c>
      <c r="K14" s="37">
        <v>20</v>
      </c>
      <c r="L14" s="37">
        <v>14</v>
      </c>
      <c r="M14" s="35">
        <v>7</v>
      </c>
      <c r="N14" s="196">
        <f t="shared" si="0"/>
        <v>56</v>
      </c>
      <c r="O14" s="197">
        <f t="shared" si="1"/>
        <v>14</v>
      </c>
      <c r="P14" s="198">
        <f t="shared" si="2"/>
        <v>1.1329152336637669</v>
      </c>
    </row>
    <row r="15" spans="1:16">
      <c r="A15" s="149" t="s">
        <v>290</v>
      </c>
      <c r="B15" s="37"/>
      <c r="C15" s="37"/>
      <c r="D15" s="37"/>
      <c r="E15" s="37"/>
      <c r="F15" s="37"/>
      <c r="G15" s="37"/>
      <c r="H15" s="37"/>
      <c r="I15" s="37"/>
      <c r="J15" s="37">
        <v>42</v>
      </c>
      <c r="K15" s="37">
        <v>64</v>
      </c>
      <c r="L15" s="37">
        <v>48</v>
      </c>
      <c r="M15" s="35">
        <v>45</v>
      </c>
      <c r="N15" s="196">
        <f t="shared" si="0"/>
        <v>199</v>
      </c>
      <c r="O15" s="197">
        <f t="shared" si="1"/>
        <v>49.75</v>
      </c>
      <c r="P15" s="198">
        <f t="shared" si="2"/>
        <v>4.0258952053408859</v>
      </c>
    </row>
    <row r="16" spans="1:16">
      <c r="A16" s="149" t="s">
        <v>291</v>
      </c>
      <c r="B16" s="37"/>
      <c r="C16" s="37"/>
      <c r="D16" s="37"/>
      <c r="E16" s="37"/>
      <c r="F16" s="37"/>
      <c r="G16" s="37"/>
      <c r="H16" s="37"/>
      <c r="I16" s="37"/>
      <c r="J16" s="37">
        <v>26</v>
      </c>
      <c r="K16" s="37">
        <v>25</v>
      </c>
      <c r="L16" s="37">
        <v>39</v>
      </c>
      <c r="M16" s="35">
        <v>21</v>
      </c>
      <c r="N16" s="196">
        <f t="shared" si="0"/>
        <v>111</v>
      </c>
      <c r="O16" s="197">
        <f t="shared" si="1"/>
        <v>27.75</v>
      </c>
      <c r="P16" s="198">
        <f t="shared" si="2"/>
        <v>2.2455998381549667</v>
      </c>
    </row>
    <row r="17" spans="1:20">
      <c r="A17" s="149" t="s">
        <v>292</v>
      </c>
      <c r="B17" s="37"/>
      <c r="C17" s="37"/>
      <c r="D17" s="37"/>
      <c r="E17" s="37"/>
      <c r="F17" s="37"/>
      <c r="G17" s="37"/>
      <c r="H17" s="37"/>
      <c r="I17" s="37"/>
      <c r="J17" s="37">
        <v>70</v>
      </c>
      <c r="K17" s="37">
        <v>50</v>
      </c>
      <c r="L17" s="37">
        <v>44</v>
      </c>
      <c r="M17" s="35">
        <v>48</v>
      </c>
      <c r="N17" s="196">
        <f t="shared" si="0"/>
        <v>212</v>
      </c>
      <c r="O17" s="197">
        <f t="shared" si="1"/>
        <v>53</v>
      </c>
      <c r="P17" s="198">
        <f t="shared" si="2"/>
        <v>4.2888933845842612</v>
      </c>
    </row>
    <row r="18" spans="1:20">
      <c r="A18" s="149" t="s">
        <v>293</v>
      </c>
      <c r="B18" s="37"/>
      <c r="C18" s="37"/>
      <c r="D18" s="37"/>
      <c r="E18" s="37"/>
      <c r="F18" s="37"/>
      <c r="G18" s="37"/>
      <c r="H18" s="37"/>
      <c r="I18" s="37"/>
      <c r="J18" s="37">
        <v>32</v>
      </c>
      <c r="K18" s="37">
        <v>22</v>
      </c>
      <c r="L18" s="37">
        <v>21</v>
      </c>
      <c r="M18" s="35">
        <v>30</v>
      </c>
      <c r="N18" s="196">
        <f t="shared" si="0"/>
        <v>105</v>
      </c>
      <c r="O18" s="197">
        <f t="shared" si="1"/>
        <v>26.25</v>
      </c>
      <c r="P18" s="198">
        <f t="shared" si="2"/>
        <v>2.124216063119563</v>
      </c>
    </row>
    <row r="19" spans="1:20">
      <c r="A19" s="149" t="s">
        <v>294</v>
      </c>
      <c r="B19" s="37"/>
      <c r="C19" s="37"/>
      <c r="D19" s="37"/>
      <c r="E19" s="37"/>
      <c r="F19" s="37"/>
      <c r="G19" s="37"/>
      <c r="H19" s="37"/>
      <c r="I19" s="37"/>
      <c r="J19" s="37">
        <v>29</v>
      </c>
      <c r="K19" s="37">
        <v>23</v>
      </c>
      <c r="L19" s="37">
        <v>24</v>
      </c>
      <c r="M19" s="35">
        <v>35</v>
      </c>
      <c r="N19" s="196">
        <f t="shared" si="0"/>
        <v>111</v>
      </c>
      <c r="O19" s="197">
        <f t="shared" si="1"/>
        <v>27.75</v>
      </c>
      <c r="P19" s="198">
        <f t="shared" si="2"/>
        <v>2.2455998381549667</v>
      </c>
      <c r="Q19" s="106"/>
      <c r="T19" s="95"/>
    </row>
    <row r="20" spans="1:20">
      <c r="A20" s="149" t="s">
        <v>295</v>
      </c>
      <c r="B20" s="37"/>
      <c r="C20" s="37"/>
      <c r="D20" s="37"/>
      <c r="E20" s="37"/>
      <c r="F20" s="37"/>
      <c r="G20" s="37"/>
      <c r="H20" s="37"/>
      <c r="I20" s="37"/>
      <c r="J20" s="37">
        <v>92</v>
      </c>
      <c r="K20" s="37">
        <v>93</v>
      </c>
      <c r="L20" s="37">
        <v>83</v>
      </c>
      <c r="M20" s="35">
        <v>92</v>
      </c>
      <c r="N20" s="196">
        <f t="shared" si="0"/>
        <v>360</v>
      </c>
      <c r="O20" s="197">
        <f t="shared" si="1"/>
        <v>90</v>
      </c>
      <c r="P20" s="198">
        <f t="shared" si="2"/>
        <v>7.2830265021242164</v>
      </c>
      <c r="Q20" s="106"/>
      <c r="T20" s="95"/>
    </row>
    <row r="21" spans="1:20">
      <c r="A21" s="149" t="s">
        <v>296</v>
      </c>
      <c r="B21" s="37"/>
      <c r="C21" s="37"/>
      <c r="D21" s="37"/>
      <c r="E21" s="37"/>
      <c r="F21" s="37"/>
      <c r="G21" s="37"/>
      <c r="H21" s="37"/>
      <c r="I21" s="37"/>
      <c r="J21" s="37">
        <v>31</v>
      </c>
      <c r="K21" s="37">
        <v>23</v>
      </c>
      <c r="L21" s="37">
        <v>26</v>
      </c>
      <c r="M21" s="35">
        <v>23</v>
      </c>
      <c r="N21" s="196">
        <f t="shared" si="0"/>
        <v>103</v>
      </c>
      <c r="O21" s="197">
        <f t="shared" si="1"/>
        <v>25.75</v>
      </c>
      <c r="P21" s="198">
        <f t="shared" si="2"/>
        <v>2.0837548047744283</v>
      </c>
      <c r="Q21" s="106"/>
      <c r="T21" s="95"/>
    </row>
    <row r="22" spans="1:20">
      <c r="A22" s="149" t="s">
        <v>297</v>
      </c>
      <c r="B22" s="37"/>
      <c r="C22" s="37"/>
      <c r="D22" s="37"/>
      <c r="E22" s="37"/>
      <c r="F22" s="37"/>
      <c r="G22" s="37"/>
      <c r="H22" s="37"/>
      <c r="I22" s="37"/>
      <c r="J22" s="37">
        <v>52</v>
      </c>
      <c r="K22" s="37">
        <v>47</v>
      </c>
      <c r="L22" s="37">
        <v>76</v>
      </c>
      <c r="M22" s="35">
        <v>62</v>
      </c>
      <c r="N22" s="196">
        <f t="shared" si="0"/>
        <v>237</v>
      </c>
      <c r="O22" s="197">
        <f t="shared" si="1"/>
        <v>59.25</v>
      </c>
      <c r="P22" s="198">
        <f t="shared" si="2"/>
        <v>4.7946591138984429</v>
      </c>
      <c r="Q22" s="106"/>
      <c r="T22" s="95"/>
    </row>
    <row r="23" spans="1:20">
      <c r="A23" s="149" t="s">
        <v>298</v>
      </c>
      <c r="B23" s="37"/>
      <c r="C23" s="37"/>
      <c r="D23" s="37"/>
      <c r="E23" s="37"/>
      <c r="F23" s="37"/>
      <c r="G23" s="37"/>
      <c r="H23" s="37"/>
      <c r="I23" s="37"/>
      <c r="J23" s="37">
        <v>11</v>
      </c>
      <c r="K23" s="37">
        <v>18</v>
      </c>
      <c r="L23" s="37">
        <v>12</v>
      </c>
      <c r="M23" s="35">
        <v>17</v>
      </c>
      <c r="N23" s="196">
        <f t="shared" si="0"/>
        <v>58</v>
      </c>
      <c r="O23" s="197">
        <f t="shared" si="1"/>
        <v>14.5</v>
      </c>
      <c r="P23" s="198">
        <f t="shared" si="2"/>
        <v>1.1733764920089014</v>
      </c>
      <c r="Q23" s="106"/>
      <c r="T23" s="95"/>
    </row>
    <row r="24" spans="1:20">
      <c r="A24" s="149" t="s">
        <v>299</v>
      </c>
      <c r="B24" s="37"/>
      <c r="C24" s="37"/>
      <c r="D24" s="37"/>
      <c r="E24" s="37"/>
      <c r="F24" s="37"/>
      <c r="G24" s="37"/>
      <c r="H24" s="37"/>
      <c r="I24" s="37"/>
      <c r="J24" s="37">
        <v>67</v>
      </c>
      <c r="K24" s="37">
        <v>70</v>
      </c>
      <c r="L24" s="37">
        <v>70</v>
      </c>
      <c r="M24" s="35">
        <v>99</v>
      </c>
      <c r="N24" s="196">
        <f t="shared" si="0"/>
        <v>306</v>
      </c>
      <c r="O24" s="197">
        <f t="shared" si="1"/>
        <v>76.5</v>
      </c>
      <c r="P24" s="198">
        <f t="shared" si="2"/>
        <v>6.1905725268055836</v>
      </c>
      <c r="Q24" s="106"/>
      <c r="T24" s="95"/>
    </row>
    <row r="25" spans="1:20">
      <c r="A25" s="149" t="s">
        <v>300</v>
      </c>
      <c r="B25" s="37"/>
      <c r="C25" s="37"/>
      <c r="D25" s="37"/>
      <c r="E25" s="37"/>
      <c r="F25" s="37"/>
      <c r="G25" s="37"/>
      <c r="H25" s="37"/>
      <c r="I25" s="37"/>
      <c r="J25" s="37">
        <v>8</v>
      </c>
      <c r="K25" s="37">
        <v>3</v>
      </c>
      <c r="L25" s="37">
        <v>8</v>
      </c>
      <c r="M25" s="35">
        <v>16</v>
      </c>
      <c r="N25" s="196">
        <f t="shared" si="0"/>
        <v>35</v>
      </c>
      <c r="O25" s="197">
        <f t="shared" si="1"/>
        <v>8.75</v>
      </c>
      <c r="P25" s="198">
        <f t="shared" si="2"/>
        <v>0.70807202103985434</v>
      </c>
      <c r="Q25" s="106"/>
      <c r="T25" s="95"/>
    </row>
    <row r="26" spans="1:20">
      <c r="A26" s="149" t="s">
        <v>301</v>
      </c>
      <c r="B26" s="37"/>
      <c r="C26" s="37"/>
      <c r="D26" s="37"/>
      <c r="E26" s="37"/>
      <c r="F26" s="37"/>
      <c r="G26" s="37"/>
      <c r="H26" s="37"/>
      <c r="I26" s="37"/>
      <c r="J26" s="37">
        <v>52</v>
      </c>
      <c r="K26" s="37">
        <v>38</v>
      </c>
      <c r="L26" s="37">
        <v>48</v>
      </c>
      <c r="M26" s="35">
        <v>52</v>
      </c>
      <c r="N26" s="196">
        <f t="shared" si="0"/>
        <v>190</v>
      </c>
      <c r="O26" s="197">
        <f t="shared" si="1"/>
        <v>47.5</v>
      </c>
      <c r="P26" s="198">
        <f t="shared" si="2"/>
        <v>3.8438195427877804</v>
      </c>
      <c r="Q26" s="106"/>
      <c r="T26" s="95"/>
    </row>
    <row r="27" spans="1:20">
      <c r="A27" s="149" t="s">
        <v>302</v>
      </c>
      <c r="B27" s="37"/>
      <c r="C27" s="37"/>
      <c r="D27" s="37"/>
      <c r="E27" s="37"/>
      <c r="F27" s="37"/>
      <c r="G27" s="37"/>
      <c r="H27" s="37"/>
      <c r="I27" s="37"/>
      <c r="J27" s="37">
        <v>64</v>
      </c>
      <c r="K27" s="37">
        <v>45</v>
      </c>
      <c r="L27" s="37">
        <v>45</v>
      </c>
      <c r="M27" s="35">
        <v>43</v>
      </c>
      <c r="N27" s="196">
        <f t="shared" si="0"/>
        <v>197</v>
      </c>
      <c r="O27" s="197">
        <f t="shared" si="1"/>
        <v>49.25</v>
      </c>
      <c r="P27" s="198">
        <f t="shared" si="2"/>
        <v>3.9854339469957512</v>
      </c>
      <c r="Q27" s="106"/>
      <c r="T27" s="95"/>
    </row>
    <row r="28" spans="1:20">
      <c r="A28" s="149" t="s">
        <v>303</v>
      </c>
      <c r="B28" s="37"/>
      <c r="C28" s="37"/>
      <c r="D28" s="37"/>
      <c r="E28" s="37"/>
      <c r="F28" s="37"/>
      <c r="G28" s="37"/>
      <c r="H28" s="37"/>
      <c r="I28" s="37"/>
      <c r="J28" s="37">
        <v>72</v>
      </c>
      <c r="K28" s="37">
        <v>66</v>
      </c>
      <c r="L28" s="37">
        <v>62</v>
      </c>
      <c r="M28" s="35">
        <v>57</v>
      </c>
      <c r="N28" s="196">
        <f t="shared" si="0"/>
        <v>257</v>
      </c>
      <c r="O28" s="197">
        <f t="shared" si="1"/>
        <v>64.25</v>
      </c>
      <c r="P28" s="198">
        <f t="shared" si="2"/>
        <v>5.1992716973497872</v>
      </c>
      <c r="Q28" s="106"/>
      <c r="T28" s="95"/>
    </row>
    <row r="29" spans="1:20">
      <c r="A29" s="149" t="s">
        <v>304</v>
      </c>
      <c r="B29" s="37"/>
      <c r="C29" s="37"/>
      <c r="D29" s="37"/>
      <c r="E29" s="37"/>
      <c r="F29" s="37"/>
      <c r="G29" s="37"/>
      <c r="H29" s="37"/>
      <c r="I29" s="37"/>
      <c r="J29" s="37">
        <v>31</v>
      </c>
      <c r="K29" s="37">
        <v>59</v>
      </c>
      <c r="L29" s="37">
        <v>57</v>
      </c>
      <c r="M29" s="35">
        <v>57</v>
      </c>
      <c r="N29" s="196">
        <f t="shared" si="0"/>
        <v>204</v>
      </c>
      <c r="O29" s="197">
        <f t="shared" si="1"/>
        <v>51</v>
      </c>
      <c r="P29" s="198">
        <f t="shared" si="2"/>
        <v>4.1270483512037224</v>
      </c>
      <c r="Q29" s="106"/>
      <c r="T29" s="95"/>
    </row>
    <row r="30" spans="1:20">
      <c r="A30" s="149" t="s">
        <v>305</v>
      </c>
      <c r="B30" s="37"/>
      <c r="C30" s="37"/>
      <c r="D30" s="37"/>
      <c r="E30" s="37"/>
      <c r="F30" s="37"/>
      <c r="G30" s="37"/>
      <c r="H30" s="37"/>
      <c r="I30" s="37"/>
      <c r="J30" s="37">
        <v>27</v>
      </c>
      <c r="K30" s="37">
        <v>27</v>
      </c>
      <c r="L30" s="37">
        <v>32</v>
      </c>
      <c r="M30" s="35">
        <v>32</v>
      </c>
      <c r="N30" s="196">
        <f t="shared" si="0"/>
        <v>118</v>
      </c>
      <c r="O30" s="197">
        <f t="shared" si="1"/>
        <v>29.5</v>
      </c>
      <c r="P30" s="198">
        <f t="shared" si="2"/>
        <v>2.3872142423629374</v>
      </c>
      <c r="Q30" s="106"/>
      <c r="T30" s="95"/>
    </row>
    <row r="31" spans="1:20">
      <c r="A31" s="149" t="s">
        <v>306</v>
      </c>
      <c r="B31" s="37"/>
      <c r="C31" s="37"/>
      <c r="D31" s="37"/>
      <c r="E31" s="37"/>
      <c r="F31" s="37"/>
      <c r="G31" s="37"/>
      <c r="H31" s="37"/>
      <c r="I31" s="37"/>
      <c r="J31" s="37">
        <v>19</v>
      </c>
      <c r="K31" s="37">
        <v>18</v>
      </c>
      <c r="L31" s="37">
        <v>15</v>
      </c>
      <c r="M31" s="35">
        <v>14</v>
      </c>
      <c r="N31" s="196">
        <f t="shared" si="0"/>
        <v>66</v>
      </c>
      <c r="O31" s="197">
        <f t="shared" si="1"/>
        <v>16.5</v>
      </c>
      <c r="P31" s="198">
        <f t="shared" si="2"/>
        <v>1.3352215253894395</v>
      </c>
      <c r="Q31" s="106"/>
      <c r="T31" s="95"/>
    </row>
    <row r="32" spans="1:20">
      <c r="A32" s="149" t="s">
        <v>307</v>
      </c>
      <c r="B32" s="37"/>
      <c r="C32" s="37"/>
      <c r="D32" s="37"/>
      <c r="E32" s="37"/>
      <c r="F32" s="37"/>
      <c r="G32" s="37"/>
      <c r="H32" s="37"/>
      <c r="I32" s="37"/>
      <c r="J32" s="37">
        <v>15</v>
      </c>
      <c r="K32" s="37">
        <v>15</v>
      </c>
      <c r="L32" s="37">
        <v>18</v>
      </c>
      <c r="M32" s="35">
        <v>7</v>
      </c>
      <c r="N32" s="196">
        <f t="shared" si="0"/>
        <v>55</v>
      </c>
      <c r="O32" s="197">
        <f t="shared" si="1"/>
        <v>13.75</v>
      </c>
      <c r="P32" s="198">
        <f t="shared" si="2"/>
        <v>1.1126846044911998</v>
      </c>
      <c r="Q32" s="106"/>
      <c r="T32" s="95"/>
    </row>
    <row r="33" spans="1:20">
      <c r="A33" s="149" t="s">
        <v>308</v>
      </c>
      <c r="B33" s="37"/>
      <c r="C33" s="37"/>
      <c r="D33" s="37"/>
      <c r="E33" s="37"/>
      <c r="F33" s="37"/>
      <c r="G33" s="37"/>
      <c r="H33" s="37"/>
      <c r="I33" s="37"/>
      <c r="J33" s="37">
        <v>77</v>
      </c>
      <c r="K33" s="37">
        <v>85</v>
      </c>
      <c r="L33" s="37">
        <v>64</v>
      </c>
      <c r="M33" s="35">
        <v>77</v>
      </c>
      <c r="N33" s="196">
        <f t="shared" si="0"/>
        <v>303</v>
      </c>
      <c r="O33" s="197">
        <f t="shared" si="1"/>
        <v>75.75</v>
      </c>
      <c r="P33" s="198">
        <f t="shared" si="2"/>
        <v>6.1298806392878813</v>
      </c>
      <c r="Q33" s="106"/>
      <c r="T33" s="95"/>
    </row>
    <row r="34" spans="1:20">
      <c r="A34" s="149" t="s">
        <v>309</v>
      </c>
      <c r="B34" s="37"/>
      <c r="C34" s="37"/>
      <c r="D34" s="37"/>
      <c r="E34" s="37"/>
      <c r="F34" s="37"/>
      <c r="G34" s="37"/>
      <c r="H34" s="37"/>
      <c r="I34" s="37"/>
      <c r="J34" s="37">
        <v>36</v>
      </c>
      <c r="K34" s="37">
        <v>36</v>
      </c>
      <c r="L34" s="37">
        <v>57</v>
      </c>
      <c r="M34" s="35">
        <v>50</v>
      </c>
      <c r="N34" s="196">
        <f t="shared" si="0"/>
        <v>179</v>
      </c>
      <c r="O34" s="197">
        <f t="shared" si="1"/>
        <v>44.75</v>
      </c>
      <c r="P34" s="198">
        <f t="shared" si="2"/>
        <v>3.6212826218895406</v>
      </c>
      <c r="Q34" s="106"/>
      <c r="T34" s="95"/>
    </row>
    <row r="35" spans="1:20">
      <c r="A35" s="149" t="s">
        <v>310</v>
      </c>
      <c r="B35" s="37"/>
      <c r="C35" s="37"/>
      <c r="D35" s="37"/>
      <c r="E35" s="37"/>
      <c r="F35" s="37"/>
      <c r="G35" s="37"/>
      <c r="H35" s="37"/>
      <c r="I35" s="37"/>
      <c r="J35" s="37">
        <v>57</v>
      </c>
      <c r="K35" s="37">
        <v>63</v>
      </c>
      <c r="L35" s="37">
        <v>58</v>
      </c>
      <c r="M35" s="35">
        <v>64</v>
      </c>
      <c r="N35" s="196">
        <f t="shared" si="0"/>
        <v>242</v>
      </c>
      <c r="O35" s="197">
        <f t="shared" si="1"/>
        <v>60.5</v>
      </c>
      <c r="P35" s="198">
        <f t="shared" si="2"/>
        <v>4.8958122597612785</v>
      </c>
      <c r="Q35" s="106"/>
      <c r="T35" s="95"/>
    </row>
    <row r="36" spans="1:20" ht="15.75" thickBot="1">
      <c r="A36" s="153" t="s">
        <v>311</v>
      </c>
      <c r="B36" s="44"/>
      <c r="C36" s="44"/>
      <c r="D36" s="44"/>
      <c r="E36" s="44"/>
      <c r="F36" s="44"/>
      <c r="G36" s="44"/>
      <c r="H36" s="44"/>
      <c r="I36" s="44"/>
      <c r="J36" s="44">
        <v>44</v>
      </c>
      <c r="K36" s="37">
        <v>22</v>
      </c>
      <c r="L36" s="44">
        <v>37</v>
      </c>
      <c r="M36" s="43">
        <v>20</v>
      </c>
      <c r="N36" s="199">
        <f t="shared" si="0"/>
        <v>123</v>
      </c>
      <c r="O36" s="200">
        <f t="shared" si="1"/>
        <v>30.75</v>
      </c>
      <c r="P36" s="198">
        <f t="shared" si="2"/>
        <v>2.488367388225774</v>
      </c>
      <c r="Q36" s="106"/>
      <c r="T36" s="95"/>
    </row>
    <row r="37" spans="1:20" ht="15.75" thickBot="1">
      <c r="A37" s="201" t="s">
        <v>5</v>
      </c>
      <c r="B37" s="50"/>
      <c r="C37" s="50"/>
      <c r="D37" s="50"/>
      <c r="E37" s="50"/>
      <c r="F37" s="50"/>
      <c r="G37" s="50"/>
      <c r="H37" s="50"/>
      <c r="I37" s="50"/>
      <c r="J37" s="50">
        <f>SUM(J5:J36)</f>
        <v>1294</v>
      </c>
      <c r="K37" s="50">
        <f>SUM(K5:K36)</f>
        <v>1212</v>
      </c>
      <c r="L37" s="50">
        <f>SUM(L5:L36)</f>
        <v>1208</v>
      </c>
      <c r="M37" s="202">
        <f t="shared" ref="M37:N37" si="3">SUM(M5:M36)</f>
        <v>1229</v>
      </c>
      <c r="N37" s="203">
        <f t="shared" si="3"/>
        <v>4943</v>
      </c>
      <c r="O37" s="121">
        <f t="shared" si="1"/>
        <v>1235.75</v>
      </c>
      <c r="P37" s="204">
        <f>SUM(P5:P36)</f>
        <v>99.999999999999986</v>
      </c>
      <c r="Q37" s="106"/>
      <c r="T37" s="95"/>
    </row>
    <row r="38" spans="1:20">
      <c r="Q38" s="106"/>
      <c r="T38" s="95"/>
    </row>
    <row r="39" spans="1:20">
      <c r="Q39" s="106"/>
      <c r="T39" s="95"/>
    </row>
    <row r="40" spans="1:20">
      <c r="Q40" s="106"/>
      <c r="T40" s="95"/>
    </row>
    <row r="41" spans="1:20">
      <c r="Q41" s="106"/>
      <c r="T41" s="95"/>
    </row>
    <row r="42" spans="1:20">
      <c r="Q42" s="106"/>
      <c r="T42" s="95"/>
    </row>
    <row r="43" spans="1:20">
      <c r="Q43" s="106"/>
      <c r="T43" s="95"/>
    </row>
    <row r="44" spans="1:20">
      <c r="Q44" s="106"/>
      <c r="T44" s="95"/>
    </row>
    <row r="45" spans="1:20">
      <c r="Q45" s="106"/>
      <c r="T45" s="95"/>
    </row>
    <row r="46" spans="1:20">
      <c r="Q46" s="106"/>
      <c r="T46" s="95"/>
    </row>
    <row r="47" spans="1:20">
      <c r="Q47" s="106"/>
      <c r="T47" s="95"/>
    </row>
    <row r="48" spans="1:20">
      <c r="Q48" s="106"/>
      <c r="T48" s="95"/>
    </row>
    <row r="49" spans="17:20">
      <c r="Q49" s="106"/>
      <c r="T49" s="95"/>
    </row>
    <row r="50" spans="17:20">
      <c r="Q50" s="106"/>
      <c r="T50" s="9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J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G41"/>
  <sheetViews>
    <sheetView zoomScale="90" zoomScaleNormal="90" workbookViewId="0">
      <selection activeCell="T6" sqref="T6"/>
    </sheetView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64" bestFit="1" customWidth="1"/>
    <col min="12" max="12" width="7.140625" style="564" bestFit="1" customWidth="1"/>
    <col min="13" max="13" width="7.5703125" style="564" customWidth="1"/>
    <col min="14" max="14" width="6.140625" style="564" bestFit="1" customWidth="1"/>
    <col min="15" max="15" width="7.85546875" style="564" bestFit="1" customWidth="1"/>
    <col min="16" max="16" width="17.85546875" style="564" customWidth="1"/>
    <col min="17" max="17" width="9.140625" customWidth="1"/>
  </cols>
  <sheetData>
    <row r="1" spans="1:18">
      <c r="A1" s="1" t="s">
        <v>0</v>
      </c>
      <c r="J1" s="500"/>
      <c r="K1" s="500"/>
      <c r="P1" s="986">
        <f>Subprefeituras_2024!J37</f>
        <v>1294</v>
      </c>
      <c r="Q1" s="564"/>
      <c r="R1" s="564"/>
    </row>
    <row r="2" spans="1:18">
      <c r="A2" s="1" t="s">
        <v>1</v>
      </c>
      <c r="J2" s="500"/>
      <c r="K2" s="500"/>
      <c r="Q2" s="564"/>
      <c r="R2" s="564"/>
    </row>
    <row r="3" spans="1:18">
      <c r="A3" s="1"/>
      <c r="J3" s="500"/>
      <c r="K3" s="500"/>
      <c r="Q3" s="564"/>
      <c r="R3" s="564"/>
    </row>
    <row r="4" spans="1:18">
      <c r="A4" s="1" t="s">
        <v>484</v>
      </c>
      <c r="J4" s="500"/>
      <c r="K4" s="500"/>
      <c r="Q4" s="564"/>
      <c r="R4" s="564"/>
    </row>
    <row r="5" spans="1:18" ht="15.75" thickBot="1">
      <c r="J5" s="500"/>
      <c r="K5" s="500"/>
      <c r="Q5" s="564"/>
      <c r="R5" s="564"/>
    </row>
    <row r="6" spans="1:18" ht="45.75" customHeight="1" thickBot="1">
      <c r="A6" s="903" t="s">
        <v>483</v>
      </c>
      <c r="B6" s="17">
        <v>45627</v>
      </c>
      <c r="C6" s="78">
        <v>45597</v>
      </c>
      <c r="D6" s="78">
        <v>45566</v>
      </c>
      <c r="E6" s="78">
        <v>45536</v>
      </c>
      <c r="F6" s="78">
        <v>45505</v>
      </c>
      <c r="G6" s="78">
        <v>45474</v>
      </c>
      <c r="H6" s="164">
        <v>45444</v>
      </c>
      <c r="I6" s="205">
        <v>45413</v>
      </c>
      <c r="J6" s="206">
        <v>45383</v>
      </c>
      <c r="K6" s="612">
        <v>45352</v>
      </c>
      <c r="L6" s="612">
        <v>45323</v>
      </c>
      <c r="M6" s="613">
        <v>45292</v>
      </c>
      <c r="N6" s="756" t="s">
        <v>5</v>
      </c>
      <c r="O6" s="759" t="s">
        <v>6</v>
      </c>
      <c r="P6" s="757" t="s">
        <v>514</v>
      </c>
    </row>
    <row r="7" spans="1:18" ht="15.75" thickBot="1">
      <c r="A7" s="144" t="s">
        <v>295</v>
      </c>
      <c r="B7" s="27"/>
      <c r="C7" s="27"/>
      <c r="D7" s="27"/>
      <c r="E7" s="27"/>
      <c r="F7" s="27"/>
      <c r="G7" s="27"/>
      <c r="H7" s="27"/>
      <c r="I7" s="27"/>
      <c r="J7" s="27">
        <v>92</v>
      </c>
      <c r="K7" s="37">
        <v>93</v>
      </c>
      <c r="L7" s="27">
        <v>83</v>
      </c>
      <c r="M7" s="192">
        <v>92</v>
      </c>
      <c r="N7" s="614">
        <f t="shared" ref="N7:N17" si="0">SUM(B7:M7)</f>
        <v>360</v>
      </c>
      <c r="O7" s="758">
        <f t="shared" ref="O7:O17" si="1">AVERAGE(B7:M7)</f>
        <v>90</v>
      </c>
      <c r="P7" s="615">
        <f>(J7*100)/$P$1</f>
        <v>7.1097372488408039</v>
      </c>
    </row>
    <row r="8" spans="1:18" ht="15.75" thickBot="1">
      <c r="A8" s="149" t="s">
        <v>299</v>
      </c>
      <c r="B8" s="37"/>
      <c r="C8" s="37"/>
      <c r="D8" s="37"/>
      <c r="E8" s="37"/>
      <c r="F8" s="37"/>
      <c r="G8" s="37"/>
      <c r="H8" s="37"/>
      <c r="I8" s="37"/>
      <c r="J8" s="37">
        <v>67</v>
      </c>
      <c r="K8" s="37">
        <v>70</v>
      </c>
      <c r="L8" s="37">
        <v>70</v>
      </c>
      <c r="M8" s="35">
        <v>99</v>
      </c>
      <c r="N8" s="616">
        <f t="shared" si="0"/>
        <v>306</v>
      </c>
      <c r="O8" s="617">
        <f t="shared" si="1"/>
        <v>76.5</v>
      </c>
      <c r="P8" s="615">
        <f t="shared" ref="P8:P17" si="2">(J8*100)/$P$1</f>
        <v>5.1777434312210202</v>
      </c>
    </row>
    <row r="9" spans="1:18" ht="15.75" thickBot="1">
      <c r="A9" s="149" t="s">
        <v>308</v>
      </c>
      <c r="B9" s="37"/>
      <c r="C9" s="37"/>
      <c r="D9" s="37"/>
      <c r="E9" s="37"/>
      <c r="F9" s="37"/>
      <c r="G9" s="37"/>
      <c r="H9" s="37"/>
      <c r="I9" s="37"/>
      <c r="J9" s="37">
        <v>77</v>
      </c>
      <c r="K9" s="37">
        <v>85</v>
      </c>
      <c r="L9" s="37">
        <v>64</v>
      </c>
      <c r="M9" s="35">
        <v>77</v>
      </c>
      <c r="N9" s="616">
        <f t="shared" si="0"/>
        <v>303</v>
      </c>
      <c r="O9" s="617">
        <f t="shared" si="1"/>
        <v>75.75</v>
      </c>
      <c r="P9" s="615">
        <f t="shared" si="2"/>
        <v>5.9505409582689337</v>
      </c>
    </row>
    <row r="10" spans="1:18" ht="15.75" thickBot="1">
      <c r="A10" s="149" t="s">
        <v>303</v>
      </c>
      <c r="B10" s="37"/>
      <c r="C10" s="37"/>
      <c r="D10" s="37"/>
      <c r="E10" s="37"/>
      <c r="F10" s="37"/>
      <c r="G10" s="37"/>
      <c r="H10" s="37"/>
      <c r="I10" s="37"/>
      <c r="J10" s="37">
        <v>72</v>
      </c>
      <c r="K10" s="37">
        <v>66</v>
      </c>
      <c r="L10" s="37">
        <v>62</v>
      </c>
      <c r="M10" s="35">
        <v>57</v>
      </c>
      <c r="N10" s="616">
        <f t="shared" si="0"/>
        <v>257</v>
      </c>
      <c r="O10" s="617">
        <f t="shared" si="1"/>
        <v>64.25</v>
      </c>
      <c r="P10" s="615">
        <f t="shared" si="2"/>
        <v>5.564142194744977</v>
      </c>
    </row>
    <row r="11" spans="1:18" ht="15.75" thickBot="1">
      <c r="A11" s="149" t="s">
        <v>310</v>
      </c>
      <c r="B11" s="37"/>
      <c r="C11" s="37"/>
      <c r="D11" s="37"/>
      <c r="E11" s="37"/>
      <c r="F11" s="37"/>
      <c r="G11" s="37"/>
      <c r="H11" s="37"/>
      <c r="I11" s="37"/>
      <c r="J11" s="37">
        <v>57</v>
      </c>
      <c r="K11" s="37">
        <v>63</v>
      </c>
      <c r="L11" s="37">
        <v>58</v>
      </c>
      <c r="M11" s="35">
        <v>64</v>
      </c>
      <c r="N11" s="616">
        <f t="shared" si="0"/>
        <v>242</v>
      </c>
      <c r="O11" s="617">
        <f t="shared" si="1"/>
        <v>60.5</v>
      </c>
      <c r="P11" s="615">
        <f t="shared" si="2"/>
        <v>4.4049459041731067</v>
      </c>
    </row>
    <row r="12" spans="1:18" ht="15.75" thickBot="1">
      <c r="A12" s="149" t="s">
        <v>297</v>
      </c>
      <c r="B12" s="37"/>
      <c r="C12" s="37"/>
      <c r="D12" s="37"/>
      <c r="E12" s="37"/>
      <c r="F12" s="37"/>
      <c r="G12" s="37"/>
      <c r="H12" s="37"/>
      <c r="I12" s="37"/>
      <c r="J12" s="37">
        <v>52</v>
      </c>
      <c r="K12" s="37">
        <v>47</v>
      </c>
      <c r="L12" s="37">
        <v>76</v>
      </c>
      <c r="M12" s="35">
        <v>62</v>
      </c>
      <c r="N12" s="616">
        <f t="shared" si="0"/>
        <v>237</v>
      </c>
      <c r="O12" s="617">
        <f t="shared" si="1"/>
        <v>59.25</v>
      </c>
      <c r="P12" s="615">
        <f t="shared" si="2"/>
        <v>4.01854714064915</v>
      </c>
    </row>
    <row r="13" spans="1:18" ht="15.75" thickBot="1">
      <c r="A13" s="149" t="s">
        <v>281</v>
      </c>
      <c r="B13" s="37"/>
      <c r="C13" s="37"/>
      <c r="D13" s="37"/>
      <c r="E13" s="37"/>
      <c r="F13" s="37"/>
      <c r="G13" s="37"/>
      <c r="H13" s="37"/>
      <c r="I13" s="37"/>
      <c r="J13" s="37">
        <v>55</v>
      </c>
      <c r="K13" s="37">
        <v>66</v>
      </c>
      <c r="L13" s="37">
        <v>48</v>
      </c>
      <c r="M13" s="35">
        <v>48</v>
      </c>
      <c r="N13" s="616">
        <f t="shared" si="0"/>
        <v>217</v>
      </c>
      <c r="O13" s="617">
        <f t="shared" si="1"/>
        <v>54.25</v>
      </c>
      <c r="P13" s="615">
        <f t="shared" si="2"/>
        <v>4.2503863987635242</v>
      </c>
    </row>
    <row r="14" spans="1:18" ht="15.75" thickBot="1">
      <c r="A14" s="149" t="s">
        <v>292</v>
      </c>
      <c r="B14" s="37"/>
      <c r="C14" s="37"/>
      <c r="D14" s="37"/>
      <c r="E14" s="37"/>
      <c r="F14" s="37"/>
      <c r="G14" s="37"/>
      <c r="H14" s="37"/>
      <c r="I14" s="37"/>
      <c r="J14" s="37">
        <v>70</v>
      </c>
      <c r="K14" s="37">
        <v>50</v>
      </c>
      <c r="L14" s="37">
        <v>44</v>
      </c>
      <c r="M14" s="35">
        <v>48</v>
      </c>
      <c r="N14" s="616">
        <f t="shared" si="0"/>
        <v>212</v>
      </c>
      <c r="O14" s="617">
        <f t="shared" si="1"/>
        <v>53</v>
      </c>
      <c r="P14" s="615">
        <f t="shared" si="2"/>
        <v>5.4095826893353944</v>
      </c>
    </row>
    <row r="15" spans="1:18" ht="15.75" thickBot="1">
      <c r="A15" s="149" t="s">
        <v>304</v>
      </c>
      <c r="B15" s="37"/>
      <c r="C15" s="37"/>
      <c r="D15" s="37"/>
      <c r="E15" s="37"/>
      <c r="F15" s="37"/>
      <c r="G15" s="37"/>
      <c r="H15" s="37"/>
      <c r="I15" s="37"/>
      <c r="J15" s="37">
        <v>31</v>
      </c>
      <c r="K15" s="37">
        <v>59</v>
      </c>
      <c r="L15" s="37">
        <v>57</v>
      </c>
      <c r="M15" s="35">
        <v>57</v>
      </c>
      <c r="N15" s="616">
        <f t="shared" si="0"/>
        <v>204</v>
      </c>
      <c r="O15" s="617">
        <f t="shared" si="1"/>
        <v>51</v>
      </c>
      <c r="P15" s="615">
        <f t="shared" si="2"/>
        <v>2.3956723338485317</v>
      </c>
    </row>
    <row r="16" spans="1:18" ht="15.75" thickBot="1">
      <c r="A16" s="149" t="s">
        <v>290</v>
      </c>
      <c r="B16" s="37"/>
      <c r="C16" s="37"/>
      <c r="D16" s="37"/>
      <c r="E16" s="37"/>
      <c r="F16" s="37"/>
      <c r="G16" s="37"/>
      <c r="H16" s="37"/>
      <c r="I16" s="37"/>
      <c r="J16" s="37">
        <v>42</v>
      </c>
      <c r="K16" s="37">
        <v>64</v>
      </c>
      <c r="L16" s="37">
        <v>48</v>
      </c>
      <c r="M16" s="35">
        <v>45</v>
      </c>
      <c r="N16" s="618">
        <f t="shared" si="0"/>
        <v>199</v>
      </c>
      <c r="O16" s="619">
        <f t="shared" si="1"/>
        <v>49.75</v>
      </c>
      <c r="P16" s="620">
        <f t="shared" si="2"/>
        <v>3.2457496136012365</v>
      </c>
    </row>
    <row r="17" spans="1:33" ht="15.75" thickBot="1">
      <c r="A17" s="201" t="s">
        <v>5</v>
      </c>
      <c r="B17" s="53"/>
      <c r="C17" s="53"/>
      <c r="D17" s="53"/>
      <c r="E17" s="53"/>
      <c r="F17" s="53"/>
      <c r="G17" s="53"/>
      <c r="H17" s="53"/>
      <c r="I17" s="53"/>
      <c r="J17" s="621">
        <f>SUM(J7:J16)</f>
        <v>615</v>
      </c>
      <c r="K17" s="621">
        <f>SUM(K7:K16)</f>
        <v>663</v>
      </c>
      <c r="L17" s="621">
        <f>SUM(L7:L16)</f>
        <v>610</v>
      </c>
      <c r="M17" s="622">
        <f t="shared" ref="M17" si="3">SUM(M7:M16)</f>
        <v>649</v>
      </c>
      <c r="N17" s="623">
        <f t="shared" si="0"/>
        <v>2537</v>
      </c>
      <c r="O17" s="624">
        <f t="shared" si="1"/>
        <v>634.25</v>
      </c>
      <c r="P17" s="625">
        <f t="shared" si="2"/>
        <v>47.52704791344668</v>
      </c>
    </row>
    <row r="18" spans="1:33" s="500" customFormat="1">
      <c r="A18" s="496" t="s">
        <v>206</v>
      </c>
      <c r="N18" s="501"/>
      <c r="P18" s="502">
        <f>100-P17</f>
        <v>52.47295208655332</v>
      </c>
    </row>
    <row r="19" spans="1:33">
      <c r="A19" s="136"/>
      <c r="B19" s="208"/>
      <c r="C19" s="208"/>
      <c r="D19" s="208"/>
      <c r="E19" s="136"/>
      <c r="F19" s="136"/>
      <c r="G19" s="136"/>
      <c r="H19" s="136"/>
      <c r="I19" s="136"/>
      <c r="J19" s="136"/>
      <c r="N19" s="62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</row>
    <row r="20" spans="1:33">
      <c r="A20" s="136"/>
      <c r="B20" s="208"/>
      <c r="C20" s="208"/>
      <c r="D20" s="208"/>
      <c r="E20" s="136"/>
      <c r="F20" s="136"/>
      <c r="G20" s="136"/>
      <c r="H20" s="136"/>
      <c r="I20" s="136"/>
      <c r="J20" s="136"/>
      <c r="Q20" s="181"/>
      <c r="R20" s="182"/>
      <c r="S20" s="184"/>
      <c r="T20" s="182"/>
      <c r="U20" s="182"/>
      <c r="V20" s="182"/>
      <c r="W20" s="182"/>
      <c r="X20" s="182"/>
      <c r="Y20" s="182"/>
      <c r="Z20" s="182"/>
      <c r="AA20" s="182"/>
      <c r="AB20" s="182"/>
      <c r="AC20" s="184"/>
      <c r="AD20" s="182"/>
      <c r="AE20" s="182"/>
      <c r="AF20" s="107"/>
      <c r="AG20" s="108"/>
    </row>
    <row r="21" spans="1:33">
      <c r="A21" s="136"/>
      <c r="B21" s="208"/>
      <c r="C21" s="208"/>
      <c r="D21" s="208"/>
      <c r="E21" s="136"/>
      <c r="F21" s="136"/>
      <c r="G21" s="136"/>
      <c r="H21" s="136"/>
      <c r="I21" s="136"/>
      <c r="J21" s="136"/>
      <c r="Q21" s="181"/>
      <c r="R21" s="182"/>
      <c r="S21" s="184"/>
      <c r="T21" s="182"/>
      <c r="U21" s="182"/>
      <c r="V21" s="182"/>
      <c r="W21" s="182"/>
      <c r="X21" s="182"/>
      <c r="Y21" s="182"/>
      <c r="Z21" s="182"/>
      <c r="AA21" s="182"/>
      <c r="AB21" s="182"/>
      <c r="AC21" s="184"/>
      <c r="AD21" s="182"/>
      <c r="AE21" s="182"/>
      <c r="AF21" s="107"/>
      <c r="AG21" s="108"/>
    </row>
    <row r="22" spans="1:33">
      <c r="A22" s="136"/>
      <c r="B22" s="208"/>
      <c r="C22" s="208"/>
      <c r="D22" s="208"/>
      <c r="E22" s="136"/>
      <c r="F22" s="136"/>
      <c r="G22" s="136"/>
      <c r="H22" s="136"/>
      <c r="I22" s="136"/>
      <c r="J22" s="136"/>
      <c r="Q22" s="136"/>
      <c r="R22" s="136"/>
      <c r="S22" s="136"/>
      <c r="T22" s="136"/>
      <c r="U22" s="181"/>
      <c r="V22" s="182"/>
      <c r="W22" s="182"/>
      <c r="X22" s="182"/>
      <c r="Y22" s="182"/>
      <c r="Z22" s="182"/>
      <c r="AA22" s="182"/>
      <c r="AB22" s="183"/>
      <c r="AC22" s="182"/>
      <c r="AD22" s="182"/>
      <c r="AE22" s="182"/>
      <c r="AF22" s="107"/>
      <c r="AG22" s="108"/>
    </row>
    <row r="23" spans="1:33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Q23" s="136"/>
      <c r="R23" s="136"/>
      <c r="S23" s="136"/>
      <c r="T23" s="136"/>
      <c r="U23" s="181"/>
      <c r="V23" s="182"/>
      <c r="W23" s="182"/>
      <c r="X23" s="182"/>
      <c r="Y23" s="182"/>
      <c r="Z23" s="182"/>
      <c r="AA23" s="182"/>
      <c r="AB23" s="183"/>
      <c r="AC23" s="182"/>
      <c r="AD23" s="182"/>
      <c r="AE23" s="182"/>
      <c r="AF23" s="107"/>
      <c r="AG23" s="108"/>
    </row>
    <row r="24" spans="1:33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Q24" s="136"/>
      <c r="R24" s="136"/>
      <c r="S24" s="136"/>
      <c r="T24" s="136"/>
      <c r="U24" s="181"/>
      <c r="V24" s="182"/>
      <c r="W24" s="182"/>
      <c r="X24" s="182"/>
      <c r="Y24" s="182"/>
      <c r="Z24" s="182"/>
      <c r="AA24" s="182"/>
      <c r="AB24" s="183"/>
      <c r="AC24" s="182"/>
      <c r="AD24" s="182"/>
      <c r="AE24" s="182"/>
      <c r="AF24" s="107"/>
      <c r="AG24" s="108"/>
    </row>
    <row r="25" spans="1:33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Q25" s="136"/>
      <c r="R25" s="136"/>
      <c r="S25" s="136"/>
      <c r="T25" s="136"/>
      <c r="U25" s="181"/>
      <c r="V25" s="182"/>
      <c r="W25" s="182"/>
      <c r="X25" s="182"/>
      <c r="Y25" s="182"/>
      <c r="Z25" s="182"/>
      <c r="AA25" s="182"/>
      <c r="AB25" s="183"/>
      <c r="AC25" s="182"/>
      <c r="AD25" s="182"/>
      <c r="AE25" s="182"/>
      <c r="AF25" s="107"/>
      <c r="AG25" s="108"/>
    </row>
    <row r="26" spans="1:33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Q26" s="136"/>
      <c r="R26" s="136"/>
      <c r="S26" s="136"/>
      <c r="T26" s="136"/>
      <c r="U26" s="181"/>
      <c r="V26" s="182"/>
      <c r="W26" s="182"/>
      <c r="X26" s="182"/>
      <c r="Y26" s="182"/>
      <c r="Z26" s="182"/>
      <c r="AA26" s="182"/>
      <c r="AB26" s="183"/>
      <c r="AC26" s="182"/>
      <c r="AD26" s="182"/>
      <c r="AE26" s="182"/>
      <c r="AF26" s="107"/>
      <c r="AG26" s="108"/>
    </row>
    <row r="27" spans="1:33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Q27" s="136"/>
      <c r="R27" s="136"/>
      <c r="S27" s="136"/>
      <c r="T27" s="136"/>
      <c r="U27" s="181"/>
      <c r="V27" s="182"/>
      <c r="W27" s="182"/>
      <c r="X27" s="182"/>
      <c r="Y27" s="182"/>
      <c r="Z27" s="182"/>
      <c r="AA27" s="182"/>
      <c r="AB27" s="183"/>
      <c r="AC27" s="182"/>
      <c r="AD27" s="182"/>
      <c r="AE27" s="182"/>
      <c r="AF27" s="107"/>
      <c r="AG27" s="108"/>
    </row>
    <row r="28" spans="1:33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Q28" s="136"/>
      <c r="R28" s="136"/>
      <c r="S28" s="136"/>
      <c r="T28" s="136"/>
      <c r="U28" s="181"/>
      <c r="V28" s="182"/>
      <c r="W28" s="182"/>
      <c r="X28" s="182"/>
      <c r="Y28" s="182"/>
      <c r="Z28" s="182"/>
      <c r="AA28" s="182"/>
      <c r="AB28" s="183"/>
      <c r="AC28" s="182"/>
      <c r="AD28" s="182"/>
      <c r="AE28" s="182"/>
      <c r="AF28" s="107"/>
      <c r="AG28" s="108"/>
    </row>
    <row r="29" spans="1:33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Q29" s="136"/>
      <c r="R29" s="136"/>
      <c r="S29" s="136"/>
      <c r="T29" s="136"/>
      <c r="U29" s="181"/>
      <c r="V29" s="182"/>
      <c r="W29" s="182"/>
      <c r="X29" s="182"/>
      <c r="Y29" s="182"/>
      <c r="Z29" s="182"/>
      <c r="AA29" s="182"/>
      <c r="AB29" s="183"/>
      <c r="AC29" s="182"/>
      <c r="AD29" s="182"/>
      <c r="AE29" s="182"/>
      <c r="AF29" s="107"/>
      <c r="AG29" s="108"/>
    </row>
    <row r="30" spans="1:33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</row>
    <row r="31" spans="1:33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</row>
    <row r="32" spans="1:33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</row>
    <row r="33" spans="1:31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</row>
    <row r="34" spans="1:31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</row>
    <row r="35" spans="1:3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</row>
    <row r="36" spans="1:31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</row>
    <row r="37" spans="1:3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</row>
    <row r="38" spans="1:3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</row>
    <row r="39" spans="1:31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</row>
    <row r="40" spans="1:3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</row>
    <row r="41" spans="1:31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7:M17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workbookViewId="0"/>
  </sheetViews>
  <sheetFormatPr defaultRowHeight="14.25"/>
  <cols>
    <col min="1" max="1" width="11.42578125" style="9" customWidth="1"/>
    <col min="2" max="2" width="12.85546875" style="93" bestFit="1" customWidth="1"/>
    <col min="3" max="3" width="11.42578125" style="93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501</v>
      </c>
    </row>
    <row r="5" spans="1:15" ht="15">
      <c r="A5" s="1"/>
    </row>
    <row r="6" spans="1:15">
      <c r="A6" s="9" t="s">
        <v>208</v>
      </c>
    </row>
    <row r="7" spans="1:15">
      <c r="A7" s="9" t="s">
        <v>209</v>
      </c>
    </row>
    <row r="8" spans="1:15" ht="15" thickBot="1">
      <c r="B8" s="9"/>
      <c r="C8" s="9"/>
    </row>
    <row r="9" spans="1:15" ht="15.75" thickBot="1">
      <c r="A9" s="1062" t="str">
        <f>'10+_SUB''s_2024'!A7</f>
        <v>Lapa</v>
      </c>
      <c r="B9" s="1063"/>
      <c r="C9" s="1064"/>
      <c r="E9" s="1065" t="str">
        <f>'10+_SUB''s_2024'!A8</f>
        <v>Penha</v>
      </c>
      <c r="F9" s="1063"/>
      <c r="G9" s="1064"/>
      <c r="I9" s="1065" t="str">
        <f>'10+_SUB''s_2024'!A9</f>
        <v>Sé</v>
      </c>
      <c r="J9" s="1063"/>
      <c r="K9" s="1064"/>
      <c r="M9" s="1065" t="str">
        <f>'10+_SUB''s_2024'!A10</f>
        <v>Santana/Tucuruvi</v>
      </c>
      <c r="N9" s="1063"/>
      <c r="O9" s="1064"/>
    </row>
    <row r="10" spans="1:15" ht="15.75" thickBot="1">
      <c r="A10" s="887" t="s">
        <v>2</v>
      </c>
      <c r="B10" s="897" t="s">
        <v>210</v>
      </c>
      <c r="C10" s="752" t="s">
        <v>211</v>
      </c>
      <c r="E10" s="748" t="s">
        <v>2</v>
      </c>
      <c r="F10" s="5" t="s">
        <v>210</v>
      </c>
      <c r="G10" s="747" t="s">
        <v>211</v>
      </c>
      <c r="I10" s="748" t="s">
        <v>2</v>
      </c>
      <c r="J10" s="5" t="s">
        <v>210</v>
      </c>
      <c r="K10" s="747" t="s">
        <v>211</v>
      </c>
      <c r="M10" s="748" t="s">
        <v>2</v>
      </c>
      <c r="N10" s="5" t="s">
        <v>210</v>
      </c>
      <c r="O10" s="752" t="s">
        <v>211</v>
      </c>
    </row>
    <row r="11" spans="1:15" ht="15">
      <c r="A11" s="898">
        <v>45292</v>
      </c>
      <c r="B11" s="343">
        <f>'10+_SUB''s_2024'!M7</f>
        <v>92</v>
      </c>
      <c r="C11" s="754">
        <f>((B11-43)/43)*100</f>
        <v>113.95348837209302</v>
      </c>
      <c r="E11" s="736">
        <v>45292</v>
      </c>
      <c r="F11" s="115">
        <f>'10+_SUB''s_2024'!M8</f>
        <v>99</v>
      </c>
      <c r="G11" s="737">
        <f>((F11-67)/67)*100</f>
        <v>47.761194029850742</v>
      </c>
      <c r="I11" s="736">
        <v>45292</v>
      </c>
      <c r="J11" s="115">
        <f>'10+_SUB''s_2024'!M9</f>
        <v>77</v>
      </c>
      <c r="K11" s="737">
        <f>((J11-54)/54)*100</f>
        <v>42.592592592592595</v>
      </c>
      <c r="M11" s="736">
        <v>45292</v>
      </c>
      <c r="N11" s="209">
        <f>'10+_SUB''s_2024'!M10</f>
        <v>57</v>
      </c>
      <c r="O11" s="754">
        <f>((N11-65)/65)*100</f>
        <v>-12.307692307692308</v>
      </c>
    </row>
    <row r="12" spans="1:15" s="482" customFormat="1" ht="15">
      <c r="A12" s="926">
        <v>45323</v>
      </c>
      <c r="B12" s="927">
        <f>'10+_SUB''s_2024'!L7</f>
        <v>83</v>
      </c>
      <c r="C12" s="910">
        <f>((B12-51)/51)*100</f>
        <v>62.745098039215684</v>
      </c>
      <c r="E12" s="906">
        <v>45323</v>
      </c>
      <c r="F12" s="909">
        <f>'10+_SUB''s_2024'!L8</f>
        <v>70</v>
      </c>
      <c r="G12" s="910">
        <f t="shared" ref="G12:G17" si="0">((F12-F11)/F11)*100</f>
        <v>-29.292929292929294</v>
      </c>
      <c r="I12" s="906">
        <v>45323</v>
      </c>
      <c r="J12" s="909">
        <f>'10+_SUB''s_2024'!L9</f>
        <v>64</v>
      </c>
      <c r="K12" s="910">
        <f t="shared" ref="K12:K17" si="1">((J12-J11)/J11)*100</f>
        <v>-16.883116883116884</v>
      </c>
      <c r="M12" s="906">
        <v>45323</v>
      </c>
      <c r="N12" s="928">
        <f>'10+_SUB''s_2024'!L10</f>
        <v>62</v>
      </c>
      <c r="O12" s="910">
        <f t="shared" ref="O12:O17" si="2">((N12-N11)/N11)*100</f>
        <v>8.7719298245614024</v>
      </c>
    </row>
    <row r="13" spans="1:15" s="787" customFormat="1" ht="15">
      <c r="A13" s="967">
        <v>45352</v>
      </c>
      <c r="B13" s="968">
        <f>'10+_SUB''s_2024'!K7</f>
        <v>93</v>
      </c>
      <c r="C13" s="969">
        <f t="shared" ref="C13:C18" si="3">((B13-B12)/B12)*100</f>
        <v>12.048192771084338</v>
      </c>
      <c r="E13" s="970">
        <v>45352</v>
      </c>
      <c r="F13" s="971">
        <f>'10+_SUB''s_2024'!$K$8</f>
        <v>70</v>
      </c>
      <c r="G13" s="969">
        <f t="shared" si="0"/>
        <v>0</v>
      </c>
      <c r="I13" s="970">
        <v>45352</v>
      </c>
      <c r="J13" s="971">
        <f>'10+_SUB''s_2024'!$K$9</f>
        <v>85</v>
      </c>
      <c r="K13" s="969">
        <f t="shared" si="1"/>
        <v>32.8125</v>
      </c>
      <c r="M13" s="970">
        <v>45352</v>
      </c>
      <c r="N13" s="972">
        <f>'10+_SUB''s_2024'!$K$10</f>
        <v>66</v>
      </c>
      <c r="O13" s="969">
        <f t="shared" si="2"/>
        <v>6.4516129032258061</v>
      </c>
    </row>
    <row r="14" spans="1:15" s="482" customFormat="1" ht="15">
      <c r="A14" s="926">
        <v>45383</v>
      </c>
      <c r="B14" s="927">
        <f>'10+_SUB''s_2024'!J$7</f>
        <v>92</v>
      </c>
      <c r="C14" s="910">
        <f t="shared" si="3"/>
        <v>-1.0752688172043012</v>
      </c>
      <c r="E14" s="906">
        <v>45383</v>
      </c>
      <c r="F14" s="928">
        <f>'10+_SUB''s_2024'!J$8</f>
        <v>67</v>
      </c>
      <c r="G14" s="910">
        <f t="shared" si="0"/>
        <v>-4.2857142857142856</v>
      </c>
      <c r="I14" s="906">
        <v>45383</v>
      </c>
      <c r="J14" s="928">
        <f>'10+_SUB''s_2024'!J$9</f>
        <v>77</v>
      </c>
      <c r="K14" s="910">
        <f t="shared" si="1"/>
        <v>-9.4117647058823533</v>
      </c>
      <c r="M14" s="906">
        <v>45383</v>
      </c>
      <c r="N14" s="928">
        <f>'10+_SUB''s_2024'!J$10</f>
        <v>72</v>
      </c>
      <c r="O14" s="910">
        <f t="shared" si="2"/>
        <v>9.0909090909090917</v>
      </c>
    </row>
    <row r="15" spans="1:15" ht="15">
      <c r="A15" s="899">
        <v>45413</v>
      </c>
      <c r="B15" s="895">
        <f>'10+_SUB''s_2024'!I$7</f>
        <v>0</v>
      </c>
      <c r="C15" s="803">
        <f t="shared" si="3"/>
        <v>-100</v>
      </c>
      <c r="E15" s="738">
        <v>45413</v>
      </c>
      <c r="F15" s="813">
        <f>'10+_SUB''s_2024'!I$8</f>
        <v>0</v>
      </c>
      <c r="G15" s="803">
        <f t="shared" si="0"/>
        <v>-100</v>
      </c>
      <c r="I15" s="738">
        <v>45413</v>
      </c>
      <c r="J15" s="813">
        <f>'10+_SUB''s_2024'!I$9</f>
        <v>0</v>
      </c>
      <c r="K15" s="803">
        <f t="shared" si="1"/>
        <v>-100</v>
      </c>
      <c r="M15" s="738">
        <v>45413</v>
      </c>
      <c r="N15" s="813">
        <f>'10+_SUB''s_2024'!I$10</f>
        <v>0</v>
      </c>
      <c r="O15" s="803">
        <f t="shared" si="2"/>
        <v>-100</v>
      </c>
    </row>
    <row r="16" spans="1:15" ht="15">
      <c r="A16" s="899">
        <v>45444</v>
      </c>
      <c r="B16" s="895">
        <f>'10+_SUB''s_2024'!H$7</f>
        <v>0</v>
      </c>
      <c r="C16" s="803" t="e">
        <f t="shared" si="3"/>
        <v>#DIV/0!</v>
      </c>
      <c r="E16" s="738">
        <v>45444</v>
      </c>
      <c r="F16" s="813">
        <f>'10+_SUB''s_2024'!H$8</f>
        <v>0</v>
      </c>
      <c r="G16" s="803" t="e">
        <f t="shared" si="0"/>
        <v>#DIV/0!</v>
      </c>
      <c r="I16" s="738">
        <v>45444</v>
      </c>
      <c r="J16" s="813">
        <f>'10+_SUB''s_2024'!H$9</f>
        <v>0</v>
      </c>
      <c r="K16" s="803" t="e">
        <f t="shared" si="1"/>
        <v>#DIV/0!</v>
      </c>
      <c r="M16" s="738">
        <v>45444</v>
      </c>
      <c r="N16" s="813">
        <f>'10+_SUB''s_2024'!H$10</f>
        <v>0</v>
      </c>
      <c r="O16" s="803" t="e">
        <f t="shared" si="2"/>
        <v>#DIV/0!</v>
      </c>
    </row>
    <row r="17" spans="1:15" ht="15">
      <c r="A17" s="899">
        <v>45474</v>
      </c>
      <c r="B17" s="895">
        <f>'10+_SUB''s_2024'!G$7</f>
        <v>0</v>
      </c>
      <c r="C17" s="803" t="e">
        <f t="shared" si="3"/>
        <v>#DIV/0!</v>
      </c>
      <c r="E17" s="738">
        <v>45474</v>
      </c>
      <c r="F17" s="813">
        <f>'10+_SUB''s_2024'!G$8</f>
        <v>0</v>
      </c>
      <c r="G17" s="803" t="e">
        <f t="shared" si="0"/>
        <v>#DIV/0!</v>
      </c>
      <c r="I17" s="738">
        <v>45474</v>
      </c>
      <c r="J17" s="813">
        <f>'10+_SUB''s_2024'!G$9</f>
        <v>0</v>
      </c>
      <c r="K17" s="803" t="e">
        <f t="shared" si="1"/>
        <v>#DIV/0!</v>
      </c>
      <c r="M17" s="738">
        <v>45474</v>
      </c>
      <c r="N17" s="813">
        <f>'10+_SUB''s_2024'!G$10</f>
        <v>0</v>
      </c>
      <c r="O17" s="803" t="e">
        <f t="shared" si="2"/>
        <v>#DIV/0!</v>
      </c>
    </row>
    <row r="18" spans="1:15" ht="15">
      <c r="A18" s="899">
        <v>45505</v>
      </c>
      <c r="B18" s="895">
        <f>'10+_SUB''s_2024'!F$7</f>
        <v>0</v>
      </c>
      <c r="C18" s="803" t="e">
        <f t="shared" si="3"/>
        <v>#DIV/0!</v>
      </c>
      <c r="E18" s="738">
        <v>45505</v>
      </c>
      <c r="F18" s="813">
        <f>'10+_SUB''s_2024'!F$8</f>
        <v>0</v>
      </c>
      <c r="G18" s="803" t="e">
        <f t="shared" ref="G18" si="4">((F18-F17)/F17)*100</f>
        <v>#DIV/0!</v>
      </c>
      <c r="I18" s="738">
        <v>45505</v>
      </c>
      <c r="J18" s="813">
        <f>'10+_SUB''s_2024'!F$9</f>
        <v>0</v>
      </c>
      <c r="K18" s="803" t="e">
        <f t="shared" ref="K18" si="5">((J18-J17)/J17)*100</f>
        <v>#DIV/0!</v>
      </c>
      <c r="M18" s="738">
        <v>45505</v>
      </c>
      <c r="N18" s="813">
        <f>'10+_SUB''s_2024'!F$10</f>
        <v>0</v>
      </c>
      <c r="O18" s="803" t="e">
        <f>((N18-N17)/N17)*100</f>
        <v>#DIV/0!</v>
      </c>
    </row>
    <row r="19" spans="1:15" ht="15">
      <c r="A19" s="899">
        <v>45536</v>
      </c>
      <c r="B19" s="895">
        <f>'10+_SUB''s_2024'!E$7</f>
        <v>0</v>
      </c>
      <c r="C19" s="803" t="e">
        <f t="shared" ref="C19:C21" si="6">((B19-B18)/B18)*100</f>
        <v>#DIV/0!</v>
      </c>
      <c r="E19" s="738">
        <v>45536</v>
      </c>
      <c r="F19" s="813">
        <f>'10+_SUB''s_2024'!E$8</f>
        <v>0</v>
      </c>
      <c r="G19" s="803" t="e">
        <f t="shared" ref="G19:G20" si="7">((F19-F18)/F18)*100</f>
        <v>#DIV/0!</v>
      </c>
      <c r="I19" s="738">
        <v>45536</v>
      </c>
      <c r="J19" s="813">
        <f>'10+_SUB''s_2024'!E$9</f>
        <v>0</v>
      </c>
      <c r="K19" s="803" t="e">
        <f t="shared" ref="K19:K21" si="8">((J19-J18)/J18)*100</f>
        <v>#DIV/0!</v>
      </c>
      <c r="M19" s="738">
        <v>45536</v>
      </c>
      <c r="N19" s="813">
        <f>'10+_SUB''s_2024'!E$10</f>
        <v>0</v>
      </c>
      <c r="O19" s="803" t="e">
        <f>((N19-N18)/N18)*100</f>
        <v>#DIV/0!</v>
      </c>
    </row>
    <row r="20" spans="1:15" ht="15">
      <c r="A20" s="899">
        <v>45566</v>
      </c>
      <c r="B20" s="895">
        <f>'10+_SUB''s_2024'!D$7</f>
        <v>0</v>
      </c>
      <c r="C20" s="803" t="e">
        <f t="shared" si="6"/>
        <v>#DIV/0!</v>
      </c>
      <c r="E20" s="738">
        <v>45566</v>
      </c>
      <c r="F20" s="813">
        <f>'10+_SUB''s_2024'!D$8</f>
        <v>0</v>
      </c>
      <c r="G20" s="803" t="e">
        <f t="shared" si="7"/>
        <v>#DIV/0!</v>
      </c>
      <c r="I20" s="738">
        <v>45566</v>
      </c>
      <c r="J20" s="813">
        <f>'10+_SUB''s_2024'!D$9</f>
        <v>0</v>
      </c>
      <c r="K20" s="803" t="e">
        <f t="shared" si="8"/>
        <v>#DIV/0!</v>
      </c>
      <c r="M20" s="738">
        <v>45566</v>
      </c>
      <c r="N20" s="813">
        <f>'10+_SUB''s_2024'!D$10</f>
        <v>0</v>
      </c>
      <c r="O20" s="803" t="e">
        <f>((N20-N19)/N19)*100</f>
        <v>#DIV/0!</v>
      </c>
    </row>
    <row r="21" spans="1:15" ht="15">
      <c r="A21" s="899">
        <v>45597</v>
      </c>
      <c r="B21" s="895">
        <f>'10+_SUB''s_2024'!C$7</f>
        <v>0</v>
      </c>
      <c r="C21" s="803" t="e">
        <f t="shared" si="6"/>
        <v>#DIV/0!</v>
      </c>
      <c r="E21" s="738">
        <v>45597</v>
      </c>
      <c r="F21" s="813">
        <f>'10+_SUB''s_2024'!C$8</f>
        <v>0</v>
      </c>
      <c r="G21" s="803" t="e">
        <f>((F21-F20)/F20)*100</f>
        <v>#DIV/0!</v>
      </c>
      <c r="I21" s="738">
        <v>45597</v>
      </c>
      <c r="J21" s="813">
        <f>'10+_SUB''s_2024'!C$9</f>
        <v>0</v>
      </c>
      <c r="K21" s="803" t="e">
        <f t="shared" si="8"/>
        <v>#DIV/0!</v>
      </c>
      <c r="M21" s="738">
        <v>45597</v>
      </c>
      <c r="N21" s="813">
        <f>'10+_SUB''s_2024'!C$10</f>
        <v>0</v>
      </c>
      <c r="O21" s="803" t="e">
        <f>((N21-N20)/N20)*100</f>
        <v>#DIV/0!</v>
      </c>
    </row>
    <row r="22" spans="1:15" ht="15.75" thickBot="1">
      <c r="A22" s="900">
        <v>45627</v>
      </c>
      <c r="B22" s="896">
        <f>'10+_SUB''s_2024'!B$7</f>
        <v>0</v>
      </c>
      <c r="C22" s="805" t="e">
        <f t="shared" ref="C22" si="9">((B22-B21)/B21)*100</f>
        <v>#DIV/0!</v>
      </c>
      <c r="E22" s="739">
        <v>45627</v>
      </c>
      <c r="F22" s="814">
        <f>'10+_SUB''s_2024'!B$8</f>
        <v>0</v>
      </c>
      <c r="G22" s="805" t="e">
        <f>((F22-F21)/F21)*100</f>
        <v>#DIV/0!</v>
      </c>
      <c r="I22" s="739">
        <v>45627</v>
      </c>
      <c r="J22" s="814">
        <f>'10+_SUB''s_2024'!B$9</f>
        <v>0</v>
      </c>
      <c r="K22" s="805" t="e">
        <f t="shared" ref="K22" si="10">((J22-J21)/J21)*100</f>
        <v>#DIV/0!</v>
      </c>
      <c r="M22" s="739">
        <v>45627</v>
      </c>
      <c r="N22" s="814">
        <f>'10+_SUB''s_2024'!B$10</f>
        <v>0</v>
      </c>
      <c r="O22" s="805" t="e">
        <f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1066" t="str">
        <f>'10+_SUB''s_2024'!A11</f>
        <v>Vila Mariana</v>
      </c>
      <c r="B25" s="1067"/>
      <c r="C25" s="1068"/>
      <c r="E25" s="1065" t="str">
        <f>'10+_SUB''s_2024'!A12</f>
        <v>Mooca</v>
      </c>
      <c r="F25" s="1063"/>
      <c r="G25" s="1064"/>
      <c r="I25" s="1065" t="str">
        <f>'10+_SUB''s_2024'!A13</f>
        <v>Butantã</v>
      </c>
      <c r="J25" s="1063"/>
      <c r="K25" s="1064"/>
      <c r="M25" s="1065" t="str">
        <f>'10+_SUB''s_2024'!A14</f>
        <v>Itaquera</v>
      </c>
      <c r="N25" s="1063"/>
      <c r="O25" s="1069"/>
    </row>
    <row r="26" spans="1:15" ht="15.75" thickBot="1">
      <c r="A26" s="733" t="s">
        <v>2</v>
      </c>
      <c r="B26" s="744" t="s">
        <v>210</v>
      </c>
      <c r="C26" s="760" t="s">
        <v>211</v>
      </c>
      <c r="E26" s="748" t="s">
        <v>2</v>
      </c>
      <c r="F26" s="5" t="s">
        <v>210</v>
      </c>
      <c r="G26" s="752" t="s">
        <v>211</v>
      </c>
      <c r="I26" s="746" t="s">
        <v>2</v>
      </c>
      <c r="J26" s="5" t="s">
        <v>210</v>
      </c>
      <c r="K26" s="747" t="s">
        <v>211</v>
      </c>
      <c r="M26" s="746" t="s">
        <v>2</v>
      </c>
      <c r="N26" s="901" t="s">
        <v>210</v>
      </c>
      <c r="O26" s="887" t="s">
        <v>211</v>
      </c>
    </row>
    <row r="27" spans="1:15" ht="15">
      <c r="A27" s="736">
        <v>45292</v>
      </c>
      <c r="B27" s="115">
        <f>'10+_SUB''s_2024'!M11</f>
        <v>64</v>
      </c>
      <c r="C27" s="737">
        <f>((B27-54)/54)*100</f>
        <v>18.518518518518519</v>
      </c>
      <c r="E27" s="736">
        <v>45292</v>
      </c>
      <c r="F27" s="209">
        <f>'10+_SUB''s_2024'!M12</f>
        <v>62</v>
      </c>
      <c r="G27" s="524">
        <f>((F27-39)/39)*100</f>
        <v>58.974358974358978</v>
      </c>
      <c r="I27" s="736">
        <v>45292</v>
      </c>
      <c r="J27" s="115">
        <f>'10+_SUB''s_2024'!M13</f>
        <v>48</v>
      </c>
      <c r="K27" s="737">
        <f>((J27-38)/38)*100</f>
        <v>26.315789473684209</v>
      </c>
      <c r="M27" s="736">
        <v>45292</v>
      </c>
      <c r="N27" s="115">
        <f>'10+_SUB''s_2024'!M14</f>
        <v>48</v>
      </c>
      <c r="O27" s="902">
        <f>((N27-38)/38)*100</f>
        <v>26.315789473684209</v>
      </c>
    </row>
    <row r="28" spans="1:15" s="482" customFormat="1" ht="15">
      <c r="A28" s="906">
        <v>45323</v>
      </c>
      <c r="B28" s="909">
        <f>'10+_SUB''s_2024'!L11</f>
        <v>58</v>
      </c>
      <c r="C28" s="910">
        <f t="shared" ref="C28:C33" si="11">((B28-B27)/B27)*100</f>
        <v>-9.375</v>
      </c>
      <c r="E28" s="906">
        <v>45323</v>
      </c>
      <c r="F28" s="928">
        <f>'10+_SUB''s_2024'!L12</f>
        <v>76</v>
      </c>
      <c r="G28" s="929">
        <f t="shared" ref="G28:G33" si="12">((F28-F27)/F27)*100</f>
        <v>22.58064516129032</v>
      </c>
      <c r="I28" s="906">
        <v>45323</v>
      </c>
      <c r="J28" s="909">
        <f>'10+_SUB''s_2024'!L13</f>
        <v>48</v>
      </c>
      <c r="K28" s="910">
        <f t="shared" ref="K28:K33" si="13">((J28-J27)/J27)*100</f>
        <v>0</v>
      </c>
      <c r="M28" s="906">
        <v>45323</v>
      </c>
      <c r="N28" s="909">
        <f>'10+_SUB''s_2024'!L14</f>
        <v>44</v>
      </c>
      <c r="O28" s="910">
        <f t="shared" ref="O28:O33" si="14">((N28-N27)/N27)*100</f>
        <v>-8.3333333333333321</v>
      </c>
    </row>
    <row r="29" spans="1:15" s="787" customFormat="1" ht="15">
      <c r="A29" s="970">
        <v>45352</v>
      </c>
      <c r="B29" s="971">
        <f>'10+_SUB''s_2024'!$K$11</f>
        <v>63</v>
      </c>
      <c r="C29" s="969">
        <f t="shared" si="11"/>
        <v>8.6206896551724146</v>
      </c>
      <c r="E29" s="970">
        <v>45352</v>
      </c>
      <c r="F29" s="972">
        <f>'10+_SUB''s_2024'!$K$12</f>
        <v>47</v>
      </c>
      <c r="G29" s="973">
        <f t="shared" si="12"/>
        <v>-38.15789473684211</v>
      </c>
      <c r="I29" s="970">
        <v>45352</v>
      </c>
      <c r="J29" s="971">
        <f>'10+_SUB''s_2024'!$K$13</f>
        <v>66</v>
      </c>
      <c r="K29" s="969">
        <f t="shared" si="13"/>
        <v>37.5</v>
      </c>
      <c r="M29" s="970">
        <v>45352</v>
      </c>
      <c r="N29" s="971">
        <f>'10+_SUB''s_2024'!$K$14</f>
        <v>50</v>
      </c>
      <c r="O29" s="969">
        <f t="shared" si="14"/>
        <v>13.636363636363635</v>
      </c>
    </row>
    <row r="30" spans="1:15" s="482" customFormat="1" ht="15">
      <c r="A30" s="906">
        <v>45383</v>
      </c>
      <c r="B30" s="928">
        <f>'10+_SUB''s_2024'!J$11</f>
        <v>57</v>
      </c>
      <c r="C30" s="910">
        <f t="shared" si="11"/>
        <v>-9.5238095238095237</v>
      </c>
      <c r="E30" s="906">
        <v>45383</v>
      </c>
      <c r="F30" s="928">
        <f>'10+_SUB''s_2024'!J$12</f>
        <v>52</v>
      </c>
      <c r="G30" s="929">
        <f t="shared" si="12"/>
        <v>10.638297872340425</v>
      </c>
      <c r="I30" s="906">
        <v>45383</v>
      </c>
      <c r="J30" s="928">
        <f>'10+_SUB''s_2024'!J$13</f>
        <v>55</v>
      </c>
      <c r="K30" s="910">
        <f t="shared" si="13"/>
        <v>-16.666666666666664</v>
      </c>
      <c r="M30" s="906">
        <v>45383</v>
      </c>
      <c r="N30" s="928">
        <f>'10+_SUB''s_2024'!J$14</f>
        <v>70</v>
      </c>
      <c r="O30" s="910">
        <f t="shared" si="14"/>
        <v>40</v>
      </c>
    </row>
    <row r="31" spans="1:15" ht="15">
      <c r="A31" s="738">
        <v>45413</v>
      </c>
      <c r="B31" s="813">
        <f>'10+_SUB''s_2024'!I$11</f>
        <v>0</v>
      </c>
      <c r="C31" s="803">
        <f t="shared" si="11"/>
        <v>-100</v>
      </c>
      <c r="E31" s="738">
        <v>45413</v>
      </c>
      <c r="F31" s="813">
        <f>'10+_SUB''s_2024'!I$12</f>
        <v>0</v>
      </c>
      <c r="G31" s="815">
        <f t="shared" si="12"/>
        <v>-100</v>
      </c>
      <c r="I31" s="738">
        <v>45413</v>
      </c>
      <c r="J31" s="813">
        <f>'10+_SUB''s_2024'!I$13</f>
        <v>0</v>
      </c>
      <c r="K31" s="803">
        <f t="shared" si="13"/>
        <v>-100</v>
      </c>
      <c r="M31" s="738">
        <v>45413</v>
      </c>
      <c r="N31" s="813">
        <f>'10+_SUB''s_2024'!I$14</f>
        <v>0</v>
      </c>
      <c r="O31" s="803">
        <f t="shared" si="14"/>
        <v>-100</v>
      </c>
    </row>
    <row r="32" spans="1:15" ht="15">
      <c r="A32" s="738">
        <v>45444</v>
      </c>
      <c r="B32" s="813">
        <f>'10+_SUB''s_2024'!H$11</f>
        <v>0</v>
      </c>
      <c r="C32" s="803" t="e">
        <f t="shared" si="11"/>
        <v>#DIV/0!</v>
      </c>
      <c r="E32" s="738">
        <v>45444</v>
      </c>
      <c r="F32" s="813">
        <f>'10+_SUB''s_2024'!H$12</f>
        <v>0</v>
      </c>
      <c r="G32" s="815" t="e">
        <f t="shared" si="12"/>
        <v>#DIV/0!</v>
      </c>
      <c r="I32" s="738">
        <v>45444</v>
      </c>
      <c r="J32" s="813">
        <f>'10+_SUB''s_2024'!H$13</f>
        <v>0</v>
      </c>
      <c r="K32" s="803" t="e">
        <f t="shared" si="13"/>
        <v>#DIV/0!</v>
      </c>
      <c r="M32" s="738">
        <v>45444</v>
      </c>
      <c r="N32" s="813">
        <f>'10+_SUB''s_2024'!H$14</f>
        <v>0</v>
      </c>
      <c r="O32" s="803" t="e">
        <f t="shared" si="14"/>
        <v>#DIV/0!</v>
      </c>
    </row>
    <row r="33" spans="1:15" ht="15">
      <c r="A33" s="738">
        <v>45474</v>
      </c>
      <c r="B33" s="813">
        <f>'10+_SUB''s_2024'!G$11</f>
        <v>0</v>
      </c>
      <c r="C33" s="803" t="e">
        <f t="shared" si="11"/>
        <v>#DIV/0!</v>
      </c>
      <c r="E33" s="738">
        <v>45474</v>
      </c>
      <c r="F33" s="813">
        <f>'10+_SUB''s_2024'!G$12</f>
        <v>0</v>
      </c>
      <c r="G33" s="815" t="e">
        <f t="shared" si="12"/>
        <v>#DIV/0!</v>
      </c>
      <c r="I33" s="738">
        <v>45474</v>
      </c>
      <c r="J33" s="813">
        <f>'10+_SUB''s_2024'!G$13</f>
        <v>0</v>
      </c>
      <c r="K33" s="803" t="e">
        <f t="shared" si="13"/>
        <v>#DIV/0!</v>
      </c>
      <c r="M33" s="738">
        <v>45474</v>
      </c>
      <c r="N33" s="813">
        <f>'10+_SUB''s_2024'!G$14</f>
        <v>0</v>
      </c>
      <c r="O33" s="803" t="e">
        <f t="shared" si="14"/>
        <v>#DIV/0!</v>
      </c>
    </row>
    <row r="34" spans="1:15" ht="15">
      <c r="A34" s="738">
        <v>45505</v>
      </c>
      <c r="B34" s="813">
        <f>'10+_SUB''s_2024'!F$11</f>
        <v>0</v>
      </c>
      <c r="C34" s="803" t="e">
        <f t="shared" ref="C34" si="15">((B34-B33)/B33)*100</f>
        <v>#DIV/0!</v>
      </c>
      <c r="E34" s="738">
        <v>45505</v>
      </c>
      <c r="F34" s="813">
        <f>'10+_SUB''s_2024'!F$12</f>
        <v>0</v>
      </c>
      <c r="G34" s="815" t="e">
        <f t="shared" ref="G34" si="16">((F34-F33)/F33)*100</f>
        <v>#DIV/0!</v>
      </c>
      <c r="I34" s="738">
        <v>45505</v>
      </c>
      <c r="J34" s="813">
        <f>'10+_SUB''s_2024'!F$13</f>
        <v>0</v>
      </c>
      <c r="K34" s="803" t="e">
        <f t="shared" ref="K34" si="17">((J34-J33)/J33)*100</f>
        <v>#DIV/0!</v>
      </c>
      <c r="M34" s="738">
        <v>45505</v>
      </c>
      <c r="N34" s="813">
        <f>'10+_SUB''s_2024'!F$14</f>
        <v>0</v>
      </c>
      <c r="O34" s="803" t="e">
        <f t="shared" ref="O34" si="18">((N34-N33)/N33)*100</f>
        <v>#DIV/0!</v>
      </c>
    </row>
    <row r="35" spans="1:15" ht="15">
      <c r="A35" s="738">
        <v>45536</v>
      </c>
      <c r="B35" s="813">
        <f>'10+_SUB''s_2024'!E$11</f>
        <v>0</v>
      </c>
      <c r="C35" s="803" t="e">
        <f t="shared" ref="C35:C37" si="19">((B35-B34)/B34)*100</f>
        <v>#DIV/0!</v>
      </c>
      <c r="E35" s="738">
        <v>45536</v>
      </c>
      <c r="F35" s="813">
        <f>'10+_SUB''s_2024'!E$12</f>
        <v>0</v>
      </c>
      <c r="G35" s="815" t="e">
        <f t="shared" ref="G35:G37" si="20">((F35-F34)/F34)*100</f>
        <v>#DIV/0!</v>
      </c>
      <c r="I35" s="738">
        <v>45536</v>
      </c>
      <c r="J35" s="813">
        <f>'10+_SUB''s_2024'!E$13</f>
        <v>0</v>
      </c>
      <c r="K35" s="803" t="e">
        <f t="shared" ref="K35:K37" si="21">((J35-J34)/J34)*100</f>
        <v>#DIV/0!</v>
      </c>
      <c r="M35" s="738">
        <v>45536</v>
      </c>
      <c r="N35" s="813">
        <f>'10+_SUB''s_2024'!E$14</f>
        <v>0</v>
      </c>
      <c r="O35" s="803" t="e">
        <f t="shared" ref="O35:O37" si="22">((N35-N34)/N34)*100</f>
        <v>#DIV/0!</v>
      </c>
    </row>
    <row r="36" spans="1:15" ht="15">
      <c r="A36" s="738">
        <v>45566</v>
      </c>
      <c r="B36" s="813">
        <f>'10+_SUB''s_2024'!D$11</f>
        <v>0</v>
      </c>
      <c r="C36" s="803" t="e">
        <f t="shared" si="19"/>
        <v>#DIV/0!</v>
      </c>
      <c r="E36" s="738">
        <v>45566</v>
      </c>
      <c r="F36" s="813">
        <f>'10+_SUB''s_2024'!D$12</f>
        <v>0</v>
      </c>
      <c r="G36" s="815" t="e">
        <f t="shared" si="20"/>
        <v>#DIV/0!</v>
      </c>
      <c r="I36" s="738">
        <v>45566</v>
      </c>
      <c r="J36" s="813">
        <f>'10+_SUB''s_2024'!D$13</f>
        <v>0</v>
      </c>
      <c r="K36" s="803" t="e">
        <f t="shared" si="21"/>
        <v>#DIV/0!</v>
      </c>
      <c r="M36" s="738">
        <v>45566</v>
      </c>
      <c r="N36" s="813">
        <f>'10+_SUB''s_2024'!D$14</f>
        <v>0</v>
      </c>
      <c r="O36" s="803" t="e">
        <f t="shared" si="22"/>
        <v>#DIV/0!</v>
      </c>
    </row>
    <row r="37" spans="1:15" ht="15">
      <c r="A37" s="738">
        <v>45597</v>
      </c>
      <c r="B37" s="813">
        <f>'10+_SUB''s_2024'!C$11</f>
        <v>0</v>
      </c>
      <c r="C37" s="803" t="e">
        <f t="shared" si="19"/>
        <v>#DIV/0!</v>
      </c>
      <c r="E37" s="738">
        <v>45597</v>
      </c>
      <c r="F37" s="813">
        <f>'10+_SUB''s_2024'!C$12</f>
        <v>0</v>
      </c>
      <c r="G37" s="815" t="e">
        <f t="shared" si="20"/>
        <v>#DIV/0!</v>
      </c>
      <c r="I37" s="738">
        <v>45597</v>
      </c>
      <c r="J37" s="813">
        <f>'10+_SUB''s_2024'!C$13</f>
        <v>0</v>
      </c>
      <c r="K37" s="803" t="e">
        <f t="shared" si="21"/>
        <v>#DIV/0!</v>
      </c>
      <c r="M37" s="738">
        <v>45597</v>
      </c>
      <c r="N37" s="813">
        <f>'10+_SUB''s_2024'!C$14</f>
        <v>0</v>
      </c>
      <c r="O37" s="803" t="e">
        <f t="shared" si="22"/>
        <v>#DIV/0!</v>
      </c>
    </row>
    <row r="38" spans="1:15" ht="15.75" thickBot="1">
      <c r="A38" s="739">
        <v>45627</v>
      </c>
      <c r="B38" s="814">
        <f>'10+_SUB''s_2024'!B$11</f>
        <v>0</v>
      </c>
      <c r="C38" s="805" t="e">
        <f t="shared" ref="C38" si="23">((B38-B37)/B37)*100</f>
        <v>#DIV/0!</v>
      </c>
      <c r="E38" s="739">
        <v>45627</v>
      </c>
      <c r="F38" s="814">
        <f>'10+_SUB''s_2024'!B$12</f>
        <v>0</v>
      </c>
      <c r="G38" s="816" t="e">
        <f t="shared" ref="G38" si="24">((F38-F37)/F37)*100</f>
        <v>#DIV/0!</v>
      </c>
      <c r="I38" s="739">
        <v>45627</v>
      </c>
      <c r="J38" s="814">
        <f>'10+_SUB''s_2024'!B$13</f>
        <v>0</v>
      </c>
      <c r="K38" s="805" t="e">
        <f t="shared" ref="K38" si="25">((J38-J37)/J37)*100</f>
        <v>#DIV/0!</v>
      </c>
      <c r="M38" s="739">
        <v>45627</v>
      </c>
      <c r="N38" s="814">
        <f>'10+_SUB''s_2024'!B$14</f>
        <v>0</v>
      </c>
      <c r="O38" s="805" t="e">
        <f t="shared" ref="O38" si="26">((N38-N37)/N37)*100</f>
        <v>#DIV/0!</v>
      </c>
    </row>
    <row r="40" spans="1:15" ht="15" thickBot="1"/>
    <row r="41" spans="1:15" ht="15.75" thickBot="1">
      <c r="A41" s="1065" t="str">
        <f>'10+_SUB''s_2024'!A15</f>
        <v>Santo Amaro</v>
      </c>
      <c r="B41" s="1063"/>
      <c r="C41" s="1064"/>
      <c r="E41" s="1065" t="str">
        <f>'10+_SUB''s_2024'!A16</f>
        <v>Ipiranga</v>
      </c>
      <c r="F41" s="1063"/>
      <c r="G41" s="1064"/>
    </row>
    <row r="42" spans="1:15" ht="15.75" thickBot="1">
      <c r="A42" s="748" t="s">
        <v>2</v>
      </c>
      <c r="B42" s="5" t="s">
        <v>210</v>
      </c>
      <c r="C42" s="747" t="s">
        <v>211</v>
      </c>
      <c r="E42" s="748" t="s">
        <v>2</v>
      </c>
      <c r="F42" s="5" t="s">
        <v>210</v>
      </c>
      <c r="G42" s="747" t="s">
        <v>211</v>
      </c>
    </row>
    <row r="43" spans="1:15" ht="15">
      <c r="A43" s="736">
        <v>45292</v>
      </c>
      <c r="B43" s="115">
        <f>'10+_SUB''s_2024'!M15</f>
        <v>57</v>
      </c>
      <c r="C43" s="737">
        <f>((B43-26)/26)*100</f>
        <v>119.23076923076923</v>
      </c>
      <c r="E43" s="736">
        <v>45292</v>
      </c>
      <c r="F43" s="210">
        <f>'10+_SUB''s_2024'!M16</f>
        <v>45</v>
      </c>
      <c r="G43" s="737">
        <f>((F43-30)/30)*100</f>
        <v>50</v>
      </c>
    </row>
    <row r="44" spans="1:15" s="482" customFormat="1" ht="15">
      <c r="A44" s="906">
        <v>45323</v>
      </c>
      <c r="B44" s="909">
        <f>'10+_SUB''s_2024'!L15</f>
        <v>57</v>
      </c>
      <c r="C44" s="910">
        <f t="shared" ref="C44:C49" si="27">((B44-B43)/B43)*100</f>
        <v>0</v>
      </c>
      <c r="E44" s="906">
        <v>45323</v>
      </c>
      <c r="F44" s="930">
        <f>'10+_SUB''s_2024'!L16</f>
        <v>48</v>
      </c>
      <c r="G44" s="910">
        <f t="shared" ref="G44:G49" si="28">((F44-F43)/F43)*100</f>
        <v>6.666666666666667</v>
      </c>
    </row>
    <row r="45" spans="1:15" s="787" customFormat="1" ht="15">
      <c r="A45" s="970">
        <v>45352</v>
      </c>
      <c r="B45" s="971">
        <f>'10+_SUB''s_2024'!$K$15</f>
        <v>59</v>
      </c>
      <c r="C45" s="969">
        <f t="shared" si="27"/>
        <v>3.5087719298245612</v>
      </c>
      <c r="E45" s="970">
        <v>45352</v>
      </c>
      <c r="F45" s="974">
        <f>'10+_SUB''s_2024'!$K$16</f>
        <v>64</v>
      </c>
      <c r="G45" s="969">
        <f t="shared" si="28"/>
        <v>33.333333333333329</v>
      </c>
    </row>
    <row r="46" spans="1:15" s="482" customFormat="1" ht="15">
      <c r="A46" s="906">
        <v>45383</v>
      </c>
      <c r="B46" s="909">
        <f>'10+_SUB''s_2024'!J$15</f>
        <v>31</v>
      </c>
      <c r="C46" s="910">
        <f t="shared" si="27"/>
        <v>-47.457627118644069</v>
      </c>
      <c r="E46" s="906">
        <v>45383</v>
      </c>
      <c r="F46" s="928">
        <f>'10+_SUB''s_2024'!J$16</f>
        <v>42</v>
      </c>
      <c r="G46" s="910">
        <f t="shared" si="28"/>
        <v>-34.375</v>
      </c>
    </row>
    <row r="47" spans="1:15" ht="15">
      <c r="A47" s="738">
        <v>45413</v>
      </c>
      <c r="B47" s="802">
        <f>'10+_SUB''s_2024'!I$15</f>
        <v>0</v>
      </c>
      <c r="C47" s="803">
        <f t="shared" si="27"/>
        <v>-100</v>
      </c>
      <c r="E47" s="738">
        <v>45413</v>
      </c>
      <c r="F47" s="813">
        <f>'10+_SUB''s_2024'!I$16</f>
        <v>0</v>
      </c>
      <c r="G47" s="803">
        <f t="shared" si="28"/>
        <v>-100</v>
      </c>
    </row>
    <row r="48" spans="1:15" ht="15">
      <c r="A48" s="738">
        <v>45444</v>
      </c>
      <c r="B48" s="802">
        <f>'10+_SUB''s_2024'!H$15</f>
        <v>0</v>
      </c>
      <c r="C48" s="803" t="e">
        <f t="shared" si="27"/>
        <v>#DIV/0!</v>
      </c>
      <c r="E48" s="738">
        <v>45444</v>
      </c>
      <c r="F48" s="813">
        <f>'10+_SUB''s_2024'!H$16</f>
        <v>0</v>
      </c>
      <c r="G48" s="803" t="e">
        <f t="shared" si="28"/>
        <v>#DIV/0!</v>
      </c>
    </row>
    <row r="49" spans="1:11" ht="15">
      <c r="A49" s="738">
        <v>45474</v>
      </c>
      <c r="B49" s="802">
        <f>'10+_SUB''s_2024'!G$15</f>
        <v>0</v>
      </c>
      <c r="C49" s="803" t="e">
        <f t="shared" si="27"/>
        <v>#DIV/0!</v>
      </c>
      <c r="E49" s="738">
        <v>45474</v>
      </c>
      <c r="F49" s="813">
        <f>'10+_SUB''s_2024'!G$16</f>
        <v>0</v>
      </c>
      <c r="G49" s="803" t="e">
        <f t="shared" si="28"/>
        <v>#DIV/0!</v>
      </c>
    </row>
    <row r="50" spans="1:11" ht="15">
      <c r="A50" s="738">
        <v>45505</v>
      </c>
      <c r="B50" s="802">
        <f>'10+_SUB''s_2024'!F$15</f>
        <v>0</v>
      </c>
      <c r="C50" s="803" t="e">
        <f t="shared" ref="C50" si="29">((B50-B49)/B49)*100</f>
        <v>#DIV/0!</v>
      </c>
      <c r="E50" s="738">
        <v>45505</v>
      </c>
      <c r="F50" s="813">
        <f>'10+_SUB''s_2024'!F$16</f>
        <v>0</v>
      </c>
      <c r="G50" s="803" t="e">
        <f t="shared" ref="G50" si="30">((F50-F49)/F49)*100</f>
        <v>#DIV/0!</v>
      </c>
    </row>
    <row r="51" spans="1:11" ht="15">
      <c r="A51" s="738">
        <v>45536</v>
      </c>
      <c r="B51" s="802">
        <f>'10+_SUB''s_2024'!E$15</f>
        <v>0</v>
      </c>
      <c r="C51" s="803" t="e">
        <f t="shared" ref="C51:C53" si="31">((B51-B50)/B50)*100</f>
        <v>#DIV/0!</v>
      </c>
      <c r="E51" s="738">
        <v>45536</v>
      </c>
      <c r="F51" s="813">
        <f>'10+_SUB''s_2024'!E$16</f>
        <v>0</v>
      </c>
      <c r="G51" s="803" t="e">
        <f t="shared" ref="G51:G53" si="32">((F51-F50)/F50)*100</f>
        <v>#DIV/0!</v>
      </c>
    </row>
    <row r="52" spans="1:11" ht="15">
      <c r="A52" s="738">
        <v>45566</v>
      </c>
      <c r="B52" s="802">
        <f>'10+_SUB''s_2024'!D$15</f>
        <v>0</v>
      </c>
      <c r="C52" s="803" t="e">
        <f t="shared" si="31"/>
        <v>#DIV/0!</v>
      </c>
      <c r="E52" s="738">
        <v>45566</v>
      </c>
      <c r="F52" s="813">
        <f>'10+_SUB''s_2024'!D$16</f>
        <v>0</v>
      </c>
      <c r="G52" s="803" t="e">
        <f t="shared" si="32"/>
        <v>#DIV/0!</v>
      </c>
    </row>
    <row r="53" spans="1:11" ht="15">
      <c r="A53" s="738">
        <v>45597</v>
      </c>
      <c r="B53" s="802">
        <f>'10+_SUB''s_2024'!C$15</f>
        <v>0</v>
      </c>
      <c r="C53" s="803" t="e">
        <f t="shared" si="31"/>
        <v>#DIV/0!</v>
      </c>
      <c r="E53" s="738">
        <v>45597</v>
      </c>
      <c r="F53" s="813">
        <f>'10+_SUB''s_2024'!C$16</f>
        <v>0</v>
      </c>
      <c r="G53" s="803" t="e">
        <f t="shared" si="32"/>
        <v>#DIV/0!</v>
      </c>
    </row>
    <row r="54" spans="1:11" ht="15.75" thickBot="1">
      <c r="A54" s="739">
        <v>45627</v>
      </c>
      <c r="B54" s="804">
        <f>'10+_SUB''s_2024'!B$15</f>
        <v>0</v>
      </c>
      <c r="C54" s="805" t="e">
        <f t="shared" ref="C54" si="33">((B54-B53)/B53)*100</f>
        <v>#DIV/0!</v>
      </c>
      <c r="E54" s="739">
        <v>45627</v>
      </c>
      <c r="F54" s="814">
        <f>'10+_SUB''s_2024'!B$16</f>
        <v>0</v>
      </c>
      <c r="G54" s="805" t="e">
        <f t="shared" ref="G54" si="34">((F54-F53)/F53)*100</f>
        <v>#DIV/0!</v>
      </c>
    </row>
    <row r="56" spans="1:11">
      <c r="B56" s="9"/>
      <c r="C56" s="9"/>
    </row>
    <row r="57" spans="1:11" ht="15">
      <c r="A57" s="1046"/>
      <c r="B57" s="1046"/>
      <c r="C57" s="1046"/>
      <c r="D57" s="1046"/>
      <c r="F57" s="1046"/>
      <c r="G57" s="1046"/>
      <c r="H57" s="1046"/>
      <c r="I57" s="1046"/>
      <c r="J57" s="1046"/>
      <c r="K57" s="211"/>
    </row>
    <row r="58" spans="1:11">
      <c r="A58" s="211"/>
      <c r="B58" s="9"/>
      <c r="C58" s="9"/>
    </row>
    <row r="59" spans="1:11" ht="15">
      <c r="B59" s="9"/>
      <c r="C59" s="9"/>
      <c r="F59" s="1046"/>
      <c r="G59" s="1046"/>
      <c r="H59" s="1046"/>
      <c r="I59" s="1046"/>
      <c r="J59" s="1046"/>
      <c r="K59" s="1046"/>
    </row>
    <row r="60" spans="1:11">
      <c r="B60" s="9"/>
      <c r="C60" s="9"/>
    </row>
    <row r="61" spans="1:11" ht="15">
      <c r="A61" s="1046"/>
      <c r="B61" s="1046"/>
      <c r="C61" s="1046"/>
      <c r="D61" s="1046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Normal="100" workbookViewId="0">
      <selection activeCell="B17" sqref="B17"/>
    </sheetView>
  </sheetViews>
  <sheetFormatPr defaultColWidth="5.5703125" defaultRowHeight="14.25"/>
  <cols>
    <col min="1" max="1" width="58.28515625" style="9" customWidth="1"/>
    <col min="2" max="2" width="8.140625" style="107" customWidth="1"/>
    <col min="3" max="16" width="9.140625" style="9" customWidth="1"/>
    <col min="17" max="21" width="9.140625" style="94" customWidth="1"/>
    <col min="22" max="22" width="12" style="94" customWidth="1"/>
    <col min="23" max="23" width="9.140625" style="94" customWidth="1"/>
    <col min="24" max="24" width="12.85546875" style="94" customWidth="1"/>
    <col min="25" max="25" width="20.28515625" style="94" bestFit="1" customWidth="1"/>
    <col min="26" max="26" width="24.28515625" style="94" hidden="1" customWidth="1"/>
    <col min="27" max="27" width="9.140625" style="94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91" t="s">
        <v>0</v>
      </c>
    </row>
    <row r="2" spans="1:15" ht="15">
      <c r="A2" s="1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5">
      <c r="A3" s="1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5">
      <c r="A4" s="1" t="s">
        <v>523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15" thickBot="1"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ht="15.75" thickBot="1">
      <c r="A6" s="671" t="s">
        <v>483</v>
      </c>
      <c r="B6" s="55">
        <v>45383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>
      <c r="A7" s="678" t="s">
        <v>295</v>
      </c>
      <c r="B7" s="673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>
      <c r="A8" s="672" t="s">
        <v>308</v>
      </c>
      <c r="B8" s="679">
        <v>77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5" ht="15" customHeight="1">
      <c r="A9" s="672" t="s">
        <v>303</v>
      </c>
      <c r="B9" s="674">
        <v>72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>
      <c r="A10" s="672" t="s">
        <v>292</v>
      </c>
      <c r="B10" s="674">
        <v>70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>
      <c r="A11" s="672" t="s">
        <v>299</v>
      </c>
      <c r="B11" s="674">
        <v>67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>
      <c r="A12" s="672" t="s">
        <v>302</v>
      </c>
      <c r="B12" s="674">
        <v>64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</row>
    <row r="13" spans="1:15" ht="15" customHeight="1">
      <c r="A13" s="672" t="s">
        <v>282</v>
      </c>
      <c r="B13" s="674">
        <v>58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</row>
    <row r="14" spans="1:15">
      <c r="A14" s="672" t="s">
        <v>310</v>
      </c>
      <c r="B14" s="674">
        <v>57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</row>
    <row r="15" spans="1:15">
      <c r="A15" s="672" t="s">
        <v>281</v>
      </c>
      <c r="B15" s="674">
        <v>55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15" ht="15" thickBot="1">
      <c r="A16" s="676" t="s">
        <v>297</v>
      </c>
      <c r="B16" s="675">
        <v>52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31" ht="15.75" thickBot="1">
      <c r="A17" s="677" t="s">
        <v>5</v>
      </c>
      <c r="B17" s="611">
        <f>SUM(B7:B16)</f>
        <v>664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31" s="489" customFormat="1" ht="15">
      <c r="A18" s="1037"/>
      <c r="B18" s="1038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1:31" s="489" customFormat="1">
      <c r="A19" s="1039"/>
      <c r="B19" s="1040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482"/>
    </row>
    <row r="20" spans="1:31" s="489" customFormat="1" ht="15.75" customHeight="1">
      <c r="A20" s="180"/>
      <c r="B20" s="1041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482"/>
    </row>
    <row r="21" spans="1:31" s="489" customFormat="1">
      <c r="A21" s="1039"/>
      <c r="B21" s="1040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482"/>
    </row>
    <row r="22" spans="1:31" s="489" customFormat="1" ht="15" customHeight="1">
      <c r="A22" s="1042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482"/>
    </row>
    <row r="23" spans="1:31" s="489" customFormat="1">
      <c r="A23" s="1039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043"/>
      <c r="M23" s="163"/>
      <c r="N23" s="163"/>
      <c r="O23" s="482"/>
      <c r="S23" s="496"/>
      <c r="T23" s="497"/>
      <c r="U23" s="497"/>
      <c r="V23" s="497"/>
      <c r="W23" s="497"/>
      <c r="X23" s="497"/>
      <c r="Y23" s="497"/>
      <c r="Z23" s="490"/>
      <c r="AA23" s="497"/>
      <c r="AB23" s="497"/>
      <c r="AC23" s="497"/>
      <c r="AD23" s="497"/>
      <c r="AE23" s="498"/>
    </row>
    <row r="24" spans="1:31" s="489" customFormat="1" ht="16.5" customHeight="1">
      <c r="A24" s="180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043"/>
      <c r="M24" s="163"/>
      <c r="N24" s="163"/>
      <c r="O24" s="482"/>
      <c r="S24" s="496"/>
      <c r="T24" s="497"/>
      <c r="U24" s="497"/>
      <c r="V24" s="497"/>
      <c r="W24" s="497"/>
      <c r="X24" s="497"/>
      <c r="Y24" s="497"/>
      <c r="Z24" s="490"/>
      <c r="AA24" s="497"/>
      <c r="AB24" s="497"/>
      <c r="AC24" s="497"/>
      <c r="AD24" s="497"/>
      <c r="AE24" s="498"/>
    </row>
    <row r="25" spans="1:31" s="489" customFormat="1">
      <c r="A25" s="1039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043"/>
      <c r="M25" s="163"/>
      <c r="N25" s="163"/>
      <c r="O25" s="482"/>
      <c r="S25" s="496"/>
      <c r="T25" s="497"/>
      <c r="U25" s="497"/>
      <c r="V25" s="497"/>
      <c r="W25" s="497"/>
      <c r="X25" s="497"/>
      <c r="Y25" s="497"/>
      <c r="Z25" s="490"/>
      <c r="AA25" s="497"/>
      <c r="AB25" s="497"/>
      <c r="AC25" s="497"/>
      <c r="AD25" s="497"/>
      <c r="AE25" s="498"/>
    </row>
    <row r="26" spans="1:31" s="489" customFormat="1" ht="15">
      <c r="A26" s="163"/>
      <c r="B26" s="182"/>
      <c r="C26" s="163"/>
      <c r="D26" s="163"/>
      <c r="E26" s="163"/>
      <c r="F26" s="163"/>
      <c r="G26" s="163"/>
      <c r="H26" s="136"/>
      <c r="I26" s="163"/>
      <c r="J26" s="163"/>
      <c r="K26" s="163"/>
      <c r="L26" s="163"/>
      <c r="M26" s="163"/>
      <c r="N26" s="163"/>
      <c r="O26" s="482"/>
      <c r="S26" s="496"/>
      <c r="T26" s="497"/>
      <c r="U26" s="497"/>
      <c r="V26" s="497"/>
      <c r="W26" s="497"/>
      <c r="X26" s="497"/>
      <c r="Y26" s="497"/>
      <c r="Z26" s="490"/>
      <c r="AA26" s="497"/>
      <c r="AB26" s="497"/>
      <c r="AC26" s="497"/>
      <c r="AD26" s="497"/>
      <c r="AE26" s="498"/>
    </row>
    <row r="27" spans="1:31" s="489" customFormat="1">
      <c r="A27" s="163"/>
      <c r="B27" s="18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482"/>
      <c r="S27" s="496"/>
      <c r="T27" s="497"/>
      <c r="U27" s="497"/>
      <c r="V27" s="497"/>
      <c r="W27" s="497"/>
      <c r="X27" s="497"/>
      <c r="Y27" s="497"/>
      <c r="Z27" s="490"/>
      <c r="AA27" s="497"/>
      <c r="AB27" s="497"/>
      <c r="AC27" s="497"/>
      <c r="AD27" s="497"/>
      <c r="AE27" s="498"/>
    </row>
    <row r="28" spans="1:31" s="482" customFormat="1">
      <c r="A28" s="163"/>
      <c r="B28" s="18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S28" s="485"/>
      <c r="T28" s="486"/>
      <c r="U28" s="486"/>
      <c r="V28" s="486"/>
      <c r="W28" s="486"/>
      <c r="X28" s="486"/>
      <c r="Y28" s="486"/>
      <c r="Z28" s="483"/>
      <c r="AA28" s="486"/>
      <c r="AB28" s="486"/>
      <c r="AC28" s="486"/>
      <c r="AD28" s="486"/>
      <c r="AE28" s="487"/>
    </row>
    <row r="29" spans="1:31" s="482" customFormat="1">
      <c r="A29" s="163"/>
      <c r="B29" s="18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S29" s="485"/>
      <c r="T29" s="486"/>
      <c r="U29" s="486"/>
      <c r="V29" s="486"/>
      <c r="W29" s="486"/>
      <c r="X29" s="486"/>
      <c r="Y29" s="486"/>
      <c r="Z29" s="483"/>
      <c r="AA29" s="486"/>
      <c r="AB29" s="486"/>
      <c r="AC29" s="486"/>
      <c r="AD29" s="486"/>
      <c r="AE29" s="487"/>
    </row>
    <row r="30" spans="1:31" s="482" customFormat="1">
      <c r="A30" s="163"/>
      <c r="B30" s="18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S30" s="485"/>
      <c r="T30" s="486"/>
      <c r="U30" s="486"/>
      <c r="V30" s="486"/>
      <c r="W30" s="486"/>
      <c r="X30" s="486"/>
      <c r="Y30" s="486"/>
      <c r="Z30" s="483"/>
      <c r="AA30" s="486"/>
      <c r="AB30" s="486"/>
      <c r="AC30" s="486"/>
      <c r="AD30" s="486"/>
      <c r="AE30" s="487"/>
    </row>
    <row r="31" spans="1:31" s="482" customFormat="1">
      <c r="A31" s="163"/>
      <c r="B31" s="18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S31" s="485"/>
      <c r="T31" s="486"/>
      <c r="U31" s="486"/>
      <c r="V31" s="486"/>
      <c r="W31" s="486"/>
      <c r="X31" s="486"/>
      <c r="Y31" s="486"/>
      <c r="Z31" s="483"/>
      <c r="AA31" s="486"/>
      <c r="AB31" s="486"/>
      <c r="AC31" s="486"/>
      <c r="AD31" s="486"/>
      <c r="AE31" s="487"/>
    </row>
    <row r="32" spans="1:31" s="482" customFormat="1">
      <c r="A32" s="163"/>
      <c r="B32" s="18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S32" s="485"/>
      <c r="T32" s="486"/>
      <c r="U32" s="486"/>
      <c r="V32" s="486"/>
      <c r="W32" s="486"/>
      <c r="X32" s="486"/>
      <c r="Y32" s="486"/>
      <c r="Z32" s="483"/>
      <c r="AA32" s="486"/>
      <c r="AB32" s="486"/>
      <c r="AC32" s="486"/>
      <c r="AD32" s="486"/>
      <c r="AE32" s="487"/>
    </row>
    <row r="33" spans="1:28" s="482" customFormat="1">
      <c r="A33" s="163"/>
      <c r="B33" s="18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1:28" s="482" customFormat="1">
      <c r="A34" s="163"/>
      <c r="B34" s="18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1:28">
      <c r="A35" s="94"/>
      <c r="B35" s="185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U35" s="9"/>
      <c r="V35" s="9"/>
      <c r="W35" s="9"/>
      <c r="X35" s="9"/>
      <c r="Y35" s="9"/>
      <c r="Z35" s="9"/>
      <c r="AA35" s="9"/>
      <c r="AB35" s="94"/>
    </row>
    <row r="36" spans="1:28">
      <c r="A36" s="94"/>
      <c r="B36" s="185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U36" s="9"/>
      <c r="V36" s="9"/>
      <c r="W36" s="9"/>
      <c r="X36" s="9"/>
      <c r="Y36" s="9"/>
      <c r="Z36" s="9"/>
      <c r="AA36" s="9"/>
      <c r="AB36" s="94"/>
    </row>
    <row r="37" spans="1:28">
      <c r="A37" s="94"/>
      <c r="B37" s="185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U37" s="9"/>
      <c r="V37" s="9"/>
      <c r="W37" s="9"/>
      <c r="X37" s="9"/>
      <c r="Y37" s="9"/>
      <c r="Z37" s="9"/>
      <c r="AA37" s="9"/>
      <c r="AB37" s="94"/>
    </row>
    <row r="38" spans="1:28">
      <c r="A38" s="94"/>
      <c r="B38" s="185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U38" s="9"/>
      <c r="V38" s="9"/>
      <c r="W38" s="9"/>
      <c r="X38" s="9"/>
      <c r="Y38" s="9"/>
      <c r="Z38" s="9"/>
      <c r="AA38" s="9"/>
      <c r="AB38" s="94"/>
    </row>
    <row r="39" spans="1:28">
      <c r="A39" s="94"/>
      <c r="B39" s="185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U39" s="9"/>
      <c r="V39" s="9"/>
      <c r="W39" s="9"/>
      <c r="X39" s="9"/>
      <c r="Y39" s="9"/>
      <c r="Z39" s="9"/>
      <c r="AA39" s="9"/>
      <c r="AB39" s="94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I40"/>
  <sheetViews>
    <sheetView zoomScaleNormal="100" workbookViewId="0"/>
  </sheetViews>
  <sheetFormatPr defaultRowHeight="15"/>
  <cols>
    <col min="1" max="1" width="27" customWidth="1"/>
    <col min="2" max="2" width="10.7109375" style="108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91" t="s">
        <v>0</v>
      </c>
    </row>
    <row r="2" spans="1:9">
      <c r="A2" s="1" t="s">
        <v>1</v>
      </c>
    </row>
    <row r="3" spans="1:9" ht="15.75" thickBot="1"/>
    <row r="4" spans="1:9" ht="15" customHeight="1">
      <c r="A4" s="1070" t="s">
        <v>517</v>
      </c>
      <c r="B4" s="1071"/>
      <c r="C4" s="1071"/>
      <c r="D4" s="1071"/>
      <c r="E4" s="1071"/>
      <c r="F4" s="1071"/>
      <c r="G4" s="1072"/>
      <c r="I4" s="9"/>
    </row>
    <row r="5" spans="1:9">
      <c r="A5" s="1073"/>
      <c r="B5" s="1074"/>
      <c r="C5" s="1074"/>
      <c r="D5" s="1074"/>
      <c r="E5" s="1074"/>
      <c r="F5" s="1074"/>
      <c r="G5" s="1075"/>
    </row>
    <row r="6" spans="1:9" ht="15.75" thickBot="1">
      <c r="A6" s="1076"/>
      <c r="B6" s="1077"/>
      <c r="C6" s="1077"/>
      <c r="D6" s="1077"/>
      <c r="E6" s="1077"/>
      <c r="F6" s="1077"/>
      <c r="G6" s="1078"/>
    </row>
    <row r="7" spans="1:9">
      <c r="A7" s="937"/>
      <c r="B7" s="938"/>
      <c r="C7" s="95"/>
    </row>
    <row r="8" spans="1:9">
      <c r="A8" s="937"/>
      <c r="B8" s="938"/>
      <c r="C8" s="95"/>
    </row>
    <row r="9" spans="1:9">
      <c r="A9" s="937"/>
      <c r="B9" s="938"/>
      <c r="C9" s="95"/>
    </row>
    <row r="10" spans="1:9">
      <c r="A10" s="937"/>
      <c r="B10" s="938"/>
      <c r="C10" s="95"/>
    </row>
    <row r="11" spans="1:9">
      <c r="A11" s="937"/>
      <c r="B11" s="938"/>
      <c r="C11" s="95"/>
    </row>
    <row r="12" spans="1:9">
      <c r="A12" s="937"/>
      <c r="B12" s="938"/>
      <c r="C12" s="95"/>
    </row>
    <row r="13" spans="1:9">
      <c r="A13" s="937"/>
      <c r="B13" s="938"/>
      <c r="C13" s="95"/>
    </row>
    <row r="14" spans="1:9">
      <c r="A14" s="937"/>
      <c r="B14" s="938"/>
      <c r="C14" s="95"/>
    </row>
    <row r="15" spans="1:9">
      <c r="A15" s="937"/>
      <c r="B15" s="938"/>
      <c r="C15" s="627"/>
    </row>
    <row r="16" spans="1:9">
      <c r="A16" s="937"/>
      <c r="B16" s="938"/>
      <c r="C16" s="95"/>
    </row>
    <row r="17" spans="1:3">
      <c r="A17" s="937"/>
      <c r="B17" s="938"/>
      <c r="C17" s="95"/>
    </row>
    <row r="18" spans="1:3">
      <c r="A18" s="937"/>
      <c r="B18" s="938"/>
      <c r="C18" s="95"/>
    </row>
    <row r="19" spans="1:3">
      <c r="A19" s="937"/>
      <c r="B19" s="938"/>
      <c r="C19" s="95"/>
    </row>
    <row r="20" spans="1:3">
      <c r="A20" s="937"/>
      <c r="B20" s="938"/>
      <c r="C20" s="95"/>
    </row>
    <row r="21" spans="1:3">
      <c r="A21" s="937"/>
      <c r="B21" s="938"/>
      <c r="C21" s="95"/>
    </row>
    <row r="22" spans="1:3">
      <c r="A22" s="937"/>
      <c r="B22" s="938"/>
      <c r="C22" s="95"/>
    </row>
    <row r="23" spans="1:3">
      <c r="A23" s="937"/>
      <c r="B23" s="938"/>
      <c r="C23" s="95"/>
    </row>
    <row r="24" spans="1:3">
      <c r="A24" s="937"/>
      <c r="B24" s="938"/>
      <c r="C24" s="95"/>
    </row>
    <row r="25" spans="1:3">
      <c r="A25" s="937"/>
      <c r="B25" s="938"/>
      <c r="C25" s="95"/>
    </row>
    <row r="26" spans="1:3">
      <c r="A26" s="937"/>
      <c r="B26" s="938"/>
      <c r="C26" s="95"/>
    </row>
    <row r="27" spans="1:3">
      <c r="A27" s="937"/>
      <c r="B27" s="938"/>
      <c r="C27" s="95"/>
    </row>
    <row r="28" spans="1:3">
      <c r="A28" s="937"/>
      <c r="B28" s="938"/>
      <c r="C28" s="95"/>
    </row>
    <row r="29" spans="1:3">
      <c r="A29" s="937"/>
      <c r="B29" s="938"/>
      <c r="C29" s="95"/>
    </row>
    <row r="30" spans="1:3">
      <c r="A30" s="937"/>
      <c r="B30" s="938"/>
      <c r="C30" s="95"/>
    </row>
    <row r="31" spans="1:3">
      <c r="A31" s="937"/>
      <c r="B31" s="938"/>
      <c r="C31" s="95"/>
    </row>
    <row r="32" spans="1:3">
      <c r="A32" s="937"/>
      <c r="B32" s="938"/>
      <c r="C32" s="95"/>
    </row>
    <row r="33" spans="1:9">
      <c r="A33" s="937"/>
      <c r="B33" s="938"/>
      <c r="C33" s="95"/>
    </row>
    <row r="34" spans="1:9">
      <c r="A34" s="937"/>
      <c r="B34" s="938"/>
      <c r="C34" s="95"/>
    </row>
    <row r="35" spans="1:9">
      <c r="A35" s="937"/>
      <c r="B35" s="938"/>
      <c r="C35" s="95"/>
    </row>
    <row r="36" spans="1:9">
      <c r="A36" s="937"/>
      <c r="B36" s="938"/>
      <c r="C36" s="95"/>
    </row>
    <row r="37" spans="1:9">
      <c r="A37" s="939"/>
      <c r="B37" s="940"/>
      <c r="C37" s="135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33"/>
  <sheetViews>
    <sheetView zoomScale="80" zoomScaleNormal="8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770">
        <v>45292</v>
      </c>
      <c r="B5" s="771">
        <f>P24</f>
        <v>5587</v>
      </c>
      <c r="C5" s="904">
        <f>((B5-4354)/4354)*100</f>
        <v>28.318787322002759</v>
      </c>
      <c r="D5" s="8"/>
      <c r="E5" s="8"/>
      <c r="F5" s="8"/>
      <c r="I5"/>
      <c r="J5"/>
    </row>
    <row r="6" spans="1:11" ht="15.75" thickBot="1">
      <c r="A6" s="772">
        <v>45323</v>
      </c>
      <c r="B6" s="773">
        <f>O24</f>
        <v>5847</v>
      </c>
      <c r="C6" s="905">
        <f>((B6-B5)/B5)*100</f>
        <v>4.6536602827993558</v>
      </c>
      <c r="D6" s="8"/>
      <c r="E6" s="8"/>
      <c r="F6" s="8"/>
      <c r="H6" s="9"/>
      <c r="I6" s="8"/>
      <c r="J6" s="8"/>
      <c r="K6" s="10"/>
    </row>
    <row r="7" spans="1:11" ht="15.75" thickBot="1">
      <c r="A7" s="772">
        <v>45352</v>
      </c>
      <c r="B7" s="11">
        <f>N24</f>
        <v>6171</v>
      </c>
      <c r="C7" s="905">
        <f t="shared" ref="C7:C8" si="0">((B7-B6)/B6)*100</f>
        <v>5.5413032324268858</v>
      </c>
      <c r="D7" s="8"/>
      <c r="E7" s="8"/>
      <c r="F7" s="8"/>
      <c r="H7" s="9"/>
      <c r="I7" s="8"/>
      <c r="J7" s="8"/>
      <c r="K7" s="10"/>
    </row>
    <row r="8" spans="1:11" ht="15.75" thickBot="1">
      <c r="A8" s="772">
        <v>45383</v>
      </c>
      <c r="B8" s="11">
        <f>M24</f>
        <v>6588</v>
      </c>
      <c r="C8" s="905">
        <f t="shared" si="0"/>
        <v>6.7574137092853679</v>
      </c>
      <c r="D8" s="8"/>
      <c r="E8" s="8"/>
      <c r="F8" s="8"/>
    </row>
    <row r="9" spans="1:11" ht="15.75" thickBot="1">
      <c r="A9" s="772">
        <v>45413</v>
      </c>
      <c r="B9" s="11"/>
      <c r="C9" s="737"/>
      <c r="D9" s="8"/>
      <c r="E9" s="8"/>
      <c r="F9" s="8"/>
    </row>
    <row r="10" spans="1:11" ht="15.75" thickBot="1">
      <c r="A10" s="772">
        <v>45444</v>
      </c>
      <c r="B10" s="11"/>
      <c r="C10" s="737"/>
      <c r="D10" s="8"/>
      <c r="E10" s="8"/>
      <c r="F10" s="8"/>
    </row>
    <row r="11" spans="1:11" ht="15.75" thickBot="1">
      <c r="A11" s="772">
        <v>45474</v>
      </c>
      <c r="B11" s="11"/>
      <c r="C11" s="737"/>
      <c r="D11" s="8"/>
      <c r="E11" s="8"/>
      <c r="F11" s="8"/>
    </row>
    <row r="12" spans="1:11" ht="15.75" thickBot="1">
      <c r="A12" s="772">
        <v>45505</v>
      </c>
      <c r="B12" s="11"/>
      <c r="C12" s="737"/>
      <c r="D12" s="8"/>
      <c r="E12" s="8"/>
      <c r="F12" s="8"/>
    </row>
    <row r="13" spans="1:11" ht="15.75" thickBot="1">
      <c r="A13" s="772">
        <v>45536</v>
      </c>
      <c r="B13" s="11"/>
      <c r="C13" s="737"/>
      <c r="D13" s="8"/>
      <c r="E13" s="8"/>
      <c r="F13" s="8"/>
    </row>
    <row r="14" spans="1:11" ht="15.75" thickBot="1">
      <c r="A14" s="772">
        <v>45566</v>
      </c>
      <c r="B14" s="11"/>
      <c r="C14" s="737"/>
      <c r="D14" s="8"/>
      <c r="E14" s="8"/>
      <c r="F14" s="8"/>
      <c r="H14" s="12"/>
    </row>
    <row r="15" spans="1:11" ht="15.75" thickBot="1">
      <c r="A15" s="774">
        <v>45597</v>
      </c>
      <c r="B15" s="11"/>
      <c r="C15" s="737"/>
      <c r="D15" s="8"/>
      <c r="E15" s="8"/>
      <c r="F15" s="8"/>
    </row>
    <row r="16" spans="1:11" ht="15.75" thickBot="1">
      <c r="A16" s="769">
        <v>45627</v>
      </c>
      <c r="B16" s="751"/>
      <c r="C16" s="740"/>
      <c r="D16" s="8"/>
      <c r="E16" s="8"/>
      <c r="F16" s="8"/>
    </row>
    <row r="17" spans="1:19" ht="15.75" thickBot="1">
      <c r="A17" s="13" t="s">
        <v>5</v>
      </c>
      <c r="B17" s="15">
        <f>SUM(B5:B16)</f>
        <v>24193</v>
      </c>
    </row>
    <row r="18" spans="1:19" ht="30.75" thickBot="1">
      <c r="A18" s="14" t="s">
        <v>6</v>
      </c>
      <c r="B18" s="15">
        <f>AVERAGE(B5:B16)</f>
        <v>6048.25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21" t="s">
        <v>8</v>
      </c>
      <c r="S18" s="21" t="s">
        <v>6</v>
      </c>
    </row>
    <row r="19" spans="1:19">
      <c r="A19" s="1044"/>
      <c r="B19" s="1044"/>
      <c r="C19" s="1044"/>
      <c r="D19" s="22" t="s">
        <v>9</v>
      </c>
      <c r="E19" s="23"/>
      <c r="F19" s="24"/>
      <c r="G19" s="25"/>
      <c r="H19" s="25"/>
      <c r="I19" s="25"/>
      <c r="J19" s="25"/>
      <c r="K19" s="26"/>
      <c r="L19" s="26"/>
      <c r="M19" s="27">
        <v>395</v>
      </c>
      <c r="N19" s="28">
        <v>362</v>
      </c>
      <c r="O19" s="27">
        <v>230</v>
      </c>
      <c r="P19" s="29">
        <v>205</v>
      </c>
      <c r="Q19" s="30">
        <f>SUM(E19:P19)</f>
        <v>1192</v>
      </c>
      <c r="R19" s="31">
        <f>(Q19/Q24)*100</f>
        <v>4.9270450130202956</v>
      </c>
      <c r="S19" s="32">
        <f t="shared" ref="S19:S24" si="1">AVERAGE(E19:P19)</f>
        <v>298</v>
      </c>
    </row>
    <row r="20" spans="1:19" ht="15" customHeight="1">
      <c r="A20" s="1045" t="s">
        <v>10</v>
      </c>
      <c r="B20" s="1045"/>
      <c r="C20" s="33"/>
      <c r="D20" s="34" t="s">
        <v>11</v>
      </c>
      <c r="E20" s="35"/>
      <c r="F20" s="36"/>
      <c r="G20" s="37"/>
      <c r="H20" s="37"/>
      <c r="I20" s="37"/>
      <c r="J20" s="37"/>
      <c r="K20" s="38"/>
      <c r="L20" s="38"/>
      <c r="M20" s="37">
        <v>82</v>
      </c>
      <c r="N20" s="28">
        <v>91</v>
      </c>
      <c r="O20" s="37">
        <v>81</v>
      </c>
      <c r="P20" s="39">
        <v>70</v>
      </c>
      <c r="Q20" s="40">
        <f>SUM(E20:P20)</f>
        <v>324</v>
      </c>
      <c r="R20" s="41">
        <f>(Q20/Q24)*100</f>
        <v>1.3392303558880669</v>
      </c>
      <c r="S20" s="42">
        <f t="shared" si="1"/>
        <v>81</v>
      </c>
    </row>
    <row r="21" spans="1:19">
      <c r="A21" s="1045"/>
      <c r="B21" s="1045"/>
      <c r="D21" s="34" t="s">
        <v>12</v>
      </c>
      <c r="E21" s="35"/>
      <c r="F21" s="36"/>
      <c r="G21" s="37"/>
      <c r="H21" s="37"/>
      <c r="I21" s="37"/>
      <c r="J21" s="37"/>
      <c r="K21" s="38"/>
      <c r="L21" s="38"/>
      <c r="M21" s="37">
        <v>5855</v>
      </c>
      <c r="N21" s="28">
        <v>5449</v>
      </c>
      <c r="O21" s="37">
        <v>5263</v>
      </c>
      <c r="P21" s="39">
        <v>5003</v>
      </c>
      <c r="Q21" s="40">
        <f>SUM(E21:P21)</f>
        <v>21570</v>
      </c>
      <c r="R21" s="41">
        <f>(Q21/Q24)*100</f>
        <v>89.158020915140739</v>
      </c>
      <c r="S21" s="42">
        <f t="shared" si="1"/>
        <v>5392.5</v>
      </c>
    </row>
    <row r="22" spans="1:19">
      <c r="D22" s="34" t="s">
        <v>13</v>
      </c>
      <c r="E22" s="35"/>
      <c r="F22" s="36"/>
      <c r="G22" s="37"/>
      <c r="H22" s="37"/>
      <c r="I22" s="37"/>
      <c r="J22" s="37"/>
      <c r="K22" s="38"/>
      <c r="L22" s="38"/>
      <c r="M22" s="37">
        <v>200</v>
      </c>
      <c r="N22" s="28">
        <v>225</v>
      </c>
      <c r="O22" s="37">
        <v>209</v>
      </c>
      <c r="P22" s="39">
        <v>225</v>
      </c>
      <c r="Q22" s="40">
        <f>SUM(E22:P22)</f>
        <v>859</v>
      </c>
      <c r="R22" s="41">
        <f>(Q22/Q24)*100</f>
        <v>3.5506138139131149</v>
      </c>
      <c r="S22" s="42">
        <f t="shared" si="1"/>
        <v>214.75</v>
      </c>
    </row>
    <row r="23" spans="1:19" ht="15.75" thickBot="1">
      <c r="D23" s="34" t="s">
        <v>14</v>
      </c>
      <c r="E23" s="43"/>
      <c r="F23" s="36"/>
      <c r="G23" s="44"/>
      <c r="H23" s="44"/>
      <c r="I23" s="44"/>
      <c r="J23" s="44"/>
      <c r="K23" s="45"/>
      <c r="L23" s="45"/>
      <c r="M23" s="37">
        <v>56</v>
      </c>
      <c r="N23" s="28">
        <v>44</v>
      </c>
      <c r="O23" s="44">
        <v>64</v>
      </c>
      <c r="P23" s="46">
        <v>84</v>
      </c>
      <c r="Q23" s="47">
        <f>SUM(E23:P23)</f>
        <v>248</v>
      </c>
      <c r="R23" s="48">
        <f>(Q23/Q24)*100</f>
        <v>1.0250899020377795</v>
      </c>
      <c r="S23" s="49">
        <f t="shared" si="1"/>
        <v>62</v>
      </c>
    </row>
    <row r="24" spans="1:19" ht="15.75" thickBot="1">
      <c r="D24" s="201" t="s">
        <v>15</v>
      </c>
      <c r="E24" s="50">
        <f>SUM(E19:E23)</f>
        <v>0</v>
      </c>
      <c r="F24" s="50">
        <f>SUM(F19:F23)</f>
        <v>0</v>
      </c>
      <c r="G24" s="50">
        <f>SUM(G19:G23)</f>
        <v>0</v>
      </c>
      <c r="H24" s="50">
        <f>SUM(H19:H23)</f>
        <v>0</v>
      </c>
      <c r="I24" s="50">
        <f>SUM(I19:I23)</f>
        <v>0</v>
      </c>
      <c r="J24" s="50">
        <f t="shared" ref="J24:R24" si="2">SUM(J19:J23)</f>
        <v>0</v>
      </c>
      <c r="K24" s="50">
        <f t="shared" si="2"/>
        <v>0</v>
      </c>
      <c r="L24" s="50">
        <f t="shared" si="2"/>
        <v>0</v>
      </c>
      <c r="M24" s="50">
        <f t="shared" si="2"/>
        <v>6588</v>
      </c>
      <c r="N24" s="52">
        <f t="shared" si="2"/>
        <v>6171</v>
      </c>
      <c r="O24" s="50">
        <f t="shared" si="2"/>
        <v>5847</v>
      </c>
      <c r="P24" s="52">
        <f t="shared" si="2"/>
        <v>5587</v>
      </c>
      <c r="Q24" s="53">
        <f t="shared" si="2"/>
        <v>24193</v>
      </c>
      <c r="R24" s="52">
        <f t="shared" si="2"/>
        <v>100</v>
      </c>
      <c r="S24" s="54">
        <f t="shared" si="1"/>
        <v>2016.0833333333333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4:P24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F95"/>
  <sheetViews>
    <sheetView zoomScaleNormal="100" workbookViewId="0">
      <selection activeCell="C3" sqref="C3:C72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525" t="s">
        <v>0</v>
      </c>
      <c r="B1" s="526"/>
      <c r="C1" s="526"/>
      <c r="D1" s="526"/>
    </row>
    <row r="2" spans="1:4" ht="15.75" thickBot="1">
      <c r="A2" s="527" t="s">
        <v>1</v>
      </c>
      <c r="B2" s="90"/>
      <c r="C2" s="90"/>
    </row>
    <row r="3" spans="1:4" ht="15.75" thickBot="1">
      <c r="A3" s="528" t="s">
        <v>519</v>
      </c>
      <c r="B3" s="529" t="s">
        <v>415</v>
      </c>
      <c r="C3" s="530" t="s">
        <v>416</v>
      </c>
      <c r="D3" s="531" t="s">
        <v>23</v>
      </c>
    </row>
    <row r="4" spans="1:4">
      <c r="A4" s="532" t="s">
        <v>212</v>
      </c>
      <c r="B4" s="533">
        <v>5</v>
      </c>
      <c r="C4" s="533">
        <v>1</v>
      </c>
      <c r="D4" s="533">
        <f>SUM(B4:C4)</f>
        <v>6</v>
      </c>
    </row>
    <row r="5" spans="1:4">
      <c r="A5" s="534" t="s">
        <v>417</v>
      </c>
      <c r="B5" s="535">
        <v>0</v>
      </c>
      <c r="C5" s="535">
        <v>0</v>
      </c>
      <c r="D5" s="535">
        <f t="shared" ref="D5:D68" si="0">SUM(B5:C5)</f>
        <v>0</v>
      </c>
    </row>
    <row r="6" spans="1:4">
      <c r="A6" s="536" t="s">
        <v>213</v>
      </c>
      <c r="B6" s="535">
        <v>0</v>
      </c>
      <c r="C6" s="535">
        <v>0</v>
      </c>
      <c r="D6" s="535">
        <f t="shared" si="0"/>
        <v>0</v>
      </c>
    </row>
    <row r="7" spans="1:4">
      <c r="A7" s="536" t="s">
        <v>214</v>
      </c>
      <c r="B7" s="535">
        <v>0</v>
      </c>
      <c r="C7" s="535">
        <v>0</v>
      </c>
      <c r="D7" s="535">
        <f t="shared" si="0"/>
        <v>0</v>
      </c>
    </row>
    <row r="8" spans="1:4">
      <c r="A8" s="536" t="s">
        <v>215</v>
      </c>
      <c r="B8" s="535">
        <v>0</v>
      </c>
      <c r="C8" s="535">
        <v>1</v>
      </c>
      <c r="D8" s="535">
        <f t="shared" si="0"/>
        <v>1</v>
      </c>
    </row>
    <row r="9" spans="1:4">
      <c r="A9" s="536" t="s">
        <v>216</v>
      </c>
      <c r="B9" s="535">
        <v>0</v>
      </c>
      <c r="C9" s="535">
        <v>1</v>
      </c>
      <c r="D9" s="535">
        <f t="shared" si="0"/>
        <v>1</v>
      </c>
    </row>
    <row r="10" spans="1:4">
      <c r="A10" s="536" t="s">
        <v>217</v>
      </c>
      <c r="B10" s="535">
        <v>0</v>
      </c>
      <c r="C10" s="535">
        <v>72</v>
      </c>
      <c r="D10" s="535">
        <f t="shared" si="0"/>
        <v>72</v>
      </c>
    </row>
    <row r="11" spans="1:4">
      <c r="A11" s="536" t="s">
        <v>144</v>
      </c>
      <c r="B11" s="535">
        <v>0</v>
      </c>
      <c r="C11" s="535">
        <v>2</v>
      </c>
      <c r="D11" s="535">
        <f t="shared" si="0"/>
        <v>2</v>
      </c>
    </row>
    <row r="12" spans="1:4">
      <c r="A12" s="536" t="s">
        <v>218</v>
      </c>
      <c r="B12" s="535">
        <v>0</v>
      </c>
      <c r="C12" s="535">
        <v>0</v>
      </c>
      <c r="D12" s="535">
        <f t="shared" si="0"/>
        <v>0</v>
      </c>
    </row>
    <row r="13" spans="1:4">
      <c r="A13" s="536" t="s">
        <v>219</v>
      </c>
      <c r="B13" s="535">
        <v>1</v>
      </c>
      <c r="C13" s="535">
        <v>0</v>
      </c>
      <c r="D13" s="535">
        <f t="shared" si="0"/>
        <v>1</v>
      </c>
    </row>
    <row r="14" spans="1:4">
      <c r="A14" s="536" t="s">
        <v>220</v>
      </c>
      <c r="B14" s="535">
        <v>3</v>
      </c>
      <c r="C14" s="535">
        <v>4</v>
      </c>
      <c r="D14" s="535">
        <f t="shared" si="0"/>
        <v>7</v>
      </c>
    </row>
    <row r="15" spans="1:4">
      <c r="A15" s="536" t="s">
        <v>221</v>
      </c>
      <c r="B15" s="535">
        <v>0</v>
      </c>
      <c r="C15" s="535">
        <v>0</v>
      </c>
      <c r="D15" s="535">
        <f t="shared" si="0"/>
        <v>0</v>
      </c>
    </row>
    <row r="16" spans="1:4">
      <c r="A16" s="536" t="s">
        <v>222</v>
      </c>
      <c r="B16" s="535">
        <v>0</v>
      </c>
      <c r="C16" s="535">
        <v>0</v>
      </c>
      <c r="D16" s="535">
        <f t="shared" si="0"/>
        <v>0</v>
      </c>
    </row>
    <row r="17" spans="1:4">
      <c r="A17" s="536" t="s">
        <v>223</v>
      </c>
      <c r="B17" s="535">
        <v>0</v>
      </c>
      <c r="C17" s="535">
        <v>0</v>
      </c>
      <c r="D17" s="535">
        <f t="shared" si="0"/>
        <v>0</v>
      </c>
    </row>
    <row r="18" spans="1:4">
      <c r="A18" s="536" t="s">
        <v>224</v>
      </c>
      <c r="B18" s="535">
        <v>1</v>
      </c>
      <c r="C18" s="535">
        <v>1</v>
      </c>
      <c r="D18" s="535">
        <f t="shared" si="0"/>
        <v>2</v>
      </c>
    </row>
    <row r="19" spans="1:4">
      <c r="A19" s="536" t="s">
        <v>486</v>
      </c>
      <c r="B19" s="535">
        <v>0</v>
      </c>
      <c r="C19" s="535">
        <v>0</v>
      </c>
      <c r="D19" s="535">
        <f t="shared" si="0"/>
        <v>0</v>
      </c>
    </row>
    <row r="20" spans="1:4">
      <c r="A20" s="536" t="s">
        <v>225</v>
      </c>
      <c r="B20" s="535">
        <v>2</v>
      </c>
      <c r="C20" s="535">
        <v>1</v>
      </c>
      <c r="D20" s="535">
        <f t="shared" si="0"/>
        <v>3</v>
      </c>
    </row>
    <row r="21" spans="1:4">
      <c r="A21" s="536" t="s">
        <v>226</v>
      </c>
      <c r="B21" s="535">
        <v>0</v>
      </c>
      <c r="C21" s="535">
        <v>0</v>
      </c>
      <c r="D21" s="535">
        <f t="shared" si="0"/>
        <v>0</v>
      </c>
    </row>
    <row r="22" spans="1:4">
      <c r="A22" s="536" t="s">
        <v>227</v>
      </c>
      <c r="B22" s="535">
        <v>39</v>
      </c>
      <c r="C22" s="535">
        <v>27</v>
      </c>
      <c r="D22" s="535">
        <f t="shared" si="0"/>
        <v>66</v>
      </c>
    </row>
    <row r="23" spans="1:4">
      <c r="A23" s="536" t="s">
        <v>228</v>
      </c>
      <c r="B23" s="535">
        <v>3</v>
      </c>
      <c r="C23" s="535">
        <v>7</v>
      </c>
      <c r="D23" s="535">
        <f t="shared" si="0"/>
        <v>10</v>
      </c>
    </row>
    <row r="24" spans="1:4">
      <c r="A24" s="537" t="s">
        <v>229</v>
      </c>
      <c r="B24" s="538">
        <v>14</v>
      </c>
      <c r="C24" s="538">
        <v>13</v>
      </c>
      <c r="D24" s="535">
        <f t="shared" si="0"/>
        <v>27</v>
      </c>
    </row>
    <row r="25" spans="1:4">
      <c r="A25" s="539" t="s">
        <v>418</v>
      </c>
      <c r="B25" s="535">
        <v>0</v>
      </c>
      <c r="C25" s="535">
        <v>0</v>
      </c>
      <c r="D25" s="535">
        <f t="shared" si="0"/>
        <v>0</v>
      </c>
    </row>
    <row r="26" spans="1:4">
      <c r="A26" s="532" t="s">
        <v>230</v>
      </c>
      <c r="B26" s="533">
        <v>6</v>
      </c>
      <c r="C26" s="533">
        <v>0</v>
      </c>
      <c r="D26" s="535">
        <f t="shared" si="0"/>
        <v>6</v>
      </c>
    </row>
    <row r="27" spans="1:4">
      <c r="A27" s="536" t="s">
        <v>231</v>
      </c>
      <c r="B27" s="535">
        <v>1</v>
      </c>
      <c r="C27" s="535">
        <v>1</v>
      </c>
      <c r="D27" s="535">
        <f t="shared" si="0"/>
        <v>2</v>
      </c>
    </row>
    <row r="28" spans="1:4">
      <c r="A28" s="536" t="s">
        <v>232</v>
      </c>
      <c r="B28" s="535">
        <v>7</v>
      </c>
      <c r="C28" s="535">
        <v>1</v>
      </c>
      <c r="D28" s="535">
        <f t="shared" si="0"/>
        <v>8</v>
      </c>
    </row>
    <row r="29" spans="1:4">
      <c r="A29" s="536" t="s">
        <v>233</v>
      </c>
      <c r="B29" s="535">
        <v>58</v>
      </c>
      <c r="C29" s="535">
        <v>30</v>
      </c>
      <c r="D29" s="535">
        <f t="shared" si="0"/>
        <v>88</v>
      </c>
    </row>
    <row r="30" spans="1:4">
      <c r="A30" s="536" t="s">
        <v>234</v>
      </c>
      <c r="B30" s="535">
        <v>2</v>
      </c>
      <c r="C30" s="535">
        <v>1</v>
      </c>
      <c r="D30" s="535">
        <f t="shared" si="0"/>
        <v>3</v>
      </c>
    </row>
    <row r="31" spans="1:4">
      <c r="A31" s="536" t="s">
        <v>235</v>
      </c>
      <c r="B31" s="535">
        <v>0</v>
      </c>
      <c r="C31" s="535">
        <v>0</v>
      </c>
      <c r="D31" s="535">
        <f t="shared" si="0"/>
        <v>0</v>
      </c>
    </row>
    <row r="32" spans="1:4">
      <c r="A32" s="536" t="s">
        <v>236</v>
      </c>
      <c r="B32" s="535">
        <v>0</v>
      </c>
      <c r="C32" s="535">
        <v>0</v>
      </c>
      <c r="D32" s="535">
        <f t="shared" si="0"/>
        <v>0</v>
      </c>
    </row>
    <row r="33" spans="1:4">
      <c r="A33" s="536" t="s">
        <v>237</v>
      </c>
      <c r="B33" s="535">
        <v>1</v>
      </c>
      <c r="C33" s="535">
        <v>0</v>
      </c>
      <c r="D33" s="535">
        <f t="shared" si="0"/>
        <v>1</v>
      </c>
    </row>
    <row r="34" spans="1:4">
      <c r="A34" s="536" t="s">
        <v>238</v>
      </c>
      <c r="B34" s="535">
        <v>4</v>
      </c>
      <c r="C34" s="535">
        <v>1</v>
      </c>
      <c r="D34" s="535">
        <f t="shared" si="0"/>
        <v>5</v>
      </c>
    </row>
    <row r="35" spans="1:4">
      <c r="A35" s="536" t="s">
        <v>239</v>
      </c>
      <c r="B35" s="535">
        <v>0</v>
      </c>
      <c r="C35" s="535">
        <v>0</v>
      </c>
      <c r="D35" s="535">
        <f t="shared" si="0"/>
        <v>0</v>
      </c>
    </row>
    <row r="36" spans="1:4">
      <c r="A36" s="536" t="s">
        <v>240</v>
      </c>
      <c r="B36" s="535">
        <v>0</v>
      </c>
      <c r="C36" s="535">
        <v>0</v>
      </c>
      <c r="D36" s="535">
        <f t="shared" si="0"/>
        <v>0</v>
      </c>
    </row>
    <row r="37" spans="1:4">
      <c r="A37" s="536" t="s">
        <v>241</v>
      </c>
      <c r="B37" s="535">
        <v>12</v>
      </c>
      <c r="C37" s="535">
        <v>6</v>
      </c>
      <c r="D37" s="535">
        <f t="shared" si="0"/>
        <v>18</v>
      </c>
    </row>
    <row r="38" spans="1:4">
      <c r="A38" s="536" t="s">
        <v>242</v>
      </c>
      <c r="B38" s="535">
        <v>0</v>
      </c>
      <c r="C38" s="535">
        <v>0</v>
      </c>
      <c r="D38" s="535">
        <f t="shared" si="0"/>
        <v>0</v>
      </c>
    </row>
    <row r="39" spans="1:4">
      <c r="A39" s="536" t="s">
        <v>243</v>
      </c>
      <c r="B39" s="535">
        <v>0</v>
      </c>
      <c r="C39" s="535">
        <v>0</v>
      </c>
      <c r="D39" s="535">
        <f t="shared" si="0"/>
        <v>0</v>
      </c>
    </row>
    <row r="40" spans="1:4">
      <c r="A40" s="536" t="s">
        <v>244</v>
      </c>
      <c r="B40" s="535">
        <v>1</v>
      </c>
      <c r="C40" s="535">
        <v>7</v>
      </c>
      <c r="D40" s="535">
        <f t="shared" si="0"/>
        <v>8</v>
      </c>
    </row>
    <row r="41" spans="1:4">
      <c r="A41" s="536" t="s">
        <v>245</v>
      </c>
      <c r="B41" s="535">
        <v>1</v>
      </c>
      <c r="C41" s="535">
        <v>3</v>
      </c>
      <c r="D41" s="535">
        <f t="shared" si="0"/>
        <v>4</v>
      </c>
    </row>
    <row r="42" spans="1:4">
      <c r="A42" s="536" t="s">
        <v>246</v>
      </c>
      <c r="B42" s="535">
        <v>0</v>
      </c>
      <c r="C42" s="535">
        <v>0</v>
      </c>
      <c r="D42" s="535">
        <f t="shared" si="0"/>
        <v>0</v>
      </c>
    </row>
    <row r="43" spans="1:4">
      <c r="A43" s="536" t="s">
        <v>247</v>
      </c>
      <c r="B43" s="535">
        <v>1</v>
      </c>
      <c r="C43" s="535">
        <v>0</v>
      </c>
      <c r="D43" s="535">
        <f t="shared" si="0"/>
        <v>1</v>
      </c>
    </row>
    <row r="44" spans="1:4">
      <c r="A44" s="536" t="s">
        <v>248</v>
      </c>
      <c r="B44" s="535">
        <v>0</v>
      </c>
      <c r="C44" s="535">
        <v>1</v>
      </c>
      <c r="D44" s="535">
        <f t="shared" si="0"/>
        <v>1</v>
      </c>
    </row>
    <row r="45" spans="1:4">
      <c r="A45" s="536" t="s">
        <v>249</v>
      </c>
      <c r="B45" s="535">
        <v>0</v>
      </c>
      <c r="C45" s="535">
        <v>0</v>
      </c>
      <c r="D45" s="535">
        <f t="shared" si="0"/>
        <v>0</v>
      </c>
    </row>
    <row r="46" spans="1:4">
      <c r="A46" s="536" t="s">
        <v>250</v>
      </c>
      <c r="B46" s="535">
        <v>3</v>
      </c>
      <c r="C46" s="535">
        <v>1</v>
      </c>
      <c r="D46" s="535">
        <f t="shared" si="0"/>
        <v>4</v>
      </c>
    </row>
    <row r="47" spans="1:4">
      <c r="A47" s="536" t="s">
        <v>251</v>
      </c>
      <c r="B47" s="535">
        <v>1</v>
      </c>
      <c r="C47" s="535">
        <v>0</v>
      </c>
      <c r="D47" s="535">
        <f t="shared" si="0"/>
        <v>1</v>
      </c>
    </row>
    <row r="48" spans="1:4">
      <c r="A48" s="536" t="s">
        <v>252</v>
      </c>
      <c r="B48" s="535">
        <v>1</v>
      </c>
      <c r="C48" s="535">
        <v>0</v>
      </c>
      <c r="D48" s="535">
        <f t="shared" si="0"/>
        <v>1</v>
      </c>
    </row>
    <row r="49" spans="1:4">
      <c r="A49" s="536" t="s">
        <v>253</v>
      </c>
      <c r="B49" s="535">
        <v>0</v>
      </c>
      <c r="C49" s="535">
        <v>0</v>
      </c>
      <c r="D49" s="535">
        <f t="shared" si="0"/>
        <v>0</v>
      </c>
    </row>
    <row r="50" spans="1:4">
      <c r="A50" s="536" t="s">
        <v>254</v>
      </c>
      <c r="B50" s="535">
        <v>1</v>
      </c>
      <c r="C50" s="535">
        <v>0</v>
      </c>
      <c r="D50" s="535">
        <f t="shared" si="0"/>
        <v>1</v>
      </c>
    </row>
    <row r="51" spans="1:4">
      <c r="A51" s="536" t="s">
        <v>255</v>
      </c>
      <c r="B51" s="535">
        <v>0</v>
      </c>
      <c r="C51" s="535">
        <v>1</v>
      </c>
      <c r="D51" s="535">
        <f t="shared" si="0"/>
        <v>1</v>
      </c>
    </row>
    <row r="52" spans="1:4">
      <c r="A52" s="536" t="s">
        <v>256</v>
      </c>
      <c r="B52" s="535">
        <v>0</v>
      </c>
      <c r="C52" s="535">
        <v>0</v>
      </c>
      <c r="D52" s="535">
        <f t="shared" si="0"/>
        <v>0</v>
      </c>
    </row>
    <row r="53" spans="1:4">
      <c r="A53" s="536" t="s">
        <v>257</v>
      </c>
      <c r="B53" s="535">
        <v>4</v>
      </c>
      <c r="C53" s="535">
        <v>0</v>
      </c>
      <c r="D53" s="535">
        <f t="shared" si="0"/>
        <v>4</v>
      </c>
    </row>
    <row r="54" spans="1:4">
      <c r="A54" s="536" t="s">
        <v>258</v>
      </c>
      <c r="B54" s="535">
        <v>2</v>
      </c>
      <c r="C54" s="535">
        <v>0</v>
      </c>
      <c r="D54" s="535">
        <f t="shared" si="0"/>
        <v>2</v>
      </c>
    </row>
    <row r="55" spans="1:4">
      <c r="A55" s="536" t="s">
        <v>259</v>
      </c>
      <c r="B55" s="535">
        <v>0</v>
      </c>
      <c r="C55" s="535">
        <v>2</v>
      </c>
      <c r="D55" s="535">
        <f t="shared" si="0"/>
        <v>2</v>
      </c>
    </row>
    <row r="56" spans="1:4">
      <c r="A56" s="536" t="s">
        <v>260</v>
      </c>
      <c r="B56" s="535">
        <v>1</v>
      </c>
      <c r="C56" s="535">
        <v>0</v>
      </c>
      <c r="D56" s="535">
        <f t="shared" si="0"/>
        <v>1</v>
      </c>
    </row>
    <row r="57" spans="1:4">
      <c r="A57" s="536" t="s">
        <v>261</v>
      </c>
      <c r="B57" s="535">
        <v>0</v>
      </c>
      <c r="C57" s="535">
        <v>0</v>
      </c>
      <c r="D57" s="535">
        <f t="shared" si="0"/>
        <v>0</v>
      </c>
    </row>
    <row r="58" spans="1:4">
      <c r="A58" s="536" t="s">
        <v>262</v>
      </c>
      <c r="B58" s="535">
        <v>5</v>
      </c>
      <c r="C58" s="535">
        <v>1</v>
      </c>
      <c r="D58" s="535">
        <f t="shared" si="0"/>
        <v>6</v>
      </c>
    </row>
    <row r="59" spans="1:4">
      <c r="A59" s="536" t="s">
        <v>263</v>
      </c>
      <c r="B59" s="535">
        <v>0</v>
      </c>
      <c r="C59" s="535">
        <v>0</v>
      </c>
      <c r="D59" s="535">
        <f t="shared" si="0"/>
        <v>0</v>
      </c>
    </row>
    <row r="60" spans="1:4">
      <c r="A60" s="536" t="s">
        <v>264</v>
      </c>
      <c r="B60" s="535">
        <v>1</v>
      </c>
      <c r="C60" s="535">
        <v>0</v>
      </c>
      <c r="D60" s="535">
        <f t="shared" si="0"/>
        <v>1</v>
      </c>
    </row>
    <row r="61" spans="1:4">
      <c r="A61" s="536" t="s">
        <v>265</v>
      </c>
      <c r="B61" s="535">
        <v>0</v>
      </c>
      <c r="C61" s="535">
        <v>0</v>
      </c>
      <c r="D61" s="535">
        <f t="shared" si="0"/>
        <v>0</v>
      </c>
    </row>
    <row r="62" spans="1:4">
      <c r="A62" s="536" t="s">
        <v>266</v>
      </c>
      <c r="B62" s="535">
        <v>0</v>
      </c>
      <c r="C62" s="535">
        <v>0</v>
      </c>
      <c r="D62" s="535">
        <f t="shared" si="0"/>
        <v>0</v>
      </c>
    </row>
    <row r="63" spans="1:4">
      <c r="A63" s="536" t="s">
        <v>267</v>
      </c>
      <c r="B63" s="535">
        <v>1</v>
      </c>
      <c r="C63" s="535">
        <v>0</v>
      </c>
      <c r="D63" s="535">
        <f t="shared" si="0"/>
        <v>1</v>
      </c>
    </row>
    <row r="64" spans="1:4">
      <c r="A64" s="536" t="s">
        <v>268</v>
      </c>
      <c r="B64" s="535">
        <v>0</v>
      </c>
      <c r="C64" s="535">
        <v>1</v>
      </c>
      <c r="D64" s="535">
        <f t="shared" si="0"/>
        <v>1</v>
      </c>
    </row>
    <row r="65" spans="1:6">
      <c r="A65" s="536" t="s">
        <v>269</v>
      </c>
      <c r="B65" s="535">
        <v>0</v>
      </c>
      <c r="C65" s="535">
        <v>0</v>
      </c>
      <c r="D65" s="535">
        <f t="shared" si="0"/>
        <v>0</v>
      </c>
    </row>
    <row r="66" spans="1:6">
      <c r="A66" s="536" t="s">
        <v>270</v>
      </c>
      <c r="B66" s="535">
        <v>0</v>
      </c>
      <c r="C66" s="535">
        <v>0</v>
      </c>
      <c r="D66" s="535">
        <f t="shared" si="0"/>
        <v>0</v>
      </c>
    </row>
    <row r="67" spans="1:6">
      <c r="A67" s="536" t="s">
        <v>271</v>
      </c>
      <c r="B67" s="535">
        <v>2</v>
      </c>
      <c r="C67" s="535">
        <v>0</v>
      </c>
      <c r="D67" s="535">
        <f t="shared" si="0"/>
        <v>2</v>
      </c>
    </row>
    <row r="68" spans="1:6">
      <c r="A68" s="536" t="s">
        <v>272</v>
      </c>
      <c r="B68" s="535">
        <v>0</v>
      </c>
      <c r="C68" s="535">
        <v>1</v>
      </c>
      <c r="D68" s="535">
        <f t="shared" si="0"/>
        <v>1</v>
      </c>
    </row>
    <row r="69" spans="1:6">
      <c r="A69" s="536" t="s">
        <v>273</v>
      </c>
      <c r="B69" s="535">
        <v>2</v>
      </c>
      <c r="C69" s="535">
        <v>1</v>
      </c>
      <c r="D69" s="535">
        <f t="shared" ref="D69:D71" si="1">SUM(B69:C69)</f>
        <v>3</v>
      </c>
    </row>
    <row r="70" spans="1:6">
      <c r="A70" s="536" t="s">
        <v>274</v>
      </c>
      <c r="B70" s="535">
        <v>1</v>
      </c>
      <c r="C70" s="535">
        <v>1</v>
      </c>
      <c r="D70" s="535">
        <f t="shared" si="1"/>
        <v>2</v>
      </c>
    </row>
    <row r="71" spans="1:6">
      <c r="A71" s="536" t="s">
        <v>275</v>
      </c>
      <c r="B71" s="535">
        <v>0</v>
      </c>
      <c r="C71" s="535">
        <v>0</v>
      </c>
      <c r="D71" s="535">
        <f t="shared" si="1"/>
        <v>0</v>
      </c>
    </row>
    <row r="72" spans="1:6">
      <c r="A72" s="536" t="s">
        <v>276</v>
      </c>
      <c r="B72" s="535">
        <v>2</v>
      </c>
      <c r="C72" s="535">
        <v>0</v>
      </c>
      <c r="D72" s="535">
        <f>SUM(B72:C72)</f>
        <v>2</v>
      </c>
    </row>
    <row r="73" spans="1:6">
      <c r="A73" s="540" t="s">
        <v>317</v>
      </c>
      <c r="B73" s="1079"/>
      <c r="C73" s="1080"/>
      <c r="D73" s="535">
        <v>18</v>
      </c>
    </row>
    <row r="74" spans="1:6">
      <c r="A74" s="541" t="s">
        <v>5</v>
      </c>
      <c r="B74" s="542">
        <f>SUM(B4:B72)</f>
        <v>189</v>
      </c>
      <c r="C74" s="542">
        <f>SUM(C4:C72)</f>
        <v>190</v>
      </c>
      <c r="D74" s="542">
        <f>SUM(D4:D73)</f>
        <v>397</v>
      </c>
    </row>
    <row r="75" spans="1:6">
      <c r="A75" s="564"/>
      <c r="B75" s="564"/>
      <c r="C75" s="564"/>
      <c r="D75" s="564"/>
      <c r="E75" s="564"/>
      <c r="F75" s="564"/>
    </row>
    <row r="76" spans="1:6" s="500" customFormat="1">
      <c r="A76" s="767" t="s">
        <v>415</v>
      </c>
      <c r="B76" s="767" t="s">
        <v>416</v>
      </c>
      <c r="C76" s="768" t="s">
        <v>439</v>
      </c>
      <c r="D76" s="767" t="s">
        <v>23</v>
      </c>
    </row>
    <row r="77" spans="1:6" s="500" customFormat="1">
      <c r="A77" s="768">
        <f>B74</f>
        <v>189</v>
      </c>
      <c r="B77" s="768">
        <f>C74</f>
        <v>190</v>
      </c>
      <c r="C77" s="768">
        <f>D73</f>
        <v>18</v>
      </c>
      <c r="D77" s="768">
        <f>SUM(A77:C77)</f>
        <v>397</v>
      </c>
    </row>
    <row r="78" spans="1:6">
      <c r="A78" s="564"/>
      <c r="B78" s="564"/>
      <c r="C78" s="564"/>
      <c r="D78" s="564"/>
      <c r="E78" s="564"/>
      <c r="F78" s="564"/>
    </row>
    <row r="79" spans="1:6">
      <c r="A79" s="564"/>
      <c r="B79" s="564"/>
      <c r="C79" s="564"/>
      <c r="D79" s="564"/>
      <c r="E79" s="564"/>
      <c r="F79" s="564"/>
    </row>
    <row r="80" spans="1:6">
      <c r="A80" s="564"/>
      <c r="B80" s="564"/>
      <c r="C80" s="564"/>
      <c r="D80" s="564"/>
      <c r="E80" s="564"/>
      <c r="F80" s="564"/>
    </row>
    <row r="81" spans="1:6">
      <c r="A81" s="564"/>
      <c r="B81" s="564"/>
      <c r="C81" s="564"/>
      <c r="D81" s="564"/>
      <c r="E81" s="564"/>
      <c r="F81" s="564"/>
    </row>
    <row r="82" spans="1:6">
      <c r="A82" s="564"/>
      <c r="B82" s="564"/>
      <c r="C82" s="564"/>
      <c r="D82" s="564"/>
      <c r="E82" s="564"/>
      <c r="F82" s="564"/>
    </row>
    <row r="83" spans="1:6">
      <c r="A83" s="564"/>
      <c r="B83" s="564"/>
      <c r="C83" s="564"/>
      <c r="D83" s="564"/>
      <c r="E83" s="564"/>
      <c r="F83" s="564"/>
    </row>
    <row r="84" spans="1:6">
      <c r="A84" s="564"/>
      <c r="B84" s="564"/>
      <c r="C84" s="564"/>
      <c r="D84" s="564"/>
      <c r="E84" s="564"/>
      <c r="F84" s="564"/>
    </row>
    <row r="85" spans="1:6">
      <c r="A85" s="564"/>
      <c r="B85" s="564"/>
      <c r="C85" s="564"/>
      <c r="D85" s="564"/>
      <c r="E85" s="564"/>
      <c r="F85" s="564"/>
    </row>
    <row r="86" spans="1:6">
      <c r="A86" s="564"/>
      <c r="B86" s="564"/>
      <c r="C86" s="564"/>
      <c r="D86" s="564"/>
      <c r="E86" s="564"/>
      <c r="F86" s="564"/>
    </row>
    <row r="87" spans="1:6">
      <c r="A87" s="564"/>
      <c r="B87" s="564"/>
      <c r="C87" s="564"/>
      <c r="D87" s="564"/>
      <c r="E87" s="564"/>
      <c r="F87" s="564"/>
    </row>
    <row r="88" spans="1:6">
      <c r="A88" s="564"/>
      <c r="B88" s="564"/>
      <c r="C88" s="564"/>
      <c r="D88" s="564"/>
      <c r="E88" s="564"/>
      <c r="F88" s="564"/>
    </row>
    <row r="89" spans="1:6">
      <c r="A89" s="564"/>
      <c r="B89" s="564"/>
      <c r="C89" s="564"/>
      <c r="D89" s="564"/>
      <c r="E89" s="564"/>
      <c r="F89" s="564"/>
    </row>
    <row r="90" spans="1:6">
      <c r="A90" s="564"/>
      <c r="B90" s="564"/>
      <c r="C90" s="564"/>
      <c r="D90" s="564"/>
      <c r="E90" s="564"/>
      <c r="F90" s="564"/>
    </row>
    <row r="91" spans="1:6">
      <c r="A91" s="564"/>
      <c r="B91" s="564"/>
      <c r="C91" s="564"/>
      <c r="D91" s="564"/>
      <c r="E91" s="564"/>
      <c r="F91" s="564"/>
    </row>
    <row r="92" spans="1:6">
      <c r="A92" s="564"/>
      <c r="B92" s="564"/>
      <c r="C92" s="564"/>
      <c r="D92" s="564"/>
      <c r="E92" s="564"/>
      <c r="F92" s="564"/>
    </row>
    <row r="93" spans="1:6">
      <c r="A93" s="564"/>
      <c r="B93" s="564"/>
      <c r="C93" s="564"/>
      <c r="D93" s="564"/>
      <c r="E93" s="564"/>
      <c r="F93" s="564"/>
    </row>
    <row r="94" spans="1:6">
      <c r="A94" s="564"/>
      <c r="B94" s="564"/>
      <c r="C94" s="564"/>
      <c r="D94" s="564"/>
      <c r="E94" s="564"/>
      <c r="F94" s="564"/>
    </row>
    <row r="95" spans="1:6">
      <c r="A95" s="564"/>
      <c r="B95" s="564"/>
      <c r="C95" s="564"/>
      <c r="D95" s="564"/>
      <c r="E95" s="564"/>
      <c r="F95" s="564"/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H74"/>
  <sheetViews>
    <sheetView topLeftCell="A52" workbookViewId="0">
      <selection activeCell="F73" sqref="F73"/>
    </sheetView>
  </sheetViews>
  <sheetFormatPr defaultRowHeight="15"/>
  <cols>
    <col min="1" max="1" width="74.28515625" customWidth="1"/>
    <col min="3" max="3" width="11" customWidth="1"/>
    <col min="7" max="7" width="16.28515625" customWidth="1"/>
    <col min="8" max="8" width="14.140625" customWidth="1"/>
  </cols>
  <sheetData>
    <row r="1" spans="1:8">
      <c r="A1" s="525" t="s">
        <v>0</v>
      </c>
    </row>
    <row r="2" spans="1:8">
      <c r="A2" s="527" t="s">
        <v>1</v>
      </c>
    </row>
    <row r="3" spans="1:8">
      <c r="A3" s="1021" t="s">
        <v>522</v>
      </c>
      <c r="B3" s="1021" t="s">
        <v>411</v>
      </c>
      <c r="C3" s="1021" t="s">
        <v>490</v>
      </c>
      <c r="D3" s="1021" t="s">
        <v>505</v>
      </c>
      <c r="E3" s="1022" t="s">
        <v>521</v>
      </c>
      <c r="F3" s="1021" t="s">
        <v>5</v>
      </c>
      <c r="G3" s="1021" t="s">
        <v>315</v>
      </c>
      <c r="H3" s="1021" t="s">
        <v>316</v>
      </c>
    </row>
    <row r="4" spans="1:8">
      <c r="A4" s="1023" t="s">
        <v>212</v>
      </c>
      <c r="B4" s="1024">
        <f>VLOOKUP(A4,[1]JANEIRO!$A:$B,2,0)</f>
        <v>2</v>
      </c>
      <c r="C4" s="1024">
        <f>VLOOKUP(A4,[1]FEVEREIRO!$A:$B,2,0)</f>
        <v>4</v>
      </c>
      <c r="D4" s="1024">
        <f>VLOOKUP(A4,[1]MARÇO!$A:$B,2,0)</f>
        <v>2</v>
      </c>
      <c r="E4" s="1025">
        <v>6</v>
      </c>
      <c r="F4" s="1031">
        <f>SUM(B4:E4)</f>
        <v>14</v>
      </c>
      <c r="G4" s="535">
        <f>VLOOKUP(A4,[2]def!$A:$B,2,0)</f>
        <v>10</v>
      </c>
      <c r="H4" s="535">
        <f>VLOOKUP(A4,[2]indef!$A:$B,2,0)</f>
        <v>4</v>
      </c>
    </row>
    <row r="5" spans="1:8">
      <c r="A5" s="539" t="s">
        <v>417</v>
      </c>
      <c r="B5" s="1024">
        <f>VLOOKUP(A5,[1]JANEIRO!$A:$B,2,0)</f>
        <v>0</v>
      </c>
      <c r="C5" s="1024">
        <f>VLOOKUP(A5,[1]FEVEREIRO!$A:$B,2,0)</f>
        <v>0</v>
      </c>
      <c r="D5" s="1024">
        <f>VLOOKUP(A5,[1]MARÇO!$A:$B,2,0)</f>
        <v>0</v>
      </c>
      <c r="E5" s="517">
        <v>0</v>
      </c>
      <c r="F5" s="1032">
        <f t="shared" ref="F5:F68" si="0">SUM(B5:E5)</f>
        <v>0</v>
      </c>
      <c r="G5" s="535">
        <f>VLOOKUP(A5,[2]def!$A:$B,2,0)</f>
        <v>0</v>
      </c>
      <c r="H5" s="535">
        <f>VLOOKUP(A5,[2]indef!$A:$B,2,0)</f>
        <v>0</v>
      </c>
    </row>
    <row r="6" spans="1:8">
      <c r="A6" s="1026" t="s">
        <v>213</v>
      </c>
      <c r="B6" s="1024">
        <f>VLOOKUP(A6,[1]JANEIRO!$A:$B,2,0)</f>
        <v>1</v>
      </c>
      <c r="C6" s="1024">
        <f>VLOOKUP(A6,[1]FEVEREIRO!$A:$B,2,0)</f>
        <v>0</v>
      </c>
      <c r="D6" s="1024">
        <f>VLOOKUP(A6,[1]MARÇO!$A:$B,2,0)</f>
        <v>0</v>
      </c>
      <c r="E6" s="517">
        <v>0</v>
      </c>
      <c r="F6" s="1032">
        <f t="shared" si="0"/>
        <v>1</v>
      </c>
      <c r="G6" s="535">
        <f>VLOOKUP(A6,[2]def!$A:$B,2,0)</f>
        <v>1</v>
      </c>
      <c r="H6" s="535">
        <f>VLOOKUP(A6,[2]indef!$A:$B,2,0)</f>
        <v>0</v>
      </c>
    </row>
    <row r="7" spans="1:8">
      <c r="A7" s="1026" t="s">
        <v>214</v>
      </c>
      <c r="B7" s="1024">
        <f>VLOOKUP(A7,[1]JANEIRO!$A:$B,2,0)</f>
        <v>0</v>
      </c>
      <c r="C7" s="1024">
        <f>VLOOKUP(A7,[1]FEVEREIRO!$A:$B,2,0)</f>
        <v>0</v>
      </c>
      <c r="D7" s="1024">
        <f>VLOOKUP(A7,[1]MARÇO!$A:$B,2,0)</f>
        <v>2</v>
      </c>
      <c r="E7" s="517">
        <v>0</v>
      </c>
      <c r="F7" s="1032">
        <f t="shared" si="0"/>
        <v>2</v>
      </c>
      <c r="G7" s="535">
        <f>VLOOKUP(A7,[2]def!$A:$B,2,0)</f>
        <v>1</v>
      </c>
      <c r="H7" s="535">
        <f>VLOOKUP(A7,[2]indef!$A:$B,2,0)</f>
        <v>1</v>
      </c>
    </row>
    <row r="8" spans="1:8">
      <c r="A8" s="1026" t="s">
        <v>215</v>
      </c>
      <c r="B8" s="1024">
        <f>VLOOKUP(A8,[1]JANEIRO!$A:$B,2,0)</f>
        <v>0</v>
      </c>
      <c r="C8" s="1024">
        <f>VLOOKUP(A8,[1]FEVEREIRO!$A:$B,2,0)</f>
        <v>0</v>
      </c>
      <c r="D8" s="1024">
        <f>VLOOKUP(A8,[1]MARÇO!$A:$B,2,0)</f>
        <v>0</v>
      </c>
      <c r="E8" s="517">
        <v>1</v>
      </c>
      <c r="F8" s="1032">
        <f t="shared" si="0"/>
        <v>1</v>
      </c>
      <c r="G8" s="535">
        <f>VLOOKUP(A8,[2]def!$A:$B,2,0)</f>
        <v>0</v>
      </c>
      <c r="H8" s="535">
        <f>VLOOKUP(A8,[2]indef!$A:$B,2,0)</f>
        <v>1</v>
      </c>
    </row>
    <row r="9" spans="1:8">
      <c r="A9" s="1026" t="s">
        <v>216</v>
      </c>
      <c r="B9" s="1024">
        <f>VLOOKUP(A9,[1]JANEIRO!$A:$B,2,0)</f>
        <v>1</v>
      </c>
      <c r="C9" s="1024">
        <f>VLOOKUP(A9,[1]FEVEREIRO!$A:$B,2,0)</f>
        <v>4</v>
      </c>
      <c r="D9" s="1024">
        <f>VLOOKUP(A9,[1]MARÇO!$A:$B,2,0)</f>
        <v>0</v>
      </c>
      <c r="E9" s="517">
        <v>1</v>
      </c>
      <c r="F9" s="1032">
        <f t="shared" si="0"/>
        <v>6</v>
      </c>
      <c r="G9" s="535">
        <f>VLOOKUP(A9,[2]def!$A:$B,2,0)</f>
        <v>4</v>
      </c>
      <c r="H9" s="535">
        <f>VLOOKUP(A9,[2]indef!$A:$B,2,0)</f>
        <v>2</v>
      </c>
    </row>
    <row r="10" spans="1:8">
      <c r="A10" s="1026" t="s">
        <v>217</v>
      </c>
      <c r="B10" s="1024">
        <f>VLOOKUP(A10,[1]JANEIRO!$A:$B,2,0)</f>
        <v>0</v>
      </c>
      <c r="C10" s="1024">
        <f>VLOOKUP(A10,[1]FEVEREIRO!$A:$B,2,0)</f>
        <v>0</v>
      </c>
      <c r="D10" s="1024">
        <f>VLOOKUP(A10,[1]MARÇO!$A:$B,2,0)</f>
        <v>6</v>
      </c>
      <c r="E10" s="517">
        <v>72</v>
      </c>
      <c r="F10" s="1032">
        <f t="shared" si="0"/>
        <v>78</v>
      </c>
      <c r="G10" s="535">
        <f>VLOOKUP(A10,[2]def!$A:$B,2,0)</f>
        <v>0</v>
      </c>
      <c r="H10" s="535">
        <f>VLOOKUP(A10,[2]indef!$A:$B,2,0)</f>
        <v>78</v>
      </c>
    </row>
    <row r="11" spans="1:8">
      <c r="A11" s="1026" t="s">
        <v>144</v>
      </c>
      <c r="B11" s="1024">
        <f>VLOOKUP(A11,[1]JANEIRO!$A:$B,2,0)</f>
        <v>8</v>
      </c>
      <c r="C11" s="1024">
        <f>VLOOKUP(A11,[1]FEVEREIRO!$A:$B,2,0)</f>
        <v>32</v>
      </c>
      <c r="D11" s="1024">
        <f>VLOOKUP(A11,[1]MARÇO!$A:$B,2,0)</f>
        <v>22</v>
      </c>
      <c r="E11" s="517">
        <v>2</v>
      </c>
      <c r="F11" s="1032">
        <f t="shared" si="0"/>
        <v>64</v>
      </c>
      <c r="G11" s="535">
        <f>VLOOKUP(A11,[2]def!$A:$B,2,0)</f>
        <v>0</v>
      </c>
      <c r="H11" s="535">
        <f>VLOOKUP(A11,[2]indef!$A:$B,2,0)</f>
        <v>64</v>
      </c>
    </row>
    <row r="12" spans="1:8">
      <c r="A12" s="1026" t="s">
        <v>218</v>
      </c>
      <c r="B12" s="1024">
        <f>VLOOKUP(A12,[1]JANEIRO!$A:$B,2,0)</f>
        <v>0</v>
      </c>
      <c r="C12" s="1024">
        <f>VLOOKUP(A12,[1]FEVEREIRO!$A:$B,2,0)</f>
        <v>0</v>
      </c>
      <c r="D12" s="1024">
        <f>VLOOKUP(A12,[1]MARÇO!$A:$B,2,0)</f>
        <v>0</v>
      </c>
      <c r="E12" s="517">
        <v>0</v>
      </c>
      <c r="F12" s="1032">
        <f t="shared" si="0"/>
        <v>0</v>
      </c>
      <c r="G12" s="535">
        <f>VLOOKUP(A12,[2]def!$A:$B,2,0)</f>
        <v>0</v>
      </c>
      <c r="H12" s="535">
        <f>VLOOKUP(A12,[2]indef!$A:$B,2,0)</f>
        <v>0</v>
      </c>
    </row>
    <row r="13" spans="1:8">
      <c r="A13" s="1026" t="s">
        <v>219</v>
      </c>
      <c r="B13" s="1024">
        <f>VLOOKUP(A13,[1]JANEIRO!$A:$B,2,0)</f>
        <v>0</v>
      </c>
      <c r="C13" s="1024">
        <f>VLOOKUP(A13,[1]FEVEREIRO!$A:$B,2,0)</f>
        <v>0</v>
      </c>
      <c r="D13" s="1024">
        <f>VLOOKUP(A13,[1]MARÇO!$A:$B,2,0)</f>
        <v>0</v>
      </c>
      <c r="E13" s="517">
        <v>1</v>
      </c>
      <c r="F13" s="1032">
        <f t="shared" si="0"/>
        <v>1</v>
      </c>
      <c r="G13" s="535">
        <f>VLOOKUP(A13,[2]def!$A:$B,2,0)</f>
        <v>1</v>
      </c>
      <c r="H13" s="535">
        <f>VLOOKUP(A13,[2]indef!$A:$B,2,0)</f>
        <v>0</v>
      </c>
    </row>
    <row r="14" spans="1:8">
      <c r="A14" s="1026" t="s">
        <v>220</v>
      </c>
      <c r="B14" s="1024">
        <f>VLOOKUP(A14,[1]JANEIRO!$A:$B,2,0)</f>
        <v>5</v>
      </c>
      <c r="C14" s="1024">
        <f>VLOOKUP(A14,[1]FEVEREIRO!$A:$B,2,0)</f>
        <v>5</v>
      </c>
      <c r="D14" s="1024">
        <f>VLOOKUP(A14,[1]MARÇO!$A:$B,2,0)</f>
        <v>5</v>
      </c>
      <c r="E14" s="517">
        <v>7</v>
      </c>
      <c r="F14" s="1032">
        <f t="shared" si="0"/>
        <v>22</v>
      </c>
      <c r="G14" s="535">
        <f>VLOOKUP(A14,[2]def!$A:$B,2,0)</f>
        <v>13</v>
      </c>
      <c r="H14" s="535">
        <f>VLOOKUP(A14,[2]indef!$A:$B,2,0)</f>
        <v>9</v>
      </c>
    </row>
    <row r="15" spans="1:8">
      <c r="A15" s="1026" t="s">
        <v>221</v>
      </c>
      <c r="B15" s="1024">
        <f>VLOOKUP(A15,[1]JANEIRO!$A:$B,2,0)</f>
        <v>0</v>
      </c>
      <c r="C15" s="1024">
        <f>VLOOKUP(A15,[1]FEVEREIRO!$A:$B,2,0)</f>
        <v>0</v>
      </c>
      <c r="D15" s="1024">
        <f>VLOOKUP(A15,[1]MARÇO!$A:$B,2,0)</f>
        <v>0</v>
      </c>
      <c r="E15" s="517">
        <v>0</v>
      </c>
      <c r="F15" s="1032">
        <f t="shared" si="0"/>
        <v>0</v>
      </c>
      <c r="G15" s="535">
        <f>VLOOKUP(A15,[2]def!$A:$B,2,0)</f>
        <v>0</v>
      </c>
      <c r="H15" s="535">
        <f>VLOOKUP(A15,[2]indef!$A:$B,2,0)</f>
        <v>0</v>
      </c>
    </row>
    <row r="16" spans="1:8">
      <c r="A16" s="1026" t="s">
        <v>222</v>
      </c>
      <c r="B16" s="1024">
        <f>VLOOKUP(A16,[1]JANEIRO!$A:$B,2,0)</f>
        <v>0</v>
      </c>
      <c r="C16" s="1024">
        <f>VLOOKUP(A16,[1]FEVEREIRO!$A:$B,2,0)</f>
        <v>0</v>
      </c>
      <c r="D16" s="1024">
        <f>VLOOKUP(A16,[1]MARÇO!$A:$B,2,0)</f>
        <v>1</v>
      </c>
      <c r="E16" s="517">
        <v>0</v>
      </c>
      <c r="F16" s="1032">
        <f t="shared" si="0"/>
        <v>1</v>
      </c>
      <c r="G16" s="535">
        <f>VLOOKUP(A16,[2]def!$A:$B,2,0)</f>
        <v>0</v>
      </c>
      <c r="H16" s="535">
        <f>VLOOKUP(A16,[2]indef!$A:$B,2,0)</f>
        <v>1</v>
      </c>
    </row>
    <row r="17" spans="1:8">
      <c r="A17" s="1026" t="s">
        <v>223</v>
      </c>
      <c r="B17" s="1024">
        <f>VLOOKUP(A17,[1]JANEIRO!$A:$B,2,0)</f>
        <v>0</v>
      </c>
      <c r="C17" s="1024">
        <f>VLOOKUP(A17,[1]FEVEREIRO!$A:$B,2,0)</f>
        <v>1</v>
      </c>
      <c r="D17" s="1024">
        <f>VLOOKUP(A17,[1]MARÇO!$A:$B,2,0)</f>
        <v>2</v>
      </c>
      <c r="E17" s="517">
        <v>0</v>
      </c>
      <c r="F17" s="1032">
        <f t="shared" si="0"/>
        <v>3</v>
      </c>
      <c r="G17" s="535">
        <f>VLOOKUP(A17,[2]def!$A:$B,2,0)</f>
        <v>2</v>
      </c>
      <c r="H17" s="535">
        <f>VLOOKUP(A17,[2]indef!$A:$B,2,0)</f>
        <v>1</v>
      </c>
    </row>
    <row r="18" spans="1:8">
      <c r="A18" s="1026" t="s">
        <v>224</v>
      </c>
      <c r="B18" s="1024">
        <f>VLOOKUP(A18,[1]JANEIRO!$A:$B,2,0)</f>
        <v>1</v>
      </c>
      <c r="C18" s="1024">
        <f>VLOOKUP(A18,[1]FEVEREIRO!$A:$B,2,0)</f>
        <v>0</v>
      </c>
      <c r="D18" s="1024">
        <f>VLOOKUP(A18,[1]MARÇO!$A:$B,2,0)</f>
        <v>0</v>
      </c>
      <c r="E18" s="517">
        <v>2</v>
      </c>
      <c r="F18" s="1032">
        <f t="shared" si="0"/>
        <v>3</v>
      </c>
      <c r="G18" s="535">
        <f>VLOOKUP(A18,[2]def!$A:$B,2,0)</f>
        <v>2</v>
      </c>
      <c r="H18" s="535">
        <f>VLOOKUP(A18,[2]indef!$A:$B,2,0)</f>
        <v>1</v>
      </c>
    </row>
    <row r="19" spans="1:8">
      <c r="A19" s="1026" t="s">
        <v>486</v>
      </c>
      <c r="B19" s="1024">
        <f>VLOOKUP(A19,[1]JANEIRO!$A:$B,2,0)</f>
        <v>2</v>
      </c>
      <c r="C19" s="1024">
        <f>VLOOKUP(A19,[1]FEVEREIRO!$A:$B,2,0)</f>
        <v>0</v>
      </c>
      <c r="D19" s="1024">
        <f>VLOOKUP(A19,[1]MARÇO!$A:$B,2,0)</f>
        <v>0</v>
      </c>
      <c r="E19" s="517">
        <v>0</v>
      </c>
      <c r="F19" s="1032">
        <f t="shared" si="0"/>
        <v>2</v>
      </c>
      <c r="G19" s="535">
        <f>VLOOKUP(A19,[2]def!$A:$B,2,0)</f>
        <v>2</v>
      </c>
      <c r="H19" s="535">
        <f>VLOOKUP(A19,[2]indef!$A:$B,2,0)</f>
        <v>0</v>
      </c>
    </row>
    <row r="20" spans="1:8">
      <c r="A20" s="1026" t="s">
        <v>225</v>
      </c>
      <c r="B20" s="1024">
        <f>VLOOKUP(A20,[1]JANEIRO!$A:$B,2,0)</f>
        <v>0</v>
      </c>
      <c r="C20" s="1024">
        <f>VLOOKUP(A20,[1]FEVEREIRO!$A:$B,2,0)</f>
        <v>0</v>
      </c>
      <c r="D20" s="1024">
        <f>VLOOKUP(A20,[1]MARÇO!$A:$B,2,0)</f>
        <v>0</v>
      </c>
      <c r="E20" s="517">
        <v>3</v>
      </c>
      <c r="F20" s="1032">
        <f t="shared" si="0"/>
        <v>3</v>
      </c>
      <c r="G20" s="535">
        <f>VLOOKUP(A20,[2]def!$A:$B,2,0)</f>
        <v>2</v>
      </c>
      <c r="H20" s="535">
        <f>VLOOKUP(A20,[2]indef!$A:$B,2,0)</f>
        <v>1</v>
      </c>
    </row>
    <row r="21" spans="1:8">
      <c r="A21" s="1026" t="s">
        <v>226</v>
      </c>
      <c r="B21" s="1024">
        <f>VLOOKUP(A21,[1]JANEIRO!$A:$B,2,0)</f>
        <v>0</v>
      </c>
      <c r="C21" s="1024">
        <f>VLOOKUP(A21,[1]FEVEREIRO!$A:$B,2,0)</f>
        <v>0</v>
      </c>
      <c r="D21" s="1024">
        <f>VLOOKUP(A21,[1]MARÇO!$A:$B,2,0)</f>
        <v>0</v>
      </c>
      <c r="E21" s="517">
        <v>0</v>
      </c>
      <c r="F21" s="1032">
        <f t="shared" si="0"/>
        <v>0</v>
      </c>
      <c r="G21" s="535">
        <f>VLOOKUP(A21,[2]def!$A:$B,2,0)</f>
        <v>0</v>
      </c>
      <c r="H21" s="535">
        <f>VLOOKUP(A21,[2]indef!$A:$B,2,0)</f>
        <v>0</v>
      </c>
    </row>
    <row r="22" spans="1:8">
      <c r="A22" s="1026" t="s">
        <v>227</v>
      </c>
      <c r="B22" s="1024">
        <f>VLOOKUP(A22,[1]JANEIRO!$A:$B,2,0)</f>
        <v>47</v>
      </c>
      <c r="C22" s="1024">
        <f>VLOOKUP(A22,[1]FEVEREIRO!$A:$B,2,0)</f>
        <v>40</v>
      </c>
      <c r="D22" s="1024">
        <f>VLOOKUP(A22,[1]MARÇO!$A:$B,2,0)</f>
        <v>60</v>
      </c>
      <c r="E22" s="517">
        <v>66</v>
      </c>
      <c r="F22" s="1032">
        <f t="shared" si="0"/>
        <v>213</v>
      </c>
      <c r="G22" s="535">
        <f>VLOOKUP(A22,[2]def!$A:$B,2,0)</f>
        <v>114</v>
      </c>
      <c r="H22" s="535">
        <f>VLOOKUP(A22,[2]indef!$A:$B,2,0)</f>
        <v>99</v>
      </c>
    </row>
    <row r="23" spans="1:8">
      <c r="A23" s="1026" t="s">
        <v>228</v>
      </c>
      <c r="B23" s="1024">
        <f>VLOOKUP(A23,[1]JANEIRO!$A:$B,2,0)</f>
        <v>3</v>
      </c>
      <c r="C23" s="1024">
        <f>VLOOKUP(A23,[1]FEVEREIRO!$A:$B,2,0)</f>
        <v>4</v>
      </c>
      <c r="D23" s="1024">
        <f>VLOOKUP(A23,[1]MARÇO!$A:$B,2,0)</f>
        <v>13</v>
      </c>
      <c r="E23" s="517">
        <v>10</v>
      </c>
      <c r="F23" s="1032">
        <f t="shared" si="0"/>
        <v>30</v>
      </c>
      <c r="G23" s="535">
        <f>VLOOKUP(A23,[2]def!$A:$B,2,0)</f>
        <v>9</v>
      </c>
      <c r="H23" s="535">
        <f>VLOOKUP(A23,[2]indef!$A:$B,2,0)</f>
        <v>21</v>
      </c>
    </row>
    <row r="24" spans="1:8">
      <c r="A24" s="1027" t="s">
        <v>229</v>
      </c>
      <c r="B24" s="1024">
        <f>VLOOKUP(A24,[1]JANEIRO!$A:$B,2,0)</f>
        <v>15</v>
      </c>
      <c r="C24" s="1024">
        <f>VLOOKUP(A24,[1]FEVEREIRO!$A:$B,2,0)</f>
        <v>21</v>
      </c>
      <c r="D24" s="1024">
        <f>VLOOKUP(A24,[1]MARÇO!$A:$B,2,0)</f>
        <v>20</v>
      </c>
      <c r="E24" s="517">
        <v>27</v>
      </c>
      <c r="F24" s="1032">
        <f t="shared" si="0"/>
        <v>83</v>
      </c>
      <c r="G24" s="535">
        <f>VLOOKUP(A24,[2]def!$A:$B,2,0)</f>
        <v>47</v>
      </c>
      <c r="H24" s="535">
        <f>VLOOKUP(A24,[2]indef!$A:$B,2,0)</f>
        <v>36</v>
      </c>
    </row>
    <row r="25" spans="1:8">
      <c r="A25" s="539" t="s">
        <v>418</v>
      </c>
      <c r="B25" s="1024">
        <f>VLOOKUP(A25,[1]JANEIRO!$A:$B,2,0)</f>
        <v>0</v>
      </c>
      <c r="C25" s="1024">
        <f>VLOOKUP(A25,[1]FEVEREIRO!$A:$B,2,0)</f>
        <v>0</v>
      </c>
      <c r="D25" s="1024">
        <f>VLOOKUP(A25,[1]MARÇO!$A:$B,2,0)</f>
        <v>0</v>
      </c>
      <c r="E25" s="517">
        <v>0</v>
      </c>
      <c r="F25" s="1032">
        <f t="shared" si="0"/>
        <v>0</v>
      </c>
      <c r="G25" s="535">
        <f>VLOOKUP(A25,[2]def!$A:$B,2,0)</f>
        <v>0</v>
      </c>
      <c r="H25" s="535">
        <f>VLOOKUP(A25,[2]indef!$A:$B,2,0)</f>
        <v>0</v>
      </c>
    </row>
    <row r="26" spans="1:8">
      <c r="A26" s="1023" t="s">
        <v>230</v>
      </c>
      <c r="B26" s="1024">
        <f>VLOOKUP(A26,[1]JANEIRO!$A:$B,2,0)</f>
        <v>9</v>
      </c>
      <c r="C26" s="1024">
        <f>VLOOKUP(A26,[1]FEVEREIRO!$A:$B,2,0)</f>
        <v>4</v>
      </c>
      <c r="D26" s="1024">
        <f>VLOOKUP(A26,[1]MARÇO!$A:$B,2,0)</f>
        <v>9</v>
      </c>
      <c r="E26" s="517">
        <v>6</v>
      </c>
      <c r="F26" s="1032">
        <f t="shared" si="0"/>
        <v>28</v>
      </c>
      <c r="G26" s="535">
        <f>VLOOKUP(A26,[2]def!$A:$B,2,0)</f>
        <v>21</v>
      </c>
      <c r="H26" s="535">
        <f>VLOOKUP(A26,[2]indef!$A:$B,2,0)</f>
        <v>7</v>
      </c>
    </row>
    <row r="27" spans="1:8">
      <c r="A27" s="1026" t="s">
        <v>231</v>
      </c>
      <c r="B27" s="1024">
        <f>VLOOKUP(A27,[1]JANEIRO!$A:$B,2,0)</f>
        <v>1</v>
      </c>
      <c r="C27" s="1024">
        <f>VLOOKUP(A27,[1]FEVEREIRO!$A:$B,2,0)</f>
        <v>2</v>
      </c>
      <c r="D27" s="1024">
        <f>VLOOKUP(A27,[1]MARÇO!$A:$B,2,0)</f>
        <v>0</v>
      </c>
      <c r="E27" s="517">
        <v>2</v>
      </c>
      <c r="F27" s="1032">
        <f t="shared" si="0"/>
        <v>5</v>
      </c>
      <c r="G27" s="535">
        <f>VLOOKUP(A27,[2]def!$A:$B,2,0)</f>
        <v>2</v>
      </c>
      <c r="H27" s="535">
        <f>VLOOKUP(A27,[2]indef!$A:$B,2,0)</f>
        <v>3</v>
      </c>
    </row>
    <row r="28" spans="1:8">
      <c r="A28" s="1026" t="s">
        <v>232</v>
      </c>
      <c r="B28" s="1024">
        <f>VLOOKUP(A28,[1]JANEIRO!$A:$B,2,0)</f>
        <v>6</v>
      </c>
      <c r="C28" s="1024">
        <f>VLOOKUP(A28,[1]FEVEREIRO!$A:$B,2,0)</f>
        <v>10</v>
      </c>
      <c r="D28" s="1024">
        <f>VLOOKUP(A28,[1]MARÇO!$A:$B,2,0)</f>
        <v>0</v>
      </c>
      <c r="E28" s="517">
        <v>8</v>
      </c>
      <c r="F28" s="1032">
        <f t="shared" si="0"/>
        <v>24</v>
      </c>
      <c r="G28" s="535">
        <f>VLOOKUP(A28,[2]def!$A:$B,2,0)</f>
        <v>20</v>
      </c>
      <c r="H28" s="535">
        <f>VLOOKUP(A28,[2]indef!$A:$B,2,0)</f>
        <v>4</v>
      </c>
    </row>
    <row r="29" spans="1:8">
      <c r="A29" s="1026" t="s">
        <v>233</v>
      </c>
      <c r="B29" s="1024">
        <f>VLOOKUP(A29,[1]JANEIRO!$A:$B,2,0)</f>
        <v>51</v>
      </c>
      <c r="C29" s="1024">
        <f>VLOOKUP(A29,[1]FEVEREIRO!$A:$B,2,0)</f>
        <v>40</v>
      </c>
      <c r="D29" s="1024">
        <f>VLOOKUP(A29,[1]MARÇO!$A:$B,2,0)</f>
        <v>51</v>
      </c>
      <c r="E29" s="517">
        <v>88</v>
      </c>
      <c r="F29" s="1032">
        <f t="shared" si="0"/>
        <v>230</v>
      </c>
      <c r="G29" s="535">
        <f>VLOOKUP(A29,[2]def!$A:$B,2,0)</f>
        <v>152</v>
      </c>
      <c r="H29" s="535">
        <f>VLOOKUP(A29,[2]indef!$A:$B,2,0)</f>
        <v>78</v>
      </c>
    </row>
    <row r="30" spans="1:8">
      <c r="A30" s="1026" t="s">
        <v>234</v>
      </c>
      <c r="B30" s="1024">
        <f>VLOOKUP(A30,[1]JANEIRO!$A:$B,2,0)</f>
        <v>4</v>
      </c>
      <c r="C30" s="1024">
        <f>VLOOKUP(A30,[1]FEVEREIRO!$A:$B,2,0)</f>
        <v>6</v>
      </c>
      <c r="D30" s="1024">
        <f>VLOOKUP(A30,[1]MARÇO!$A:$B,2,0)</f>
        <v>9</v>
      </c>
      <c r="E30" s="517">
        <v>3</v>
      </c>
      <c r="F30" s="1032">
        <f t="shared" si="0"/>
        <v>22</v>
      </c>
      <c r="G30" s="535">
        <f>VLOOKUP(A30,[2]def!$A:$B,2,0)</f>
        <v>8</v>
      </c>
      <c r="H30" s="535">
        <f>VLOOKUP(A30,[2]indef!$A:$B,2,0)</f>
        <v>14</v>
      </c>
    </row>
    <row r="31" spans="1:8">
      <c r="A31" s="1026" t="s">
        <v>235</v>
      </c>
      <c r="B31" s="1024">
        <f>VLOOKUP(A31,[1]JANEIRO!$A:$B,2,0)</f>
        <v>1</v>
      </c>
      <c r="C31" s="1024">
        <f>VLOOKUP(A31,[1]FEVEREIRO!$A:$B,2,0)</f>
        <v>2</v>
      </c>
      <c r="D31" s="1024">
        <f>VLOOKUP(A31,[1]MARÇO!$A:$B,2,0)</f>
        <v>2</v>
      </c>
      <c r="E31" s="517">
        <v>0</v>
      </c>
      <c r="F31" s="1032">
        <f t="shared" si="0"/>
        <v>5</v>
      </c>
      <c r="G31" s="535">
        <f>VLOOKUP(A31,[2]def!$A:$B,2,0)</f>
        <v>2</v>
      </c>
      <c r="H31" s="535">
        <f>VLOOKUP(A31,[2]indef!$A:$B,2,0)</f>
        <v>3</v>
      </c>
    </row>
    <row r="32" spans="1:8">
      <c r="A32" s="1026" t="s">
        <v>236</v>
      </c>
      <c r="B32" s="1024">
        <f>VLOOKUP(A32,[1]JANEIRO!$A:$B,2,0)</f>
        <v>1</v>
      </c>
      <c r="C32" s="1024">
        <f>VLOOKUP(A32,[1]FEVEREIRO!$A:$B,2,0)</f>
        <v>2</v>
      </c>
      <c r="D32" s="1024">
        <f>VLOOKUP(A32,[1]MARÇO!$A:$B,2,0)</f>
        <v>0</v>
      </c>
      <c r="E32" s="517">
        <v>0</v>
      </c>
      <c r="F32" s="1032">
        <f t="shared" si="0"/>
        <v>3</v>
      </c>
      <c r="G32" s="535">
        <f>VLOOKUP(A32,[2]def!$A:$B,2,0)</f>
        <v>1</v>
      </c>
      <c r="H32" s="535">
        <f>VLOOKUP(A32,[2]indef!$A:$B,2,0)</f>
        <v>2</v>
      </c>
    </row>
    <row r="33" spans="1:8">
      <c r="A33" s="1026" t="s">
        <v>237</v>
      </c>
      <c r="B33" s="1024">
        <f>VLOOKUP(A33,[1]JANEIRO!$A:$B,2,0)</f>
        <v>1</v>
      </c>
      <c r="C33" s="1024">
        <f>VLOOKUP(A33,[1]FEVEREIRO!$A:$B,2,0)</f>
        <v>1</v>
      </c>
      <c r="D33" s="1024">
        <f>VLOOKUP(A33,[1]MARÇO!$A:$B,2,0)</f>
        <v>2</v>
      </c>
      <c r="E33" s="517">
        <v>1</v>
      </c>
      <c r="F33" s="1032">
        <f t="shared" si="0"/>
        <v>5</v>
      </c>
      <c r="G33" s="535">
        <f>VLOOKUP(A33,[2]def!$A:$B,2,0)</f>
        <v>5</v>
      </c>
      <c r="H33" s="535">
        <f>VLOOKUP(A33,[2]indef!$A:$B,2,0)</f>
        <v>0</v>
      </c>
    </row>
    <row r="34" spans="1:8">
      <c r="A34" s="1026" t="s">
        <v>238</v>
      </c>
      <c r="B34" s="1024">
        <f>VLOOKUP(A34,[1]JANEIRO!$A:$B,2,0)</f>
        <v>3</v>
      </c>
      <c r="C34" s="1024">
        <f>VLOOKUP(A34,[1]FEVEREIRO!$A:$B,2,0)</f>
        <v>2</v>
      </c>
      <c r="D34" s="1024">
        <f>VLOOKUP(A34,[1]MARÇO!$A:$B,2,0)</f>
        <v>0</v>
      </c>
      <c r="E34" s="517">
        <v>5</v>
      </c>
      <c r="F34" s="1032">
        <f t="shared" si="0"/>
        <v>10</v>
      </c>
      <c r="G34" s="535">
        <f>VLOOKUP(A34,[2]def!$A:$B,2,0)</f>
        <v>5</v>
      </c>
      <c r="H34" s="535">
        <f>VLOOKUP(A34,[2]indef!$A:$B,2,0)</f>
        <v>5</v>
      </c>
    </row>
    <row r="35" spans="1:8">
      <c r="A35" s="1026" t="s">
        <v>239</v>
      </c>
      <c r="B35" s="1024">
        <f>VLOOKUP(A35,[1]JANEIRO!$A:$B,2,0)</f>
        <v>0</v>
      </c>
      <c r="C35" s="1024">
        <f>VLOOKUP(A35,[1]FEVEREIRO!$A:$B,2,0)</f>
        <v>0</v>
      </c>
      <c r="D35" s="1024">
        <f>VLOOKUP(A35,[1]MARÇO!$A:$B,2,0)</f>
        <v>0</v>
      </c>
      <c r="E35" s="517">
        <v>0</v>
      </c>
      <c r="F35" s="1032">
        <f t="shared" si="0"/>
        <v>0</v>
      </c>
      <c r="G35" s="535">
        <f>VLOOKUP(A35,[2]def!$A:$B,2,0)</f>
        <v>0</v>
      </c>
      <c r="H35" s="535">
        <f>VLOOKUP(A35,[2]indef!$A:$B,2,0)</f>
        <v>0</v>
      </c>
    </row>
    <row r="36" spans="1:8">
      <c r="A36" s="1026" t="s">
        <v>240</v>
      </c>
      <c r="B36" s="1024">
        <f>VLOOKUP(A36,[1]JANEIRO!$A:$B,2,0)</f>
        <v>0</v>
      </c>
      <c r="C36" s="1024">
        <f>VLOOKUP(A36,[1]FEVEREIRO!$A:$B,2,0)</f>
        <v>0</v>
      </c>
      <c r="D36" s="1024">
        <f>VLOOKUP(A36,[1]MARÇO!$A:$B,2,0)</f>
        <v>2</v>
      </c>
      <c r="E36" s="517">
        <v>0</v>
      </c>
      <c r="F36" s="1032">
        <f t="shared" si="0"/>
        <v>2</v>
      </c>
      <c r="G36" s="535">
        <f>VLOOKUP(A36,[2]def!$A:$B,2,0)</f>
        <v>2</v>
      </c>
      <c r="H36" s="535">
        <f>VLOOKUP(A36,[2]indef!$A:$B,2,0)</f>
        <v>0</v>
      </c>
    </row>
    <row r="37" spans="1:8">
      <c r="A37" s="1026" t="s">
        <v>241</v>
      </c>
      <c r="B37" s="1024">
        <f>VLOOKUP(A37,[1]JANEIRO!$A:$B,2,0)</f>
        <v>6</v>
      </c>
      <c r="C37" s="1024">
        <f>VLOOKUP(A37,[1]FEVEREIRO!$A:$B,2,0)</f>
        <v>12</v>
      </c>
      <c r="D37" s="1024">
        <f>VLOOKUP(A37,[1]MARÇO!$A:$B,2,0)</f>
        <v>3</v>
      </c>
      <c r="E37" s="517">
        <v>18</v>
      </c>
      <c r="F37" s="1032">
        <f t="shared" si="0"/>
        <v>39</v>
      </c>
      <c r="G37" s="535">
        <f>VLOOKUP(A37,[2]def!$A:$B,2,0)</f>
        <v>24</v>
      </c>
      <c r="H37" s="535">
        <f>VLOOKUP(A37,[2]indef!$A:$B,2,0)</f>
        <v>15</v>
      </c>
    </row>
    <row r="38" spans="1:8">
      <c r="A38" s="1026" t="s">
        <v>242</v>
      </c>
      <c r="B38" s="1024">
        <f>VLOOKUP(A38,[1]JANEIRO!$A:$B,2,0)</f>
        <v>0</v>
      </c>
      <c r="C38" s="1024">
        <f>VLOOKUP(A38,[1]FEVEREIRO!$A:$B,2,0)</f>
        <v>0</v>
      </c>
      <c r="D38" s="1024">
        <f>VLOOKUP(A38,[1]MARÇO!$A:$B,2,0)</f>
        <v>0</v>
      </c>
      <c r="E38" s="517">
        <v>0</v>
      </c>
      <c r="F38" s="1032">
        <f t="shared" si="0"/>
        <v>0</v>
      </c>
      <c r="G38" s="535">
        <f>VLOOKUP(A38,[2]def!$A:$B,2,0)</f>
        <v>0</v>
      </c>
      <c r="H38" s="535">
        <f>VLOOKUP(A38,[2]indef!$A:$B,2,0)</f>
        <v>0</v>
      </c>
    </row>
    <row r="39" spans="1:8">
      <c r="A39" s="1026" t="s">
        <v>243</v>
      </c>
      <c r="B39" s="1024">
        <f>VLOOKUP(A39,[1]JANEIRO!$A:$B,2,0)</f>
        <v>0</v>
      </c>
      <c r="C39" s="1024">
        <f>VLOOKUP(A39,[1]FEVEREIRO!$A:$B,2,0)</f>
        <v>0</v>
      </c>
      <c r="D39" s="1024">
        <f>VLOOKUP(A39,[1]MARÇO!$A:$B,2,0)</f>
        <v>0</v>
      </c>
      <c r="E39" s="517">
        <v>0</v>
      </c>
      <c r="F39" s="1032">
        <f t="shared" si="0"/>
        <v>0</v>
      </c>
      <c r="G39" s="535">
        <f>VLOOKUP(A39,[2]def!$A:$B,2,0)</f>
        <v>0</v>
      </c>
      <c r="H39" s="535">
        <f>VLOOKUP(A39,[2]indef!$A:$B,2,0)</f>
        <v>0</v>
      </c>
    </row>
    <row r="40" spans="1:8">
      <c r="A40" s="1026" t="s">
        <v>244</v>
      </c>
      <c r="B40" s="1024">
        <f>VLOOKUP(A40,[1]JANEIRO!$A:$B,2,0)</f>
        <v>3</v>
      </c>
      <c r="C40" s="1024">
        <f>VLOOKUP(A40,[1]FEVEREIRO!$A:$B,2,0)</f>
        <v>2</v>
      </c>
      <c r="D40" s="1024">
        <f>VLOOKUP(A40,[1]MARÇO!$A:$B,2,0)</f>
        <v>15</v>
      </c>
      <c r="E40" s="517">
        <v>8</v>
      </c>
      <c r="F40" s="1032">
        <f t="shared" si="0"/>
        <v>28</v>
      </c>
      <c r="G40" s="535">
        <f>VLOOKUP(A40,[2]def!$A:$B,2,0)</f>
        <v>8</v>
      </c>
      <c r="H40" s="535">
        <f>VLOOKUP(A40,[2]indef!$A:$B,2,0)</f>
        <v>20</v>
      </c>
    </row>
    <row r="41" spans="1:8">
      <c r="A41" s="1026" t="s">
        <v>245</v>
      </c>
      <c r="B41" s="1024">
        <f>VLOOKUP(A41,[1]JANEIRO!$A:$B,2,0)</f>
        <v>1</v>
      </c>
      <c r="C41" s="1024">
        <f>VLOOKUP(A41,[1]FEVEREIRO!$A:$B,2,0)</f>
        <v>2</v>
      </c>
      <c r="D41" s="1024">
        <f>VLOOKUP(A41,[1]MARÇO!$A:$B,2,0)</f>
        <v>1</v>
      </c>
      <c r="E41" s="517">
        <v>4</v>
      </c>
      <c r="F41" s="1032">
        <f t="shared" si="0"/>
        <v>8</v>
      </c>
      <c r="G41" s="535">
        <f>VLOOKUP(A41,[2]def!$A:$B,2,0)</f>
        <v>3</v>
      </c>
      <c r="H41" s="535">
        <f>VLOOKUP(A41,[2]indef!$A:$B,2,0)</f>
        <v>5</v>
      </c>
    </row>
    <row r="42" spans="1:8">
      <c r="A42" s="1026" t="s">
        <v>246</v>
      </c>
      <c r="B42" s="1024">
        <f>VLOOKUP(A42,[1]JANEIRO!$A:$B,2,0)</f>
        <v>4</v>
      </c>
      <c r="C42" s="1024">
        <f>VLOOKUP(A42,[1]FEVEREIRO!$A:$B,2,0)</f>
        <v>1</v>
      </c>
      <c r="D42" s="1024">
        <f>VLOOKUP(A42,[1]MARÇO!$A:$B,2,0)</f>
        <v>4</v>
      </c>
      <c r="E42" s="517">
        <v>0</v>
      </c>
      <c r="F42" s="1032">
        <f t="shared" si="0"/>
        <v>9</v>
      </c>
      <c r="G42" s="535">
        <f>VLOOKUP(A42,[2]def!$A:$B,2,0)</f>
        <v>4</v>
      </c>
      <c r="H42" s="535">
        <f>VLOOKUP(A42,[2]indef!$A:$B,2,0)</f>
        <v>5</v>
      </c>
    </row>
    <row r="43" spans="1:8">
      <c r="A43" s="1026" t="s">
        <v>247</v>
      </c>
      <c r="B43" s="1024">
        <f>VLOOKUP(A43,[1]JANEIRO!$A:$B,2,0)</f>
        <v>0</v>
      </c>
      <c r="C43" s="1024">
        <f>VLOOKUP(A43,[1]FEVEREIRO!$A:$B,2,0)</f>
        <v>0</v>
      </c>
      <c r="D43" s="1024">
        <f>VLOOKUP(A43,[1]MARÇO!$A:$B,2,0)</f>
        <v>0</v>
      </c>
      <c r="E43" s="517">
        <v>1</v>
      </c>
      <c r="F43" s="1032">
        <f t="shared" si="0"/>
        <v>1</v>
      </c>
      <c r="G43" s="535">
        <f>VLOOKUP(A43,[2]def!$A:$B,2,0)</f>
        <v>1</v>
      </c>
      <c r="H43" s="535">
        <f>VLOOKUP(A43,[2]indef!$A:$B,2,0)</f>
        <v>0</v>
      </c>
    </row>
    <row r="44" spans="1:8">
      <c r="A44" s="1026" t="s">
        <v>248</v>
      </c>
      <c r="B44" s="1024">
        <f>VLOOKUP(A44,[1]JANEIRO!$A:$B,2,0)</f>
        <v>0</v>
      </c>
      <c r="C44" s="1024">
        <f>VLOOKUP(A44,[1]FEVEREIRO!$A:$B,2,0)</f>
        <v>1</v>
      </c>
      <c r="D44" s="1024">
        <f>VLOOKUP(A44,[1]MARÇO!$A:$B,2,0)</f>
        <v>0</v>
      </c>
      <c r="E44" s="517">
        <v>1</v>
      </c>
      <c r="F44" s="1032">
        <f t="shared" si="0"/>
        <v>2</v>
      </c>
      <c r="G44" s="535">
        <f>VLOOKUP(A44,[2]def!$A:$B,2,0)</f>
        <v>1</v>
      </c>
      <c r="H44" s="535">
        <f>VLOOKUP(A44,[2]indef!$A:$B,2,0)</f>
        <v>1</v>
      </c>
    </row>
    <row r="45" spans="1:8">
      <c r="A45" s="1026" t="s">
        <v>249</v>
      </c>
      <c r="B45" s="1024">
        <f>VLOOKUP(A45,[1]JANEIRO!$A:$B,2,0)</f>
        <v>3</v>
      </c>
      <c r="C45" s="1024">
        <f>VLOOKUP(A45,[1]FEVEREIRO!$A:$B,2,0)</f>
        <v>0</v>
      </c>
      <c r="D45" s="1024">
        <f>VLOOKUP(A45,[1]MARÇO!$A:$B,2,0)</f>
        <v>0</v>
      </c>
      <c r="E45" s="517">
        <v>0</v>
      </c>
      <c r="F45" s="1032">
        <f t="shared" si="0"/>
        <v>3</v>
      </c>
      <c r="G45" s="535">
        <f>VLOOKUP(A45,[2]def!$A:$B,2,0)</f>
        <v>1</v>
      </c>
      <c r="H45" s="535">
        <f>VLOOKUP(A45,[2]indef!$A:$B,2,0)</f>
        <v>2</v>
      </c>
    </row>
    <row r="46" spans="1:8">
      <c r="A46" s="1026" t="s">
        <v>250</v>
      </c>
      <c r="B46" s="1024">
        <f>VLOOKUP(A46,[1]JANEIRO!$A:$B,2,0)</f>
        <v>1</v>
      </c>
      <c r="C46" s="1024">
        <f>VLOOKUP(A46,[1]FEVEREIRO!$A:$B,2,0)</f>
        <v>0</v>
      </c>
      <c r="D46" s="1024">
        <f>VLOOKUP(A46,[1]MARÇO!$A:$B,2,0)</f>
        <v>0</v>
      </c>
      <c r="E46" s="517">
        <v>4</v>
      </c>
      <c r="F46" s="1032">
        <f t="shared" si="0"/>
        <v>5</v>
      </c>
      <c r="G46" s="535">
        <f>VLOOKUP(A46,[2]def!$A:$B,2,0)</f>
        <v>4</v>
      </c>
      <c r="H46" s="535">
        <f>VLOOKUP(A46,[2]indef!$A:$B,2,0)</f>
        <v>1</v>
      </c>
    </row>
    <row r="47" spans="1:8">
      <c r="A47" s="1026" t="s">
        <v>251</v>
      </c>
      <c r="B47" s="1024">
        <f>VLOOKUP(A47,[1]JANEIRO!$A:$B,2,0)</f>
        <v>0</v>
      </c>
      <c r="C47" s="1024">
        <f>VLOOKUP(A47,[1]FEVEREIRO!$A:$B,2,0)</f>
        <v>1</v>
      </c>
      <c r="D47" s="1024">
        <f>VLOOKUP(A47,[1]MARÇO!$A:$B,2,0)</f>
        <v>0</v>
      </c>
      <c r="E47" s="517">
        <v>1</v>
      </c>
      <c r="F47" s="1032">
        <f t="shared" si="0"/>
        <v>2</v>
      </c>
      <c r="G47" s="535">
        <f>VLOOKUP(A47,[2]def!$A:$B,2,0)</f>
        <v>1</v>
      </c>
      <c r="H47" s="535">
        <f>VLOOKUP(A47,[2]indef!$A:$B,2,0)</f>
        <v>1</v>
      </c>
    </row>
    <row r="48" spans="1:8">
      <c r="A48" s="1026" t="s">
        <v>252</v>
      </c>
      <c r="B48" s="1024">
        <f>VLOOKUP(A48,[1]JANEIRO!$A:$B,2,0)</f>
        <v>0</v>
      </c>
      <c r="C48" s="1024">
        <f>VLOOKUP(A48,[1]FEVEREIRO!$A:$B,2,0)</f>
        <v>0</v>
      </c>
      <c r="D48" s="1024">
        <f>VLOOKUP(A48,[1]MARÇO!$A:$B,2,0)</f>
        <v>0</v>
      </c>
      <c r="E48" s="517">
        <v>1</v>
      </c>
      <c r="F48" s="1032">
        <f t="shared" si="0"/>
        <v>1</v>
      </c>
      <c r="G48" s="535">
        <f>VLOOKUP(A48,[2]def!$A:$B,2,0)</f>
        <v>1</v>
      </c>
      <c r="H48" s="535">
        <f>VLOOKUP(A48,[2]indef!$A:$B,2,0)</f>
        <v>0</v>
      </c>
    </row>
    <row r="49" spans="1:8">
      <c r="A49" s="1026" t="s">
        <v>253</v>
      </c>
      <c r="B49" s="1024">
        <f>VLOOKUP(A49,[1]JANEIRO!$A:$B,2,0)</f>
        <v>1</v>
      </c>
      <c r="C49" s="1024">
        <f>VLOOKUP(A49,[1]FEVEREIRO!$A:$B,2,0)</f>
        <v>0</v>
      </c>
      <c r="D49" s="1024">
        <f>VLOOKUP(A49,[1]MARÇO!$A:$B,2,0)</f>
        <v>1</v>
      </c>
      <c r="E49" s="517">
        <v>0</v>
      </c>
      <c r="F49" s="1032">
        <f t="shared" si="0"/>
        <v>2</v>
      </c>
      <c r="G49" s="535">
        <f>VLOOKUP(A49,[2]def!$A:$B,2,0)</f>
        <v>1</v>
      </c>
      <c r="H49" s="535">
        <f>VLOOKUP(A49,[2]indef!$A:$B,2,0)</f>
        <v>1</v>
      </c>
    </row>
    <row r="50" spans="1:8">
      <c r="A50" s="1026" t="s">
        <v>254</v>
      </c>
      <c r="B50" s="1024">
        <f>VLOOKUP(A50,[1]JANEIRO!$A:$B,2,0)</f>
        <v>0</v>
      </c>
      <c r="C50" s="1024">
        <f>VLOOKUP(A50,[1]FEVEREIRO!$A:$B,2,0)</f>
        <v>1</v>
      </c>
      <c r="D50" s="1024">
        <f>VLOOKUP(A50,[1]MARÇO!$A:$B,2,0)</f>
        <v>0</v>
      </c>
      <c r="E50" s="517">
        <v>1</v>
      </c>
      <c r="F50" s="1032">
        <f t="shared" si="0"/>
        <v>2</v>
      </c>
      <c r="G50" s="535">
        <f>VLOOKUP(A50,[2]def!$A:$B,2,0)</f>
        <v>2</v>
      </c>
      <c r="H50" s="535">
        <f>VLOOKUP(A50,[2]indef!$A:$B,2,0)</f>
        <v>0</v>
      </c>
    </row>
    <row r="51" spans="1:8">
      <c r="A51" s="1026" t="s">
        <v>255</v>
      </c>
      <c r="B51" s="1024">
        <f>VLOOKUP(A51,[1]JANEIRO!$A:$B,2,0)</f>
        <v>0</v>
      </c>
      <c r="C51" s="1024">
        <f>VLOOKUP(A51,[1]FEVEREIRO!$A:$B,2,0)</f>
        <v>0</v>
      </c>
      <c r="D51" s="1024">
        <f>VLOOKUP(A51,[1]MARÇO!$A:$B,2,0)</f>
        <v>0</v>
      </c>
      <c r="E51" s="517">
        <v>1</v>
      </c>
      <c r="F51" s="1032">
        <f t="shared" si="0"/>
        <v>1</v>
      </c>
      <c r="G51" s="535">
        <f>VLOOKUP(A51,[2]def!$A:$B,2,0)</f>
        <v>0</v>
      </c>
      <c r="H51" s="535">
        <f>VLOOKUP(A51,[2]indef!$A:$B,2,0)</f>
        <v>1</v>
      </c>
    </row>
    <row r="52" spans="1:8">
      <c r="A52" s="1026" t="s">
        <v>256</v>
      </c>
      <c r="B52" s="1024">
        <f>VLOOKUP(A52,[1]JANEIRO!$A:$B,2,0)</f>
        <v>0</v>
      </c>
      <c r="C52" s="1024">
        <f>VLOOKUP(A52,[1]FEVEREIRO!$A:$B,2,0)</f>
        <v>0</v>
      </c>
      <c r="D52" s="1024">
        <f>VLOOKUP(A52,[1]MARÇO!$A:$B,2,0)</f>
        <v>0</v>
      </c>
      <c r="E52" s="517">
        <v>0</v>
      </c>
      <c r="F52" s="1032">
        <f t="shared" si="0"/>
        <v>0</v>
      </c>
      <c r="G52" s="535">
        <f>VLOOKUP(A52,[2]def!$A:$B,2,0)</f>
        <v>0</v>
      </c>
      <c r="H52" s="535">
        <f>VLOOKUP(A52,[2]indef!$A:$B,2,0)</f>
        <v>0</v>
      </c>
    </row>
    <row r="53" spans="1:8">
      <c r="A53" s="1026" t="s">
        <v>257</v>
      </c>
      <c r="B53" s="1024">
        <f>VLOOKUP(A53,[1]JANEIRO!$A:$B,2,0)</f>
        <v>3</v>
      </c>
      <c r="C53" s="1024">
        <f>VLOOKUP(A53,[1]FEVEREIRO!$A:$B,2,0)</f>
        <v>4</v>
      </c>
      <c r="D53" s="1024">
        <f>VLOOKUP(A53,[1]MARÇO!$A:$B,2,0)</f>
        <v>1</v>
      </c>
      <c r="E53" s="517">
        <v>4</v>
      </c>
      <c r="F53" s="1032">
        <f t="shared" si="0"/>
        <v>12</v>
      </c>
      <c r="G53" s="535">
        <f>VLOOKUP(A53,[2]def!$A:$B,2,0)</f>
        <v>11</v>
      </c>
      <c r="H53" s="535">
        <f>VLOOKUP(A53,[2]indef!$A:$B,2,0)</f>
        <v>1</v>
      </c>
    </row>
    <row r="54" spans="1:8">
      <c r="A54" s="1026" t="s">
        <v>258</v>
      </c>
      <c r="B54" s="1024">
        <f>VLOOKUP(A54,[1]JANEIRO!$A:$B,2,0)</f>
        <v>0</v>
      </c>
      <c r="C54" s="1024">
        <f>VLOOKUP(A54,[1]FEVEREIRO!$A:$B,2,0)</f>
        <v>0</v>
      </c>
      <c r="D54" s="1024">
        <f>VLOOKUP(A54,[1]MARÇO!$A:$B,2,0)</f>
        <v>0</v>
      </c>
      <c r="E54" s="517">
        <v>2</v>
      </c>
      <c r="F54" s="1032">
        <f t="shared" si="0"/>
        <v>2</v>
      </c>
      <c r="G54" s="535">
        <f>VLOOKUP(A54,[2]def!$A:$B,2,0)</f>
        <v>2</v>
      </c>
      <c r="H54" s="535">
        <f>VLOOKUP(A54,[2]indef!$A:$B,2,0)</f>
        <v>0</v>
      </c>
    </row>
    <row r="55" spans="1:8">
      <c r="A55" s="1026" t="s">
        <v>259</v>
      </c>
      <c r="B55" s="1024">
        <f>VLOOKUP(A55,[1]JANEIRO!$A:$B,2,0)</f>
        <v>0</v>
      </c>
      <c r="C55" s="1024">
        <f>VLOOKUP(A55,[1]FEVEREIRO!$A:$B,2,0)</f>
        <v>1</v>
      </c>
      <c r="D55" s="1024">
        <f>VLOOKUP(A55,[1]MARÇO!$A:$B,2,0)</f>
        <v>2</v>
      </c>
      <c r="E55" s="517">
        <v>2</v>
      </c>
      <c r="F55" s="1032">
        <f t="shared" si="0"/>
        <v>5</v>
      </c>
      <c r="G55" s="535">
        <f>VLOOKUP(A55,[2]def!$A:$B,2,0)</f>
        <v>1</v>
      </c>
      <c r="H55" s="535">
        <f>VLOOKUP(A55,[2]indef!$A:$B,2,0)</f>
        <v>4</v>
      </c>
    </row>
    <row r="56" spans="1:8">
      <c r="A56" s="1026" t="s">
        <v>260</v>
      </c>
      <c r="B56" s="1024">
        <f>VLOOKUP(A56,[1]JANEIRO!$A:$B,2,0)</f>
        <v>2</v>
      </c>
      <c r="C56" s="1024">
        <f>VLOOKUP(A56,[1]FEVEREIRO!$A:$B,2,0)</f>
        <v>1</v>
      </c>
      <c r="D56" s="1024">
        <f>VLOOKUP(A56,[1]MARÇO!$A:$B,2,0)</f>
        <v>3</v>
      </c>
      <c r="E56" s="517">
        <v>1</v>
      </c>
      <c r="F56" s="1032">
        <f t="shared" si="0"/>
        <v>7</v>
      </c>
      <c r="G56" s="535">
        <f>VLOOKUP(A56,[2]def!$A:$B,2,0)</f>
        <v>6</v>
      </c>
      <c r="H56" s="535">
        <f>VLOOKUP(A56,[2]indef!$A:$B,2,0)</f>
        <v>1</v>
      </c>
    </row>
    <row r="57" spans="1:8">
      <c r="A57" s="1026" t="s">
        <v>261</v>
      </c>
      <c r="B57" s="1024">
        <f>VLOOKUP(A57,[1]JANEIRO!$A:$B,2,0)</f>
        <v>0</v>
      </c>
      <c r="C57" s="1024">
        <f>VLOOKUP(A57,[1]FEVEREIRO!$A:$B,2,0)</f>
        <v>0</v>
      </c>
      <c r="D57" s="1024">
        <f>VLOOKUP(A57,[1]MARÇO!$A:$B,2,0)</f>
        <v>2</v>
      </c>
      <c r="E57" s="517">
        <v>0</v>
      </c>
      <c r="F57" s="1032">
        <f t="shared" si="0"/>
        <v>2</v>
      </c>
      <c r="G57" s="535">
        <f>VLOOKUP(A57,[2]def!$A:$B,2,0)</f>
        <v>2</v>
      </c>
      <c r="H57" s="535">
        <f>VLOOKUP(A57,[2]indef!$A:$B,2,0)</f>
        <v>0</v>
      </c>
    </row>
    <row r="58" spans="1:8">
      <c r="A58" s="1026" t="s">
        <v>262</v>
      </c>
      <c r="B58" s="1024">
        <f>VLOOKUP(A58,[1]JANEIRO!$A:$B,2,0)</f>
        <v>0</v>
      </c>
      <c r="C58" s="1024">
        <f>VLOOKUP(A58,[1]FEVEREIRO!$A:$B,2,0)</f>
        <v>0</v>
      </c>
      <c r="D58" s="1024">
        <f>VLOOKUP(A58,[1]MARÇO!$A:$B,2,0)</f>
        <v>5</v>
      </c>
      <c r="E58" s="517">
        <v>6</v>
      </c>
      <c r="F58" s="1032">
        <f t="shared" si="0"/>
        <v>11</v>
      </c>
      <c r="G58" s="535">
        <f>VLOOKUP(A58,[2]def!$A:$B,2,0)</f>
        <v>10</v>
      </c>
      <c r="H58" s="535">
        <f>VLOOKUP(A58,[2]indef!$A:$B,2,0)</f>
        <v>1</v>
      </c>
    </row>
    <row r="59" spans="1:8">
      <c r="A59" s="1026" t="s">
        <v>263</v>
      </c>
      <c r="B59" s="1024">
        <f>VLOOKUP(A59,[1]JANEIRO!$A:$B,2,0)</f>
        <v>1</v>
      </c>
      <c r="C59" s="1024">
        <f>VLOOKUP(A59,[1]FEVEREIRO!$A:$B,2,0)</f>
        <v>0</v>
      </c>
      <c r="D59" s="1024">
        <f>VLOOKUP(A59,[1]MARÇO!$A:$B,2,0)</f>
        <v>0</v>
      </c>
      <c r="E59" s="517">
        <v>0</v>
      </c>
      <c r="F59" s="1032">
        <f t="shared" si="0"/>
        <v>1</v>
      </c>
      <c r="G59" s="535">
        <f>VLOOKUP(A59,[2]def!$A:$B,2,0)</f>
        <v>1</v>
      </c>
      <c r="H59" s="535">
        <f>VLOOKUP(A59,[2]indef!$A:$B,2,0)</f>
        <v>0</v>
      </c>
    </row>
    <row r="60" spans="1:8">
      <c r="A60" s="1026" t="s">
        <v>264</v>
      </c>
      <c r="B60" s="1024">
        <f>VLOOKUP(A60,[1]JANEIRO!$A:$B,2,0)</f>
        <v>0</v>
      </c>
      <c r="C60" s="1024">
        <f>VLOOKUP(A60,[1]FEVEREIRO!$A:$B,2,0)</f>
        <v>2</v>
      </c>
      <c r="D60" s="1024">
        <f>VLOOKUP(A60,[1]MARÇO!$A:$B,2,0)</f>
        <v>0</v>
      </c>
      <c r="E60" s="517">
        <v>1</v>
      </c>
      <c r="F60" s="1032">
        <f t="shared" si="0"/>
        <v>3</v>
      </c>
      <c r="G60" s="535">
        <f>VLOOKUP(A60,[2]def!$A:$B,2,0)</f>
        <v>3</v>
      </c>
      <c r="H60" s="535">
        <f>VLOOKUP(A60,[2]indef!$A:$B,2,0)</f>
        <v>0</v>
      </c>
    </row>
    <row r="61" spans="1:8">
      <c r="A61" s="1026" t="s">
        <v>265</v>
      </c>
      <c r="B61" s="1024">
        <f>VLOOKUP(A61,[1]JANEIRO!$A:$B,2,0)</f>
        <v>0</v>
      </c>
      <c r="C61" s="1024">
        <f>VLOOKUP(A61,[1]FEVEREIRO!$A:$B,2,0)</f>
        <v>1</v>
      </c>
      <c r="D61" s="1024">
        <f>VLOOKUP(A61,[1]MARÇO!$A:$B,2,0)</f>
        <v>0</v>
      </c>
      <c r="E61" s="517">
        <v>0</v>
      </c>
      <c r="F61" s="1032">
        <f t="shared" si="0"/>
        <v>1</v>
      </c>
      <c r="G61" s="535">
        <f>VLOOKUP(A61,[2]def!$A:$B,2,0)</f>
        <v>0</v>
      </c>
      <c r="H61" s="535">
        <f>VLOOKUP(A61,[2]indef!$A:$B,2,0)</f>
        <v>1</v>
      </c>
    </row>
    <row r="62" spans="1:8">
      <c r="A62" s="1026" t="s">
        <v>266</v>
      </c>
      <c r="B62" s="1024">
        <f>VLOOKUP(A62,[1]JANEIRO!$A:$B,2,0)</f>
        <v>0</v>
      </c>
      <c r="C62" s="1024">
        <f>VLOOKUP(A62,[1]FEVEREIRO!$A:$B,2,0)</f>
        <v>0</v>
      </c>
      <c r="D62" s="1024">
        <f>VLOOKUP(A62,[1]MARÇO!$A:$B,2,0)</f>
        <v>0</v>
      </c>
      <c r="E62" s="517">
        <v>0</v>
      </c>
      <c r="F62" s="1032">
        <f t="shared" si="0"/>
        <v>0</v>
      </c>
      <c r="G62" s="535">
        <f>VLOOKUP(A62,[2]def!$A:$B,2,0)</f>
        <v>0</v>
      </c>
      <c r="H62" s="535">
        <f>VLOOKUP(A62,[2]indef!$A:$B,2,0)</f>
        <v>0</v>
      </c>
    </row>
    <row r="63" spans="1:8">
      <c r="A63" s="1026" t="s">
        <v>267</v>
      </c>
      <c r="B63" s="1024">
        <f>VLOOKUP(A63,[1]JANEIRO!$A:$B,2,0)</f>
        <v>0</v>
      </c>
      <c r="C63" s="1024">
        <f>VLOOKUP(A63,[1]FEVEREIRO!$A:$B,2,0)</f>
        <v>0</v>
      </c>
      <c r="D63" s="1024">
        <f>VLOOKUP(A63,[1]MARÇO!$A:$B,2,0)</f>
        <v>1</v>
      </c>
      <c r="E63" s="517">
        <v>1</v>
      </c>
      <c r="F63" s="1032">
        <f t="shared" si="0"/>
        <v>2</v>
      </c>
      <c r="G63" s="535">
        <f>VLOOKUP(A63,[2]def!$A:$B,2,0)</f>
        <v>2</v>
      </c>
      <c r="H63" s="535">
        <f>VLOOKUP(A63,[2]indef!$A:$B,2,0)</f>
        <v>0</v>
      </c>
    </row>
    <row r="64" spans="1:8">
      <c r="A64" s="1026" t="s">
        <v>268</v>
      </c>
      <c r="B64" s="1024">
        <f>VLOOKUP(A64,[1]JANEIRO!$A:$B,2,0)</f>
        <v>0</v>
      </c>
      <c r="C64" s="1024">
        <f>VLOOKUP(A64,[1]FEVEREIRO!$A:$B,2,0)</f>
        <v>1</v>
      </c>
      <c r="D64" s="1024">
        <f>VLOOKUP(A64,[1]MARÇO!$A:$B,2,0)</f>
        <v>3</v>
      </c>
      <c r="E64" s="517">
        <v>1</v>
      </c>
      <c r="F64" s="1032">
        <f t="shared" si="0"/>
        <v>5</v>
      </c>
      <c r="G64" s="535">
        <f>VLOOKUP(A64,[2]def!$A:$B,2,0)</f>
        <v>3</v>
      </c>
      <c r="H64" s="535">
        <f>VLOOKUP(A64,[2]indef!$A:$B,2,0)</f>
        <v>2</v>
      </c>
    </row>
    <row r="65" spans="1:8">
      <c r="A65" s="1026" t="s">
        <v>269</v>
      </c>
      <c r="B65" s="1024">
        <f>VLOOKUP(A65,[1]JANEIRO!$A:$B,2,0)</f>
        <v>1</v>
      </c>
      <c r="C65" s="1024">
        <f>VLOOKUP(A65,[1]FEVEREIRO!$A:$B,2,0)</f>
        <v>0</v>
      </c>
      <c r="D65" s="1024">
        <f>VLOOKUP(A65,[1]MARÇO!$A:$B,2,0)</f>
        <v>0</v>
      </c>
      <c r="E65" s="517">
        <v>0</v>
      </c>
      <c r="F65" s="1032">
        <f t="shared" si="0"/>
        <v>1</v>
      </c>
      <c r="G65" s="535">
        <f>VLOOKUP(A65,[2]def!$A:$B,2,0)</f>
        <v>1</v>
      </c>
      <c r="H65" s="535">
        <f>VLOOKUP(A65,[2]indef!$A:$B,2,0)</f>
        <v>0</v>
      </c>
    </row>
    <row r="66" spans="1:8">
      <c r="A66" s="1026" t="s">
        <v>270</v>
      </c>
      <c r="B66" s="1024">
        <f>VLOOKUP(A66,[1]JANEIRO!$A:$B,2,0)</f>
        <v>0</v>
      </c>
      <c r="C66" s="1024">
        <f>VLOOKUP(A66,[1]FEVEREIRO!$A:$B,2,0)</f>
        <v>1</v>
      </c>
      <c r="D66" s="1024">
        <f>VLOOKUP(A66,[1]MARÇO!$A:$B,2,0)</f>
        <v>1</v>
      </c>
      <c r="E66" s="517">
        <v>0</v>
      </c>
      <c r="F66" s="1032">
        <f t="shared" si="0"/>
        <v>2</v>
      </c>
      <c r="G66" s="535">
        <f>VLOOKUP(A66,[2]def!$A:$B,2,0)</f>
        <v>1</v>
      </c>
      <c r="H66" s="535">
        <f>VLOOKUP(A66,[2]indef!$A:$B,2,0)</f>
        <v>1</v>
      </c>
    </row>
    <row r="67" spans="1:8">
      <c r="A67" s="1026" t="s">
        <v>271</v>
      </c>
      <c r="B67" s="1024">
        <f>VLOOKUP(A67,[1]JANEIRO!$A:$B,2,0)</f>
        <v>3</v>
      </c>
      <c r="C67" s="1024">
        <f>VLOOKUP(A67,[1]FEVEREIRO!$A:$B,2,0)</f>
        <v>0</v>
      </c>
      <c r="D67" s="1024">
        <f>VLOOKUP(A67,[1]MARÇO!$A:$B,2,0)</f>
        <v>2</v>
      </c>
      <c r="E67" s="517">
        <v>2</v>
      </c>
      <c r="F67" s="1032">
        <f t="shared" si="0"/>
        <v>7</v>
      </c>
      <c r="G67" s="535">
        <f>VLOOKUP(A67,[2]def!$A:$B,2,0)</f>
        <v>6</v>
      </c>
      <c r="H67" s="535">
        <f>VLOOKUP(A67,[2]indef!$A:$B,2,0)</f>
        <v>1</v>
      </c>
    </row>
    <row r="68" spans="1:8">
      <c r="A68" s="1026" t="s">
        <v>272</v>
      </c>
      <c r="B68" s="1024">
        <f>VLOOKUP(A68,[1]JANEIRO!$A:$B,2,0)</f>
        <v>0</v>
      </c>
      <c r="C68" s="1024">
        <f>VLOOKUP(A68,[1]FEVEREIRO!$A:$B,2,0)</f>
        <v>0</v>
      </c>
      <c r="D68" s="1024">
        <f>VLOOKUP(A68,[1]MARÇO!$A:$B,2,0)</f>
        <v>1</v>
      </c>
      <c r="E68" s="517">
        <v>1</v>
      </c>
      <c r="F68" s="1032">
        <f t="shared" si="0"/>
        <v>2</v>
      </c>
      <c r="G68" s="535">
        <f>VLOOKUP(A68,[2]def!$A:$B,2,0)</f>
        <v>0</v>
      </c>
      <c r="H68" s="535">
        <f>VLOOKUP(A68,[2]indef!$A:$B,2,0)</f>
        <v>2</v>
      </c>
    </row>
    <row r="69" spans="1:8">
      <c r="A69" s="1026" t="s">
        <v>273</v>
      </c>
      <c r="B69" s="1024">
        <f>VLOOKUP(A69,[1]JANEIRO!$A:$B,2,0)</f>
        <v>3</v>
      </c>
      <c r="C69" s="1024">
        <f>VLOOKUP(A69,[1]FEVEREIRO!$A:$B,2,0)</f>
        <v>0</v>
      </c>
      <c r="D69" s="1024">
        <f>VLOOKUP(A69,[1]MARÇO!$A:$B,2,0)</f>
        <v>1</v>
      </c>
      <c r="E69" s="517">
        <v>3</v>
      </c>
      <c r="F69" s="1032">
        <f t="shared" ref="F69:F74" si="1">SUM(B69:E69)</f>
        <v>7</v>
      </c>
      <c r="G69" s="535">
        <f>VLOOKUP(A69,[2]def!$A:$B,2,0)</f>
        <v>5</v>
      </c>
      <c r="H69" s="535">
        <f>VLOOKUP(A69,[2]indef!$A:$B,2,0)</f>
        <v>2</v>
      </c>
    </row>
    <row r="70" spans="1:8">
      <c r="A70" s="1026" t="s">
        <v>274</v>
      </c>
      <c r="B70" s="1024">
        <f>VLOOKUP(A70,[1]JANEIRO!$A:$B,2,0)</f>
        <v>1</v>
      </c>
      <c r="C70" s="1024">
        <f>VLOOKUP(A70,[1]FEVEREIRO!$A:$B,2,0)</f>
        <v>0</v>
      </c>
      <c r="D70" s="1024">
        <f>VLOOKUP(A70,[1]MARÇO!$A:$B,2,0)</f>
        <v>0</v>
      </c>
      <c r="E70" s="517">
        <v>2</v>
      </c>
      <c r="F70" s="1032">
        <f t="shared" si="1"/>
        <v>3</v>
      </c>
      <c r="G70" s="535">
        <f>VLOOKUP(A70,[2]def!$A:$B,2,0)</f>
        <v>1</v>
      </c>
      <c r="H70" s="535">
        <f>VLOOKUP(A70,[2]indef!$A:$B,2,0)</f>
        <v>2</v>
      </c>
    </row>
    <row r="71" spans="1:8">
      <c r="A71" s="1026" t="s">
        <v>275</v>
      </c>
      <c r="B71" s="1024">
        <f>VLOOKUP(A71,[1]JANEIRO!$A:$B,2,0)</f>
        <v>2</v>
      </c>
      <c r="C71" s="1024">
        <f>VLOOKUP(A71,[1]FEVEREIRO!$A:$B,2,0)</f>
        <v>0</v>
      </c>
      <c r="D71" s="1024">
        <f>VLOOKUP(A71,[1]MARÇO!$A:$B,2,0)</f>
        <v>1</v>
      </c>
      <c r="E71" s="517">
        <v>0</v>
      </c>
      <c r="F71" s="1032">
        <f t="shared" si="1"/>
        <v>3</v>
      </c>
      <c r="G71" s="535">
        <f>VLOOKUP(A71,[2]def!$A:$B,2,0)</f>
        <v>3</v>
      </c>
      <c r="H71" s="535">
        <f>VLOOKUP(A71,[2]indef!$A:$B,2,0)</f>
        <v>0</v>
      </c>
    </row>
    <row r="72" spans="1:8">
      <c r="A72" s="1026" t="s">
        <v>276</v>
      </c>
      <c r="B72" s="1024">
        <f>VLOOKUP(A72,[1]JANEIRO!$A:$B,2,0)</f>
        <v>0</v>
      </c>
      <c r="C72" s="1024">
        <f>VLOOKUP(A72,[1]FEVEREIRO!$A:$B,2,0)</f>
        <v>0</v>
      </c>
      <c r="D72" s="1024">
        <f>VLOOKUP(A72,[1]MARÇO!$A:$B,2,0)</f>
        <v>0</v>
      </c>
      <c r="E72" s="517">
        <v>2</v>
      </c>
      <c r="F72" s="1032">
        <f t="shared" si="1"/>
        <v>2</v>
      </c>
      <c r="G72" s="535">
        <f>VLOOKUP(A72,[2]def!$A:$B,2,0)</f>
        <v>2</v>
      </c>
      <c r="H72" s="535">
        <f>VLOOKUP(A72,[2]indef!$A:$B,2,0)</f>
        <v>0</v>
      </c>
    </row>
    <row r="73" spans="1:8">
      <c r="A73" s="1028" t="s">
        <v>317</v>
      </c>
      <c r="B73" s="1024">
        <f>VLOOKUP(A73,[1]JANEIRO!$A:$B,2,0)</f>
        <v>8</v>
      </c>
      <c r="C73" s="1024">
        <f>VLOOKUP(A73,[1]FEVEREIRO!$A:$B,2,0)</f>
        <v>19</v>
      </c>
      <c r="D73" s="1024">
        <f>VLOOKUP(A73,[1]MARÇO!$A:$B,2,0)</f>
        <v>107</v>
      </c>
      <c r="E73" s="517">
        <v>18</v>
      </c>
      <c r="F73" s="1036">
        <f t="shared" si="1"/>
        <v>152</v>
      </c>
      <c r="G73" s="1081"/>
      <c r="H73" s="1082"/>
    </row>
    <row r="74" spans="1:8">
      <c r="A74" s="1028" t="s">
        <v>23</v>
      </c>
      <c r="B74" s="1034">
        <v>205</v>
      </c>
      <c r="C74" s="1034">
        <f>VLOOKUP(A74,[1]FEVEREIRO!$A:$B,2,0)</f>
        <v>230</v>
      </c>
      <c r="D74" s="1034">
        <f>VLOOKUP(A74,[1]MARÇO!$A:$B,2,0)</f>
        <v>362</v>
      </c>
      <c r="E74" s="1035">
        <v>397</v>
      </c>
      <c r="F74" s="1035">
        <f t="shared" si="1"/>
        <v>1194</v>
      </c>
      <c r="G74" s="1033">
        <f>SUM(G4:G72)</f>
        <v>537</v>
      </c>
      <c r="H74" s="1033">
        <f>SUM(H4:H72)</f>
        <v>505</v>
      </c>
    </row>
  </sheetData>
  <mergeCells count="1">
    <mergeCell ref="G73:H73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F72"/>
  <sheetViews>
    <sheetView topLeftCell="A46" workbookViewId="0">
      <selection activeCell="F3" sqref="F3:F72"/>
    </sheetView>
  </sheetViews>
  <sheetFormatPr defaultRowHeight="15"/>
  <cols>
    <col min="1" max="1" width="68.28515625" customWidth="1"/>
    <col min="2" max="2" width="12.5703125" customWidth="1"/>
    <col min="3" max="3" width="13" customWidth="1"/>
    <col min="4" max="4" width="12.85546875" customWidth="1"/>
    <col min="6" max="6" width="18.5703125" customWidth="1"/>
  </cols>
  <sheetData>
    <row r="1" spans="1:6">
      <c r="A1" s="525" t="s">
        <v>0</v>
      </c>
    </row>
    <row r="2" spans="1:6">
      <c r="A2" s="527" t="s">
        <v>1</v>
      </c>
    </row>
    <row r="3" spans="1:6">
      <c r="A3" s="1021" t="s">
        <v>522</v>
      </c>
      <c r="B3" s="1021" t="s">
        <v>411</v>
      </c>
      <c r="C3" s="1021" t="s">
        <v>490</v>
      </c>
      <c r="D3" s="1021" t="s">
        <v>505</v>
      </c>
      <c r="E3" s="1022" t="s">
        <v>521</v>
      </c>
      <c r="F3" s="1021" t="s">
        <v>5</v>
      </c>
    </row>
    <row r="4" spans="1:6">
      <c r="A4" s="532" t="s">
        <v>212</v>
      </c>
      <c r="B4" s="1029">
        <f>VLOOKUP(A4,[3]Planilha1!$A:$B,2,0)</f>
        <v>1</v>
      </c>
      <c r="C4" s="1029">
        <f>VLOOKUP(A4,[3]Planilha2!$A:$B,2,0)</f>
        <v>3</v>
      </c>
      <c r="D4" s="1029">
        <f>VLOOKUP(A4,[3]Planilha3!$A:$B,2,0)</f>
        <v>1</v>
      </c>
      <c r="E4" s="1030">
        <v>5</v>
      </c>
      <c r="F4" s="1030">
        <f>B4+C4+D4+E4</f>
        <v>10</v>
      </c>
    </row>
    <row r="5" spans="1:6">
      <c r="A5" s="534" t="s">
        <v>417</v>
      </c>
      <c r="B5" s="1029">
        <f>VLOOKUP(A5,[3]Planilha1!$A:$B,2,0)</f>
        <v>0</v>
      </c>
      <c r="C5" s="1029">
        <f>VLOOKUP(A5,[3]Planilha2!$A:$B,2,0)</f>
        <v>0</v>
      </c>
      <c r="D5" s="1029">
        <f>VLOOKUP(A5,[3]Planilha3!$A:$B,2,0)</f>
        <v>0</v>
      </c>
      <c r="E5" s="1030">
        <v>0</v>
      </c>
      <c r="F5" s="1030">
        <f t="shared" ref="F5:F68" si="0">B5+C5+D5+E5</f>
        <v>0</v>
      </c>
    </row>
    <row r="6" spans="1:6">
      <c r="A6" s="536" t="s">
        <v>213</v>
      </c>
      <c r="B6" s="1029">
        <f>VLOOKUP(A6,[3]Planilha1!$A:$B,2,0)</f>
        <v>1</v>
      </c>
      <c r="C6" s="1029">
        <f>VLOOKUP(A6,[3]Planilha2!$A:$B,2,0)</f>
        <v>0</v>
      </c>
      <c r="D6" s="1029">
        <f>VLOOKUP(A6,[3]Planilha3!$A:$B,2,0)</f>
        <v>0</v>
      </c>
      <c r="E6" s="1030">
        <v>0</v>
      </c>
      <c r="F6" s="1030">
        <f t="shared" si="0"/>
        <v>1</v>
      </c>
    </row>
    <row r="7" spans="1:6">
      <c r="A7" s="536" t="s">
        <v>214</v>
      </c>
      <c r="B7" s="1029">
        <f>VLOOKUP(A7,[3]Planilha1!$A:$B,2,0)</f>
        <v>0</v>
      </c>
      <c r="C7" s="1029">
        <f>VLOOKUP(A7,[3]Planilha2!$A:$B,2,0)</f>
        <v>0</v>
      </c>
      <c r="D7" s="1029">
        <f>VLOOKUP(A7,[3]Planilha3!$A:$B,2,0)</f>
        <v>1</v>
      </c>
      <c r="E7" s="1030">
        <v>0</v>
      </c>
      <c r="F7" s="1030">
        <f t="shared" si="0"/>
        <v>1</v>
      </c>
    </row>
    <row r="8" spans="1:6">
      <c r="A8" s="536" t="s">
        <v>215</v>
      </c>
      <c r="B8" s="1029">
        <f>VLOOKUP(A8,[3]Planilha1!$A:$B,2,0)</f>
        <v>0</v>
      </c>
      <c r="C8" s="1029">
        <f>VLOOKUP(A8,[3]Planilha2!$A:$B,2,0)</f>
        <v>0</v>
      </c>
      <c r="D8" s="1029">
        <f>VLOOKUP(A8,[3]Planilha3!$A:$B,2,0)</f>
        <v>0</v>
      </c>
      <c r="E8" s="1030">
        <v>0</v>
      </c>
      <c r="F8" s="1030">
        <f t="shared" si="0"/>
        <v>0</v>
      </c>
    </row>
    <row r="9" spans="1:6">
      <c r="A9" s="536" t="s">
        <v>216</v>
      </c>
      <c r="B9" s="1029">
        <f>VLOOKUP(A9,[3]Planilha1!$A:$B,2,0)</f>
        <v>1</v>
      </c>
      <c r="C9" s="1029">
        <f>VLOOKUP(A9,[3]Planilha2!$A:$B,2,0)</f>
        <v>3</v>
      </c>
      <c r="D9" s="1029">
        <f>VLOOKUP(A9,[3]Planilha3!$A:$B,2,0)</f>
        <v>0</v>
      </c>
      <c r="E9" s="1030">
        <v>0</v>
      </c>
      <c r="F9" s="1030">
        <f t="shared" si="0"/>
        <v>4</v>
      </c>
    </row>
    <row r="10" spans="1:6">
      <c r="A10" s="536" t="s">
        <v>217</v>
      </c>
      <c r="B10" s="1029">
        <f>VLOOKUP(A10,[3]Planilha1!$A:$B,2,0)</f>
        <v>0</v>
      </c>
      <c r="C10" s="1029">
        <f>VLOOKUP(A10,[3]Planilha2!$A:$B,2,0)</f>
        <v>0</v>
      </c>
      <c r="D10" s="1029">
        <f>VLOOKUP(A10,[3]Planilha3!$A:$B,2,0)</f>
        <v>0</v>
      </c>
      <c r="E10" s="1030">
        <v>0</v>
      </c>
      <c r="F10" s="1030">
        <f t="shared" si="0"/>
        <v>0</v>
      </c>
    </row>
    <row r="11" spans="1:6">
      <c r="A11" s="536" t="s">
        <v>144</v>
      </c>
      <c r="B11" s="1029">
        <f>VLOOKUP(A11,[3]Planilha1!$A:$B,2,0)</f>
        <v>0</v>
      </c>
      <c r="C11" s="1029">
        <f>VLOOKUP(A11,[3]Planilha2!$A:$B,2,0)</f>
        <v>0</v>
      </c>
      <c r="D11" s="1029">
        <f>VLOOKUP(A11,[3]Planilha3!$A:$B,2,0)</f>
        <v>0</v>
      </c>
      <c r="E11" s="1030">
        <v>0</v>
      </c>
      <c r="F11" s="1030">
        <f t="shared" si="0"/>
        <v>0</v>
      </c>
    </row>
    <row r="12" spans="1:6">
      <c r="A12" s="536" t="s">
        <v>218</v>
      </c>
      <c r="B12" s="1029">
        <f>VLOOKUP(A12,[3]Planilha1!$A:$B,2,0)</f>
        <v>0</v>
      </c>
      <c r="C12" s="1029">
        <f>VLOOKUP(A12,[3]Planilha2!$A:$B,2,0)</f>
        <v>0</v>
      </c>
      <c r="D12" s="1029">
        <f>VLOOKUP(A12,[3]Planilha3!$A:$B,2,0)</f>
        <v>0</v>
      </c>
      <c r="E12" s="1030">
        <v>0</v>
      </c>
      <c r="F12" s="1030">
        <f t="shared" si="0"/>
        <v>0</v>
      </c>
    </row>
    <row r="13" spans="1:6">
      <c r="A13" s="536" t="s">
        <v>219</v>
      </c>
      <c r="B13" s="1029">
        <f>VLOOKUP(A13,[3]Planilha1!$A:$B,2,0)</f>
        <v>0</v>
      </c>
      <c r="C13" s="1029">
        <f>VLOOKUP(A13,[3]Planilha2!$A:$B,2,0)</f>
        <v>0</v>
      </c>
      <c r="D13" s="1029">
        <f>VLOOKUP(A13,[3]Planilha3!$A:$B,2,0)</f>
        <v>0</v>
      </c>
      <c r="E13" s="1030">
        <v>1</v>
      </c>
      <c r="F13" s="1030">
        <f t="shared" si="0"/>
        <v>1</v>
      </c>
    </row>
    <row r="14" spans="1:6">
      <c r="A14" s="536" t="s">
        <v>220</v>
      </c>
      <c r="B14" s="1029">
        <f>VLOOKUP(A14,[3]Planilha1!$A:$B,2,0)</f>
        <v>1</v>
      </c>
      <c r="C14" s="1029">
        <f>VLOOKUP(A14,[3]Planilha2!$A:$B,2,0)</f>
        <v>4</v>
      </c>
      <c r="D14" s="1029">
        <f>VLOOKUP(A14,[3]Planilha3!$A:$B,2,0)</f>
        <v>5</v>
      </c>
      <c r="E14" s="1030">
        <v>3</v>
      </c>
      <c r="F14" s="1030">
        <f t="shared" si="0"/>
        <v>13</v>
      </c>
    </row>
    <row r="15" spans="1:6">
      <c r="A15" s="536" t="s">
        <v>221</v>
      </c>
      <c r="B15" s="1029">
        <f>VLOOKUP(A15,[3]Planilha1!$A:$B,2,0)</f>
        <v>0</v>
      </c>
      <c r="C15" s="1029">
        <f>VLOOKUP(A15,[3]Planilha2!$A:$B,2,0)</f>
        <v>0</v>
      </c>
      <c r="D15" s="1029">
        <f>VLOOKUP(A15,[3]Planilha3!$A:$B,2,0)</f>
        <v>0</v>
      </c>
      <c r="E15" s="1030">
        <v>0</v>
      </c>
      <c r="F15" s="1030">
        <f t="shared" si="0"/>
        <v>0</v>
      </c>
    </row>
    <row r="16" spans="1:6">
      <c r="A16" s="536" t="s">
        <v>222</v>
      </c>
      <c r="B16" s="1029">
        <f>VLOOKUP(A16,[3]Planilha1!$A:$B,2,0)</f>
        <v>0</v>
      </c>
      <c r="C16" s="1029">
        <f>VLOOKUP(A16,[3]Planilha2!$A:$B,2,0)</f>
        <v>0</v>
      </c>
      <c r="D16" s="1029">
        <f>VLOOKUP(A16,[3]Planilha3!$A:$B,2,0)</f>
        <v>0</v>
      </c>
      <c r="E16" s="1030">
        <v>0</v>
      </c>
      <c r="F16" s="1030">
        <f t="shared" si="0"/>
        <v>0</v>
      </c>
    </row>
    <row r="17" spans="1:6">
      <c r="A17" s="536" t="s">
        <v>223</v>
      </c>
      <c r="B17" s="1029">
        <f>VLOOKUP(A17,[3]Planilha1!$A:$B,2,0)</f>
        <v>0</v>
      </c>
      <c r="C17" s="1029">
        <f>VLOOKUP(A17,[3]Planilha2!$A:$B,2,0)</f>
        <v>0</v>
      </c>
      <c r="D17" s="1029">
        <f>VLOOKUP(A17,[3]Planilha3!$A:$B,2,0)</f>
        <v>2</v>
      </c>
      <c r="E17" s="1030">
        <v>0</v>
      </c>
      <c r="F17" s="1030">
        <f t="shared" si="0"/>
        <v>2</v>
      </c>
    </row>
    <row r="18" spans="1:6">
      <c r="A18" s="536" t="s">
        <v>224</v>
      </c>
      <c r="B18" s="1029">
        <f>VLOOKUP(A18,[3]Planilha1!$A:$B,2,0)</f>
        <v>1</v>
      </c>
      <c r="C18" s="1029">
        <f>VLOOKUP(A18,[3]Planilha2!$A:$B,2,0)</f>
        <v>0</v>
      </c>
      <c r="D18" s="1029">
        <f>VLOOKUP(A18,[3]Planilha3!$A:$B,2,0)</f>
        <v>0</v>
      </c>
      <c r="E18" s="1030">
        <v>1</v>
      </c>
      <c r="F18" s="1030">
        <f t="shared" si="0"/>
        <v>2</v>
      </c>
    </row>
    <row r="19" spans="1:6">
      <c r="A19" s="536" t="s">
        <v>486</v>
      </c>
      <c r="B19" s="1029">
        <f>VLOOKUP(A19,[3]Planilha1!$A:$B,2,0)</f>
        <v>2</v>
      </c>
      <c r="C19" s="1029">
        <f>VLOOKUP(A19,[3]Planilha2!$A:$B,2,0)</f>
        <v>0</v>
      </c>
      <c r="D19" s="1029">
        <f>VLOOKUP(A19,[3]Planilha3!$A:$B,2,0)</f>
        <v>0</v>
      </c>
      <c r="E19" s="1030">
        <v>0</v>
      </c>
      <c r="F19" s="1030">
        <f t="shared" si="0"/>
        <v>2</v>
      </c>
    </row>
    <row r="20" spans="1:6">
      <c r="A20" s="536" t="s">
        <v>225</v>
      </c>
      <c r="B20" s="1029">
        <f>VLOOKUP(A20,[3]Planilha1!$A:$B,2,0)</f>
        <v>0</v>
      </c>
      <c r="C20" s="1029">
        <f>VLOOKUP(A20,[3]Planilha2!$A:$B,2,0)</f>
        <v>0</v>
      </c>
      <c r="D20" s="1029">
        <f>VLOOKUP(A20,[3]Planilha3!$A:$B,2,0)</f>
        <v>0</v>
      </c>
      <c r="E20" s="1030">
        <v>2</v>
      </c>
      <c r="F20" s="1030">
        <f t="shared" si="0"/>
        <v>2</v>
      </c>
    </row>
    <row r="21" spans="1:6">
      <c r="A21" s="536" t="s">
        <v>226</v>
      </c>
      <c r="B21" s="1029">
        <f>VLOOKUP(A21,[3]Planilha1!$A:$B,2,0)</f>
        <v>0</v>
      </c>
      <c r="C21" s="1029">
        <f>VLOOKUP(A21,[3]Planilha2!$A:$B,2,0)</f>
        <v>0</v>
      </c>
      <c r="D21" s="1029">
        <f>VLOOKUP(A21,[3]Planilha3!$A:$B,2,0)</f>
        <v>0</v>
      </c>
      <c r="E21" s="1030">
        <v>0</v>
      </c>
      <c r="F21" s="1030">
        <f t="shared" si="0"/>
        <v>0</v>
      </c>
    </row>
    <row r="22" spans="1:6">
      <c r="A22" s="536" t="s">
        <v>227</v>
      </c>
      <c r="B22" s="1029">
        <f>VLOOKUP(A22,[3]Planilha1!$A:$B,2,0)</f>
        <v>32</v>
      </c>
      <c r="C22" s="1029">
        <f>VLOOKUP(A22,[3]Planilha2!$A:$B,2,0)</f>
        <v>21</v>
      </c>
      <c r="D22" s="1029">
        <f>VLOOKUP(A22,[3]Planilha3!$A:$B,2,0)</f>
        <v>22</v>
      </c>
      <c r="E22" s="1030">
        <v>39</v>
      </c>
      <c r="F22" s="1030">
        <f t="shared" si="0"/>
        <v>114</v>
      </c>
    </row>
    <row r="23" spans="1:6">
      <c r="A23" s="536" t="s">
        <v>228</v>
      </c>
      <c r="B23" s="1029">
        <f>VLOOKUP(A23,[3]Planilha1!$A:$B,2,0)</f>
        <v>1</v>
      </c>
      <c r="C23" s="1029">
        <f>VLOOKUP(A23,[3]Planilha2!$A:$B,2,0)</f>
        <v>1</v>
      </c>
      <c r="D23" s="1029">
        <f>VLOOKUP(A23,[3]Planilha3!$A:$B,2,0)</f>
        <v>4</v>
      </c>
      <c r="E23" s="1030">
        <v>3</v>
      </c>
      <c r="F23" s="1030">
        <f t="shared" si="0"/>
        <v>9</v>
      </c>
    </row>
    <row r="24" spans="1:6">
      <c r="A24" s="537" t="s">
        <v>229</v>
      </c>
      <c r="B24" s="1029">
        <f>VLOOKUP(A24,[3]Planilha1!$A:$B,2,0)</f>
        <v>6</v>
      </c>
      <c r="C24" s="1029">
        <f>VLOOKUP(A24,[3]Planilha2!$A:$B,2,0)</f>
        <v>15</v>
      </c>
      <c r="D24" s="1029">
        <f>VLOOKUP(A24,[3]Planilha3!$A:$B,2,0)</f>
        <v>12</v>
      </c>
      <c r="E24" s="1030">
        <v>14</v>
      </c>
      <c r="F24" s="1030">
        <f t="shared" si="0"/>
        <v>47</v>
      </c>
    </row>
    <row r="25" spans="1:6">
      <c r="A25" s="539" t="s">
        <v>418</v>
      </c>
      <c r="B25" s="1029">
        <f>VLOOKUP(A25,[3]Planilha1!$A:$B,2,0)</f>
        <v>0</v>
      </c>
      <c r="C25" s="1029">
        <f>VLOOKUP(A25,[3]Planilha2!$A:$B,2,0)</f>
        <v>0</v>
      </c>
      <c r="D25" s="1029">
        <f>VLOOKUP(A25,[3]Planilha3!$A:$B,2,0)</f>
        <v>0</v>
      </c>
      <c r="E25" s="1030">
        <v>0</v>
      </c>
      <c r="F25" s="1030">
        <f t="shared" si="0"/>
        <v>0</v>
      </c>
    </row>
    <row r="26" spans="1:6">
      <c r="A26" s="532" t="s">
        <v>230</v>
      </c>
      <c r="B26" s="1029">
        <f>VLOOKUP(A26,[3]Planilha1!$A:$B,2,0)</f>
        <v>7</v>
      </c>
      <c r="C26" s="1029">
        <f>VLOOKUP(A26,[3]Planilha2!$A:$B,2,0)</f>
        <v>1</v>
      </c>
      <c r="D26" s="1029">
        <f>VLOOKUP(A26,[3]Planilha3!$A:$B,2,0)</f>
        <v>7</v>
      </c>
      <c r="E26" s="1030">
        <v>6</v>
      </c>
      <c r="F26" s="1030">
        <f t="shared" si="0"/>
        <v>21</v>
      </c>
    </row>
    <row r="27" spans="1:6">
      <c r="A27" s="536" t="s">
        <v>231</v>
      </c>
      <c r="B27" s="1029">
        <f>VLOOKUP(A27,[3]Planilha1!$A:$B,2,0)</f>
        <v>0</v>
      </c>
      <c r="C27" s="1029">
        <f>VLOOKUP(A27,[3]Planilha2!$A:$B,2,0)</f>
        <v>1</v>
      </c>
      <c r="D27" s="1029">
        <f>VLOOKUP(A27,[3]Planilha3!$A:$B,2,0)</f>
        <v>0</v>
      </c>
      <c r="E27" s="1030">
        <v>1</v>
      </c>
      <c r="F27" s="1030">
        <f t="shared" si="0"/>
        <v>2</v>
      </c>
    </row>
    <row r="28" spans="1:6">
      <c r="A28" s="536" t="s">
        <v>232</v>
      </c>
      <c r="B28" s="1029">
        <f>VLOOKUP(A28,[3]Planilha1!$A:$B,2,0)</f>
        <v>5</v>
      </c>
      <c r="C28" s="1029">
        <f>VLOOKUP(A28,[3]Planilha2!$A:$B,2,0)</f>
        <v>8</v>
      </c>
      <c r="D28" s="1029">
        <f>VLOOKUP(A28,[3]Planilha3!$A:$B,2,0)</f>
        <v>0</v>
      </c>
      <c r="E28" s="1030">
        <v>7</v>
      </c>
      <c r="F28" s="1030">
        <f t="shared" si="0"/>
        <v>20</v>
      </c>
    </row>
    <row r="29" spans="1:6">
      <c r="A29" s="536" t="s">
        <v>233</v>
      </c>
      <c r="B29" s="1029">
        <f>VLOOKUP(A29,[3]Planilha1!$A:$B,2,0)</f>
        <v>36</v>
      </c>
      <c r="C29" s="1029">
        <f>VLOOKUP(A29,[3]Planilha2!$A:$B,2,0)</f>
        <v>28</v>
      </c>
      <c r="D29" s="1029">
        <f>VLOOKUP(A29,[3]Planilha3!$A:$B,2,0)</f>
        <v>30</v>
      </c>
      <c r="E29" s="1030">
        <v>58</v>
      </c>
      <c r="F29" s="1030">
        <f t="shared" si="0"/>
        <v>152</v>
      </c>
    </row>
    <row r="30" spans="1:6">
      <c r="A30" s="536" t="s">
        <v>234</v>
      </c>
      <c r="B30" s="1029">
        <f>VLOOKUP(A30,[3]Planilha1!$A:$B,2,0)</f>
        <v>1</v>
      </c>
      <c r="C30" s="1029">
        <f>VLOOKUP(A30,[3]Planilha2!$A:$B,2,0)</f>
        <v>4</v>
      </c>
      <c r="D30" s="1029">
        <f>VLOOKUP(A30,[3]Planilha3!$A:$B,2,0)</f>
        <v>1</v>
      </c>
      <c r="E30" s="1030">
        <v>2</v>
      </c>
      <c r="F30" s="1030">
        <f t="shared" si="0"/>
        <v>8</v>
      </c>
    </row>
    <row r="31" spans="1:6">
      <c r="A31" s="536" t="s">
        <v>235</v>
      </c>
      <c r="B31" s="1029">
        <f>VLOOKUP(A31,[3]Planilha1!$A:$B,2,0)</f>
        <v>1</v>
      </c>
      <c r="C31" s="1029">
        <f>VLOOKUP(A31,[3]Planilha2!$A:$B,2,0)</f>
        <v>1</v>
      </c>
      <c r="D31" s="1029">
        <f>VLOOKUP(A31,[3]Planilha3!$A:$B,2,0)</f>
        <v>0</v>
      </c>
      <c r="E31" s="1030">
        <v>0</v>
      </c>
      <c r="F31" s="1030">
        <f t="shared" si="0"/>
        <v>2</v>
      </c>
    </row>
    <row r="32" spans="1:6">
      <c r="A32" s="536" t="s">
        <v>236</v>
      </c>
      <c r="B32" s="1029">
        <f>VLOOKUP(A32,[3]Planilha1!$A:$B,2,0)</f>
        <v>1</v>
      </c>
      <c r="C32" s="1029">
        <f>VLOOKUP(A32,[3]Planilha2!$A:$B,2,0)</f>
        <v>0</v>
      </c>
      <c r="D32" s="1029">
        <f>VLOOKUP(A32,[3]Planilha3!$A:$B,2,0)</f>
        <v>0</v>
      </c>
      <c r="E32" s="1030">
        <v>0</v>
      </c>
      <c r="F32" s="1030">
        <f t="shared" si="0"/>
        <v>1</v>
      </c>
    </row>
    <row r="33" spans="1:6">
      <c r="A33" s="536" t="s">
        <v>237</v>
      </c>
      <c r="B33" s="1029">
        <f>VLOOKUP(A33,[3]Planilha1!$A:$B,2,0)</f>
        <v>1</v>
      </c>
      <c r="C33" s="1029">
        <f>VLOOKUP(A33,[3]Planilha2!$A:$B,2,0)</f>
        <v>1</v>
      </c>
      <c r="D33" s="1029">
        <f>VLOOKUP(A33,[3]Planilha3!$A:$B,2,0)</f>
        <v>2</v>
      </c>
      <c r="E33" s="1030">
        <v>1</v>
      </c>
      <c r="F33" s="1030">
        <f t="shared" si="0"/>
        <v>5</v>
      </c>
    </row>
    <row r="34" spans="1:6">
      <c r="A34" s="536" t="s">
        <v>238</v>
      </c>
      <c r="B34" s="1029">
        <f>VLOOKUP(A34,[3]Planilha1!$A:$B,2,0)</f>
        <v>1</v>
      </c>
      <c r="C34" s="1029">
        <f>VLOOKUP(A34,[3]Planilha2!$A:$B,2,0)</f>
        <v>0</v>
      </c>
      <c r="D34" s="1029">
        <f>VLOOKUP(A34,[3]Planilha3!$A:$B,2,0)</f>
        <v>0</v>
      </c>
      <c r="E34" s="1030">
        <v>4</v>
      </c>
      <c r="F34" s="1030">
        <f t="shared" si="0"/>
        <v>5</v>
      </c>
    </row>
    <row r="35" spans="1:6">
      <c r="A35" s="536" t="s">
        <v>239</v>
      </c>
      <c r="B35" s="1029">
        <f>VLOOKUP(A35,[3]Planilha1!$A:$B,2,0)</f>
        <v>0</v>
      </c>
      <c r="C35" s="1029">
        <f>VLOOKUP(A35,[3]Planilha2!$A:$B,2,0)</f>
        <v>0</v>
      </c>
      <c r="D35" s="1029">
        <f>VLOOKUP(A35,[3]Planilha3!$A:$B,2,0)</f>
        <v>0</v>
      </c>
      <c r="E35" s="1030">
        <v>0</v>
      </c>
      <c r="F35" s="1030">
        <f t="shared" si="0"/>
        <v>0</v>
      </c>
    </row>
    <row r="36" spans="1:6">
      <c r="A36" s="536" t="s">
        <v>240</v>
      </c>
      <c r="B36" s="1029">
        <f>VLOOKUP(A36,[3]Planilha1!$A:$B,2,0)</f>
        <v>0</v>
      </c>
      <c r="C36" s="1029">
        <f>VLOOKUP(A36,[3]Planilha2!$A:$B,2,0)</f>
        <v>0</v>
      </c>
      <c r="D36" s="1029">
        <f>VLOOKUP(A36,[3]Planilha3!$A:$B,2,0)</f>
        <v>2</v>
      </c>
      <c r="E36" s="1030">
        <v>0</v>
      </c>
      <c r="F36" s="1030">
        <f t="shared" si="0"/>
        <v>2</v>
      </c>
    </row>
    <row r="37" spans="1:6">
      <c r="A37" s="536" t="s">
        <v>241</v>
      </c>
      <c r="B37" s="1029">
        <f>VLOOKUP(A37,[3]Planilha1!$A:$B,2,0)</f>
        <v>5</v>
      </c>
      <c r="C37" s="1029">
        <f>VLOOKUP(A37,[3]Planilha2!$A:$B,2,0)</f>
        <v>6</v>
      </c>
      <c r="D37" s="1029">
        <f>VLOOKUP(A37,[3]Planilha3!$A:$B,2,0)</f>
        <v>1</v>
      </c>
      <c r="E37" s="1030">
        <v>12</v>
      </c>
      <c r="F37" s="1030">
        <f t="shared" si="0"/>
        <v>24</v>
      </c>
    </row>
    <row r="38" spans="1:6">
      <c r="A38" s="536" t="s">
        <v>242</v>
      </c>
      <c r="B38" s="1029">
        <f>VLOOKUP(A38,[3]Planilha1!$A:$B,2,0)</f>
        <v>0</v>
      </c>
      <c r="C38" s="1029">
        <f>VLOOKUP(A38,[3]Planilha2!$A:$B,2,0)</f>
        <v>0</v>
      </c>
      <c r="D38" s="1029">
        <f>VLOOKUP(A38,[3]Planilha3!$A:$B,2,0)</f>
        <v>0</v>
      </c>
      <c r="E38" s="1030">
        <v>0</v>
      </c>
      <c r="F38" s="1030">
        <f t="shared" si="0"/>
        <v>0</v>
      </c>
    </row>
    <row r="39" spans="1:6">
      <c r="A39" s="536" t="s">
        <v>243</v>
      </c>
      <c r="B39" s="1029">
        <f>VLOOKUP(A39,[3]Planilha1!$A:$B,2,0)</f>
        <v>0</v>
      </c>
      <c r="C39" s="1029">
        <f>VLOOKUP(A39,[3]Planilha2!$A:$B,2,0)</f>
        <v>0</v>
      </c>
      <c r="D39" s="1029">
        <f>VLOOKUP(A39,[3]Planilha3!$A:$B,2,0)</f>
        <v>0</v>
      </c>
      <c r="E39" s="1030">
        <v>0</v>
      </c>
      <c r="F39" s="1030">
        <f t="shared" si="0"/>
        <v>0</v>
      </c>
    </row>
    <row r="40" spans="1:6">
      <c r="A40" s="536" t="s">
        <v>244</v>
      </c>
      <c r="B40" s="1029">
        <f>VLOOKUP(A40,[3]Planilha1!$A:$B,2,0)</f>
        <v>2</v>
      </c>
      <c r="C40" s="1029">
        <f>VLOOKUP(A40,[3]Planilha2!$A:$B,2,0)</f>
        <v>1</v>
      </c>
      <c r="D40" s="1029">
        <f>VLOOKUP(A40,[3]Planilha3!$A:$B,2,0)</f>
        <v>4</v>
      </c>
      <c r="E40" s="1030">
        <v>1</v>
      </c>
      <c r="F40" s="1030">
        <f t="shared" si="0"/>
        <v>8</v>
      </c>
    </row>
    <row r="41" spans="1:6">
      <c r="A41" s="536" t="s">
        <v>245</v>
      </c>
      <c r="B41" s="1029">
        <f>VLOOKUP(A41,[3]Planilha1!$A:$B,2,0)</f>
        <v>1</v>
      </c>
      <c r="C41" s="1029">
        <f>VLOOKUP(A41,[3]Planilha2!$A:$B,2,0)</f>
        <v>1</v>
      </c>
      <c r="D41" s="1029">
        <f>VLOOKUP(A41,[3]Planilha3!$A:$B,2,0)</f>
        <v>0</v>
      </c>
      <c r="E41" s="1030">
        <v>1</v>
      </c>
      <c r="F41" s="1030">
        <f t="shared" si="0"/>
        <v>3</v>
      </c>
    </row>
    <row r="42" spans="1:6">
      <c r="A42" s="536" t="s">
        <v>246</v>
      </c>
      <c r="B42" s="1029">
        <f>VLOOKUP(A42,[3]Planilha1!$A:$B,2,0)</f>
        <v>4</v>
      </c>
      <c r="C42" s="1029">
        <f>VLOOKUP(A42,[3]Planilha2!$A:$B,2,0)</f>
        <v>0</v>
      </c>
      <c r="D42" s="1029">
        <f>VLOOKUP(A42,[3]Planilha3!$A:$B,2,0)</f>
        <v>0</v>
      </c>
      <c r="E42" s="1030">
        <v>0</v>
      </c>
      <c r="F42" s="1030">
        <f t="shared" si="0"/>
        <v>4</v>
      </c>
    </row>
    <row r="43" spans="1:6">
      <c r="A43" s="536" t="s">
        <v>247</v>
      </c>
      <c r="B43" s="1029">
        <f>VLOOKUP(A43,[3]Planilha1!$A:$B,2,0)</f>
        <v>0</v>
      </c>
      <c r="C43" s="1029">
        <f>VLOOKUP(A43,[3]Planilha2!$A:$B,2,0)</f>
        <v>0</v>
      </c>
      <c r="D43" s="1029">
        <f>VLOOKUP(A43,[3]Planilha3!$A:$B,2,0)</f>
        <v>0</v>
      </c>
      <c r="E43" s="1030">
        <v>1</v>
      </c>
      <c r="F43" s="1030">
        <f t="shared" si="0"/>
        <v>1</v>
      </c>
    </row>
    <row r="44" spans="1:6">
      <c r="A44" s="536" t="s">
        <v>248</v>
      </c>
      <c r="B44" s="1029">
        <f>VLOOKUP(A44,[3]Planilha1!$A:$B,2,0)</f>
        <v>0</v>
      </c>
      <c r="C44" s="1029">
        <f>VLOOKUP(A44,[3]Planilha2!$A:$B,2,0)</f>
        <v>1</v>
      </c>
      <c r="D44" s="1029">
        <f>VLOOKUP(A44,[3]Planilha3!$A:$B,2,0)</f>
        <v>0</v>
      </c>
      <c r="E44" s="1030">
        <v>0</v>
      </c>
      <c r="F44" s="1030">
        <f t="shared" si="0"/>
        <v>1</v>
      </c>
    </row>
    <row r="45" spans="1:6">
      <c r="A45" s="536" t="s">
        <v>249</v>
      </c>
      <c r="B45" s="1029">
        <f>VLOOKUP(A45,[3]Planilha1!$A:$B,2,0)</f>
        <v>1</v>
      </c>
      <c r="C45" s="1029">
        <f>VLOOKUP(A45,[3]Planilha2!$A:$B,2,0)</f>
        <v>0</v>
      </c>
      <c r="D45" s="1029">
        <f>VLOOKUP(A45,[3]Planilha3!$A:$B,2,0)</f>
        <v>0</v>
      </c>
      <c r="E45" s="1030">
        <v>0</v>
      </c>
      <c r="F45" s="1030">
        <f t="shared" si="0"/>
        <v>1</v>
      </c>
    </row>
    <row r="46" spans="1:6">
      <c r="A46" s="536" t="s">
        <v>250</v>
      </c>
      <c r="B46" s="1029">
        <f>VLOOKUP(A46,[3]Planilha1!$A:$B,2,0)</f>
        <v>1</v>
      </c>
      <c r="C46" s="1029">
        <f>VLOOKUP(A46,[3]Planilha2!$A:$B,2,0)</f>
        <v>0</v>
      </c>
      <c r="D46" s="1029">
        <f>VLOOKUP(A46,[3]Planilha3!$A:$B,2,0)</f>
        <v>0</v>
      </c>
      <c r="E46" s="1030">
        <v>3</v>
      </c>
      <c r="F46" s="1030">
        <f t="shared" si="0"/>
        <v>4</v>
      </c>
    </row>
    <row r="47" spans="1:6">
      <c r="A47" s="536" t="s">
        <v>251</v>
      </c>
      <c r="B47" s="1029">
        <f>VLOOKUP(A47,[3]Planilha1!$A:$B,2,0)</f>
        <v>0</v>
      </c>
      <c r="C47" s="1029">
        <f>VLOOKUP(A47,[3]Planilha2!$A:$B,2,0)</f>
        <v>0</v>
      </c>
      <c r="D47" s="1029">
        <f>VLOOKUP(A47,[3]Planilha3!$A:$B,2,0)</f>
        <v>0</v>
      </c>
      <c r="E47" s="1030">
        <v>1</v>
      </c>
      <c r="F47" s="1030">
        <f t="shared" si="0"/>
        <v>1</v>
      </c>
    </row>
    <row r="48" spans="1:6">
      <c r="A48" s="536" t="s">
        <v>252</v>
      </c>
      <c r="B48" s="1029">
        <f>VLOOKUP(A48,[3]Planilha1!$A:$B,2,0)</f>
        <v>0</v>
      </c>
      <c r="C48" s="1029">
        <f>VLOOKUP(A48,[3]Planilha2!$A:$B,2,0)</f>
        <v>0</v>
      </c>
      <c r="D48" s="1029">
        <f>VLOOKUP(A48,[3]Planilha3!$A:$B,2,0)</f>
        <v>0</v>
      </c>
      <c r="E48" s="1030">
        <v>1</v>
      </c>
      <c r="F48" s="1030">
        <f t="shared" si="0"/>
        <v>1</v>
      </c>
    </row>
    <row r="49" spans="1:6">
      <c r="A49" s="536" t="s">
        <v>253</v>
      </c>
      <c r="B49" s="1029">
        <f>VLOOKUP(A49,[3]Planilha1!$A:$B,2,0)</f>
        <v>1</v>
      </c>
      <c r="C49" s="1029">
        <f>VLOOKUP(A49,[3]Planilha2!$A:$B,2,0)</f>
        <v>0</v>
      </c>
      <c r="D49" s="1029">
        <f>VLOOKUP(A49,[3]Planilha3!$A:$B,2,0)</f>
        <v>0</v>
      </c>
      <c r="E49" s="1030">
        <v>0</v>
      </c>
      <c r="F49" s="1030">
        <f t="shared" si="0"/>
        <v>1</v>
      </c>
    </row>
    <row r="50" spans="1:6">
      <c r="A50" s="536" t="s">
        <v>254</v>
      </c>
      <c r="B50" s="1029">
        <f>VLOOKUP(A50,[3]Planilha1!$A:$B,2,0)</f>
        <v>0</v>
      </c>
      <c r="C50" s="1029">
        <f>VLOOKUP(A50,[3]Planilha2!$A:$B,2,0)</f>
        <v>1</v>
      </c>
      <c r="D50" s="1029">
        <f>VLOOKUP(A50,[3]Planilha3!$A:$B,2,0)</f>
        <v>0</v>
      </c>
      <c r="E50" s="1030">
        <v>1</v>
      </c>
      <c r="F50" s="1030">
        <f t="shared" si="0"/>
        <v>2</v>
      </c>
    </row>
    <row r="51" spans="1:6">
      <c r="A51" s="536" t="s">
        <v>255</v>
      </c>
      <c r="B51" s="1029">
        <f>VLOOKUP(A51,[3]Planilha1!$A:$B,2,0)</f>
        <v>0</v>
      </c>
      <c r="C51" s="1029">
        <f>VLOOKUP(A51,[3]Planilha2!$A:$B,2,0)</f>
        <v>0</v>
      </c>
      <c r="D51" s="1029">
        <f>VLOOKUP(A51,[3]Planilha3!$A:$B,2,0)</f>
        <v>0</v>
      </c>
      <c r="E51" s="1030">
        <v>0</v>
      </c>
      <c r="F51" s="1030">
        <f t="shared" si="0"/>
        <v>0</v>
      </c>
    </row>
    <row r="52" spans="1:6">
      <c r="A52" s="536" t="s">
        <v>256</v>
      </c>
      <c r="B52" s="1029">
        <f>VLOOKUP(A52,[3]Planilha1!$A:$B,2,0)</f>
        <v>0</v>
      </c>
      <c r="C52" s="1029">
        <f>VLOOKUP(A52,[3]Planilha2!$A:$B,2,0)</f>
        <v>0</v>
      </c>
      <c r="D52" s="1029">
        <f>VLOOKUP(A52,[3]Planilha3!$A:$B,2,0)</f>
        <v>0</v>
      </c>
      <c r="E52" s="1030">
        <v>0</v>
      </c>
      <c r="F52" s="1030">
        <f t="shared" si="0"/>
        <v>0</v>
      </c>
    </row>
    <row r="53" spans="1:6">
      <c r="A53" s="536" t="s">
        <v>257</v>
      </c>
      <c r="B53" s="1029">
        <f>VLOOKUP(A53,[3]Planilha1!$A:$B,2,0)</f>
        <v>3</v>
      </c>
      <c r="C53" s="1029">
        <f>VLOOKUP(A53,[3]Planilha2!$A:$B,2,0)</f>
        <v>3</v>
      </c>
      <c r="D53" s="1029">
        <f>VLOOKUP(A53,[3]Planilha3!$A:$B,2,0)</f>
        <v>1</v>
      </c>
      <c r="E53" s="1030">
        <v>4</v>
      </c>
      <c r="F53" s="1030">
        <f t="shared" si="0"/>
        <v>11</v>
      </c>
    </row>
    <row r="54" spans="1:6">
      <c r="A54" s="536" t="s">
        <v>258</v>
      </c>
      <c r="B54" s="1029">
        <f>VLOOKUP(A54,[3]Planilha1!$A:$B,2,0)</f>
        <v>0</v>
      </c>
      <c r="C54" s="1029">
        <f>VLOOKUP(A54,[3]Planilha2!$A:$B,2,0)</f>
        <v>0</v>
      </c>
      <c r="D54" s="1029">
        <f>VLOOKUP(A54,[3]Planilha3!$A:$B,2,0)</f>
        <v>0</v>
      </c>
      <c r="E54" s="1030">
        <v>2</v>
      </c>
      <c r="F54" s="1030">
        <f t="shared" si="0"/>
        <v>2</v>
      </c>
    </row>
    <row r="55" spans="1:6">
      <c r="A55" s="536" t="s">
        <v>259</v>
      </c>
      <c r="B55" s="1029">
        <f>VLOOKUP(A55,[3]Planilha1!$A:$B,2,0)</f>
        <v>0</v>
      </c>
      <c r="C55" s="1029">
        <f>VLOOKUP(A55,[3]Planilha2!$A:$B,2,0)</f>
        <v>0</v>
      </c>
      <c r="D55" s="1029">
        <f>VLOOKUP(A55,[3]Planilha3!$A:$B,2,0)</f>
        <v>1</v>
      </c>
      <c r="E55" s="1030">
        <v>0</v>
      </c>
      <c r="F55" s="1030">
        <f t="shared" si="0"/>
        <v>1</v>
      </c>
    </row>
    <row r="56" spans="1:6">
      <c r="A56" s="536" t="s">
        <v>260</v>
      </c>
      <c r="B56" s="1029">
        <f>VLOOKUP(A56,[3]Planilha1!$A:$B,2,0)</f>
        <v>1</v>
      </c>
      <c r="C56" s="1029">
        <f>VLOOKUP(A56,[3]Planilha2!$A:$B,2,0)</f>
        <v>1</v>
      </c>
      <c r="D56" s="1029">
        <f>VLOOKUP(A56,[3]Planilha3!$A:$B,2,0)</f>
        <v>3</v>
      </c>
      <c r="E56" s="1030">
        <v>1</v>
      </c>
      <c r="F56" s="1030">
        <f t="shared" si="0"/>
        <v>6</v>
      </c>
    </row>
    <row r="57" spans="1:6">
      <c r="A57" s="536" t="s">
        <v>261</v>
      </c>
      <c r="B57" s="1029">
        <f>VLOOKUP(A57,[3]Planilha1!$A:$B,2,0)</f>
        <v>0</v>
      </c>
      <c r="C57" s="1029">
        <f>VLOOKUP(A57,[3]Planilha2!$A:$B,2,0)</f>
        <v>0</v>
      </c>
      <c r="D57" s="1029">
        <f>VLOOKUP(A57,[3]Planilha3!$A:$B,2,0)</f>
        <v>2</v>
      </c>
      <c r="E57" s="1030">
        <v>0</v>
      </c>
      <c r="F57" s="1030">
        <f t="shared" si="0"/>
        <v>2</v>
      </c>
    </row>
    <row r="58" spans="1:6">
      <c r="A58" s="536" t="s">
        <v>262</v>
      </c>
      <c r="B58" s="1029">
        <f>VLOOKUP(A58,[3]Planilha1!$A:$B,2,0)</f>
        <v>0</v>
      </c>
      <c r="C58" s="1029">
        <f>VLOOKUP(A58,[3]Planilha2!$A:$B,2,0)</f>
        <v>0</v>
      </c>
      <c r="D58" s="1029">
        <f>VLOOKUP(A58,[3]Planilha3!$A:$B,2,0)</f>
        <v>5</v>
      </c>
      <c r="E58" s="1030">
        <v>5</v>
      </c>
      <c r="F58" s="1030">
        <f t="shared" si="0"/>
        <v>10</v>
      </c>
    </row>
    <row r="59" spans="1:6">
      <c r="A59" s="536" t="s">
        <v>263</v>
      </c>
      <c r="B59" s="1029">
        <f>VLOOKUP(A59,[3]Planilha1!$A:$B,2,0)</f>
        <v>1</v>
      </c>
      <c r="C59" s="1029">
        <f>VLOOKUP(A59,[3]Planilha2!$A:$B,2,0)</f>
        <v>0</v>
      </c>
      <c r="D59" s="1029">
        <f>VLOOKUP(A59,[3]Planilha3!$A:$B,2,0)</f>
        <v>0</v>
      </c>
      <c r="E59" s="1030">
        <v>0</v>
      </c>
      <c r="F59" s="1030">
        <f t="shared" si="0"/>
        <v>1</v>
      </c>
    </row>
    <row r="60" spans="1:6">
      <c r="A60" s="536" t="s">
        <v>264</v>
      </c>
      <c r="B60" s="1029">
        <f>VLOOKUP(A60,[3]Planilha1!$A:$B,2,0)</f>
        <v>0</v>
      </c>
      <c r="C60" s="1029">
        <f>VLOOKUP(A60,[3]Planilha2!$A:$B,2,0)</f>
        <v>2</v>
      </c>
      <c r="D60" s="1029">
        <f>VLOOKUP(A60,[3]Planilha3!$A:$B,2,0)</f>
        <v>0</v>
      </c>
      <c r="E60" s="1030">
        <v>1</v>
      </c>
      <c r="F60" s="1030">
        <f t="shared" si="0"/>
        <v>3</v>
      </c>
    </row>
    <row r="61" spans="1:6">
      <c r="A61" s="536" t="s">
        <v>265</v>
      </c>
      <c r="B61" s="1029">
        <f>VLOOKUP(A61,[3]Planilha1!$A:$B,2,0)</f>
        <v>0</v>
      </c>
      <c r="C61" s="1029">
        <f>VLOOKUP(A61,[3]Planilha2!$A:$B,2,0)</f>
        <v>0</v>
      </c>
      <c r="D61" s="1029">
        <f>VLOOKUP(A61,[3]Planilha3!$A:$B,2,0)</f>
        <v>0</v>
      </c>
      <c r="E61" s="1030">
        <v>0</v>
      </c>
      <c r="F61" s="1030">
        <f t="shared" si="0"/>
        <v>0</v>
      </c>
    </row>
    <row r="62" spans="1:6">
      <c r="A62" s="536" t="s">
        <v>266</v>
      </c>
      <c r="B62" s="1029">
        <f>VLOOKUP(A62,[3]Planilha1!$A:$B,2,0)</f>
        <v>0</v>
      </c>
      <c r="C62" s="1029">
        <f>VLOOKUP(A62,[3]Planilha2!$A:$B,2,0)</f>
        <v>0</v>
      </c>
      <c r="D62" s="1029">
        <f>VLOOKUP(A62,[3]Planilha3!$A:$B,2,0)</f>
        <v>0</v>
      </c>
      <c r="E62" s="1030">
        <v>0</v>
      </c>
      <c r="F62" s="1030">
        <f t="shared" si="0"/>
        <v>0</v>
      </c>
    </row>
    <row r="63" spans="1:6">
      <c r="A63" s="536" t="s">
        <v>267</v>
      </c>
      <c r="B63" s="1029">
        <f>VLOOKUP(A63,[3]Planilha1!$A:$B,2,0)</f>
        <v>0</v>
      </c>
      <c r="C63" s="1029">
        <f>VLOOKUP(A63,[3]Planilha2!$A:$B,2,0)</f>
        <v>0</v>
      </c>
      <c r="D63" s="1029">
        <f>VLOOKUP(A63,[3]Planilha3!$A:$B,2,0)</f>
        <v>1</v>
      </c>
      <c r="E63" s="1030">
        <v>1</v>
      </c>
      <c r="F63" s="1030">
        <f t="shared" si="0"/>
        <v>2</v>
      </c>
    </row>
    <row r="64" spans="1:6">
      <c r="A64" s="536" t="s">
        <v>268</v>
      </c>
      <c r="B64" s="1029">
        <f>VLOOKUP(A64,[3]Planilha1!$A:$B,2,0)</f>
        <v>0</v>
      </c>
      <c r="C64" s="1029">
        <f>VLOOKUP(A64,[3]Planilha2!$A:$B,2,0)</f>
        <v>1</v>
      </c>
      <c r="D64" s="1029">
        <f>VLOOKUP(A64,[3]Planilha3!$A:$B,2,0)</f>
        <v>2</v>
      </c>
      <c r="E64" s="1030">
        <v>0</v>
      </c>
      <c r="F64" s="1030">
        <f t="shared" si="0"/>
        <v>3</v>
      </c>
    </row>
    <row r="65" spans="1:6">
      <c r="A65" s="536" t="s">
        <v>269</v>
      </c>
      <c r="B65" s="1029">
        <f>VLOOKUP(A65,[3]Planilha1!$A:$B,2,0)</f>
        <v>1</v>
      </c>
      <c r="C65" s="1029">
        <f>VLOOKUP(A65,[3]Planilha2!$A:$B,2,0)</f>
        <v>0</v>
      </c>
      <c r="D65" s="1029">
        <f>VLOOKUP(A65,[3]Planilha3!$A:$B,2,0)</f>
        <v>0</v>
      </c>
      <c r="E65" s="1030">
        <v>0</v>
      </c>
      <c r="F65" s="1030">
        <f t="shared" si="0"/>
        <v>1</v>
      </c>
    </row>
    <row r="66" spans="1:6">
      <c r="A66" s="536" t="s">
        <v>270</v>
      </c>
      <c r="B66" s="1029">
        <f>VLOOKUP(A66,[3]Planilha1!$A:$B,2,0)</f>
        <v>0</v>
      </c>
      <c r="C66" s="1029">
        <f>VLOOKUP(A66,[3]Planilha2!$A:$B,2,0)</f>
        <v>1</v>
      </c>
      <c r="D66" s="1029">
        <f>VLOOKUP(A66,[3]Planilha3!$A:$B,2,0)</f>
        <v>0</v>
      </c>
      <c r="E66" s="1030">
        <v>0</v>
      </c>
      <c r="F66" s="1030">
        <f t="shared" si="0"/>
        <v>1</v>
      </c>
    </row>
    <row r="67" spans="1:6">
      <c r="A67" s="536" t="s">
        <v>271</v>
      </c>
      <c r="B67" s="1029">
        <f>VLOOKUP(A67,[3]Planilha1!$A:$B,2,0)</f>
        <v>3</v>
      </c>
      <c r="C67" s="1029">
        <f>VLOOKUP(A67,[3]Planilha2!$A:$B,2,0)</f>
        <v>0</v>
      </c>
      <c r="D67" s="1029">
        <f>VLOOKUP(A67,[3]Planilha3!$A:$B,2,0)</f>
        <v>1</v>
      </c>
      <c r="E67" s="1030">
        <v>2</v>
      </c>
      <c r="F67" s="1030">
        <f t="shared" si="0"/>
        <v>6</v>
      </c>
    </row>
    <row r="68" spans="1:6">
      <c r="A68" s="536" t="s">
        <v>272</v>
      </c>
      <c r="B68" s="1029">
        <f>VLOOKUP(A68,[3]Planilha1!$A:$B,2,0)</f>
        <v>0</v>
      </c>
      <c r="C68" s="1029">
        <f>VLOOKUP(A68,[3]Planilha2!$A:$B,2,0)</f>
        <v>0</v>
      </c>
      <c r="D68" s="1029">
        <f>VLOOKUP(A68,[3]Planilha3!$A:$B,2,0)</f>
        <v>0</v>
      </c>
      <c r="E68" s="1030">
        <v>0</v>
      </c>
      <c r="F68" s="1030">
        <f t="shared" si="0"/>
        <v>0</v>
      </c>
    </row>
    <row r="69" spans="1:6">
      <c r="A69" s="536" t="s">
        <v>273</v>
      </c>
      <c r="B69" s="1029">
        <f>VLOOKUP(A69,[3]Planilha1!$A:$B,2,0)</f>
        <v>2</v>
      </c>
      <c r="C69" s="1029">
        <f>VLOOKUP(A69,[3]Planilha2!$A:$B,2,0)</f>
        <v>0</v>
      </c>
      <c r="D69" s="1029">
        <f>VLOOKUP(A69,[3]Planilha3!$A:$B,2,0)</f>
        <v>1</v>
      </c>
      <c r="E69" s="1030">
        <v>2</v>
      </c>
      <c r="F69" s="1030">
        <f t="shared" ref="F69:F72" si="1">B69+C69+D69+E69</f>
        <v>5</v>
      </c>
    </row>
    <row r="70" spans="1:6">
      <c r="A70" s="536" t="s">
        <v>274</v>
      </c>
      <c r="B70" s="1029">
        <f>VLOOKUP(A70,[3]Planilha1!$A:$B,2,0)</f>
        <v>0</v>
      </c>
      <c r="C70" s="1029">
        <f>VLOOKUP(A70,[3]Planilha2!$A:$B,2,0)</f>
        <v>0</v>
      </c>
      <c r="D70" s="1029">
        <f>VLOOKUP(A70,[3]Planilha3!$A:$B,2,0)</f>
        <v>0</v>
      </c>
      <c r="E70" s="1030">
        <v>1</v>
      </c>
      <c r="F70" s="1030">
        <f t="shared" si="1"/>
        <v>1</v>
      </c>
    </row>
    <row r="71" spans="1:6">
      <c r="A71" s="536" t="s">
        <v>275</v>
      </c>
      <c r="B71" s="1029">
        <f>VLOOKUP(A71,[3]Planilha1!$A:$B,2,0)</f>
        <v>2</v>
      </c>
      <c r="C71" s="1029">
        <f>VLOOKUP(A71,[3]Planilha2!$A:$B,2,0)</f>
        <v>0</v>
      </c>
      <c r="D71" s="1029">
        <f>VLOOKUP(A71,[3]Planilha3!$A:$B,2,0)</f>
        <v>1</v>
      </c>
      <c r="E71" s="1030">
        <v>0</v>
      </c>
      <c r="F71" s="1030">
        <f t="shared" si="1"/>
        <v>3</v>
      </c>
    </row>
    <row r="72" spans="1:6">
      <c r="A72" s="536" t="s">
        <v>276</v>
      </c>
      <c r="B72" s="1029">
        <f>VLOOKUP(A72,[3]Planilha1!$A:$B,2,0)</f>
        <v>0</v>
      </c>
      <c r="C72" s="1029">
        <f>VLOOKUP(A72,[3]Planilha2!$A:$B,2,0)</f>
        <v>0</v>
      </c>
      <c r="D72" s="1029">
        <f>VLOOKUP(A72,[3]Planilha3!$A:$B,2,0)</f>
        <v>0</v>
      </c>
      <c r="E72" s="1030">
        <v>2</v>
      </c>
      <c r="F72" s="1030">
        <f t="shared" si="1"/>
        <v>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F72"/>
  <sheetViews>
    <sheetView topLeftCell="A32" workbookViewId="0">
      <selection activeCell="F4" sqref="F4:F72"/>
    </sheetView>
  </sheetViews>
  <sheetFormatPr defaultRowHeight="15"/>
  <cols>
    <col min="1" max="1" width="68" customWidth="1"/>
    <col min="2" max="2" width="11.7109375" customWidth="1"/>
    <col min="3" max="3" width="11.42578125" customWidth="1"/>
    <col min="5" max="5" width="10.140625" customWidth="1"/>
    <col min="6" max="6" width="22.85546875" customWidth="1"/>
  </cols>
  <sheetData>
    <row r="1" spans="1:6">
      <c r="A1" s="525" t="s">
        <v>0</v>
      </c>
    </row>
    <row r="2" spans="1:6">
      <c r="A2" s="527" t="s">
        <v>1</v>
      </c>
    </row>
    <row r="3" spans="1:6">
      <c r="A3" s="1021" t="s">
        <v>522</v>
      </c>
      <c r="B3" s="1021" t="s">
        <v>411</v>
      </c>
      <c r="C3" s="1021" t="s">
        <v>490</v>
      </c>
      <c r="D3" s="1021" t="s">
        <v>505</v>
      </c>
      <c r="E3" s="1022" t="s">
        <v>521</v>
      </c>
      <c r="F3" s="1021" t="s">
        <v>5</v>
      </c>
    </row>
    <row r="4" spans="1:6">
      <c r="A4" s="532" t="s">
        <v>212</v>
      </c>
      <c r="B4" s="535">
        <f>VLOOKUP(A4,[4]Planilha1!$A:$B,2,0)</f>
        <v>1</v>
      </c>
      <c r="C4" s="535">
        <f>VLOOKUP(A4,[4]Planilha2!$A:$B,2,0)</f>
        <v>1</v>
      </c>
      <c r="D4" s="535">
        <f>VLOOKUP(A4,[4]Planilha3!$A:$B,2,0)</f>
        <v>1</v>
      </c>
      <c r="E4" s="535">
        <f>VLOOKUP(A4,[4]Planilha4!$A:$B,2,0)</f>
        <v>1</v>
      </c>
      <c r="F4" s="535">
        <f>B4+C4+D4+E4</f>
        <v>4</v>
      </c>
    </row>
    <row r="5" spans="1:6">
      <c r="A5" s="534" t="s">
        <v>417</v>
      </c>
      <c r="B5" s="535">
        <f>VLOOKUP(A5,[4]Planilha1!$A:$B,2,0)</f>
        <v>0</v>
      </c>
      <c r="C5" s="535">
        <f>VLOOKUP(A5,[4]Planilha2!$A:$B,2,0)</f>
        <v>0</v>
      </c>
      <c r="D5" s="535">
        <f>VLOOKUP(A5,[4]Planilha3!$A:$B,2,0)</f>
        <v>0</v>
      </c>
      <c r="E5" s="535">
        <f>VLOOKUP(A5,[4]Planilha4!$A:$B,2,0)</f>
        <v>0</v>
      </c>
      <c r="F5" s="535">
        <f t="shared" ref="F5:F68" si="0">B5+C5+D5+E5</f>
        <v>0</v>
      </c>
    </row>
    <row r="6" spans="1:6">
      <c r="A6" s="536" t="s">
        <v>213</v>
      </c>
      <c r="B6" s="535">
        <f>VLOOKUP(A6,[4]Planilha1!$A:$B,2,0)</f>
        <v>0</v>
      </c>
      <c r="C6" s="535">
        <f>VLOOKUP(A6,[4]Planilha2!$A:$B,2,0)</f>
        <v>0</v>
      </c>
      <c r="D6" s="535">
        <f>VLOOKUP(A6,[4]Planilha3!$A:$B,2,0)</f>
        <v>0</v>
      </c>
      <c r="E6" s="535">
        <f>VLOOKUP(A6,[4]Planilha4!$A:$B,2,0)</f>
        <v>0</v>
      </c>
      <c r="F6" s="535">
        <f t="shared" si="0"/>
        <v>0</v>
      </c>
    </row>
    <row r="7" spans="1:6">
      <c r="A7" s="536" t="s">
        <v>214</v>
      </c>
      <c r="B7" s="535">
        <f>VLOOKUP(A7,[4]Planilha1!$A:$B,2,0)</f>
        <v>0</v>
      </c>
      <c r="C7" s="535">
        <f>VLOOKUP(A7,[4]Planilha2!$A:$B,2,0)</f>
        <v>0</v>
      </c>
      <c r="D7" s="535">
        <f>VLOOKUP(A7,[4]Planilha3!$A:$B,2,0)</f>
        <v>1</v>
      </c>
      <c r="E7" s="535">
        <f>VLOOKUP(A7,[4]Planilha4!$A:$B,2,0)</f>
        <v>0</v>
      </c>
      <c r="F7" s="535">
        <f t="shared" si="0"/>
        <v>1</v>
      </c>
    </row>
    <row r="8" spans="1:6">
      <c r="A8" s="536" t="s">
        <v>215</v>
      </c>
      <c r="B8" s="535">
        <f>VLOOKUP(A8,[4]Planilha1!$A:$B,2,0)</f>
        <v>0</v>
      </c>
      <c r="C8" s="535">
        <f>VLOOKUP(A8,[4]Planilha2!$A:$B,2,0)</f>
        <v>0</v>
      </c>
      <c r="D8" s="535">
        <f>VLOOKUP(A8,[4]Planilha3!$A:$B,2,0)</f>
        <v>0</v>
      </c>
      <c r="E8" s="535">
        <f>VLOOKUP(A8,[4]Planilha4!$A:$B,2,0)</f>
        <v>1</v>
      </c>
      <c r="F8" s="535">
        <f t="shared" si="0"/>
        <v>1</v>
      </c>
    </row>
    <row r="9" spans="1:6">
      <c r="A9" s="536" t="s">
        <v>216</v>
      </c>
      <c r="B9" s="535">
        <f>VLOOKUP(A9,[4]Planilha1!$A:$B,2,0)</f>
        <v>0</v>
      </c>
      <c r="C9" s="535">
        <f>VLOOKUP(A9,[4]Planilha2!$A:$B,2,0)</f>
        <v>1</v>
      </c>
      <c r="D9" s="535">
        <f>VLOOKUP(A9,[4]Planilha3!$A:$B,2,0)</f>
        <v>0</v>
      </c>
      <c r="E9" s="535">
        <f>VLOOKUP(A9,[4]Planilha4!$A:$B,2,0)</f>
        <v>1</v>
      </c>
      <c r="F9" s="535">
        <f t="shared" si="0"/>
        <v>2</v>
      </c>
    </row>
    <row r="10" spans="1:6">
      <c r="A10" s="536" t="s">
        <v>217</v>
      </c>
      <c r="B10" s="535">
        <f>VLOOKUP(A10,[4]Planilha1!$A:$B,2,0)</f>
        <v>0</v>
      </c>
      <c r="C10" s="535">
        <f>VLOOKUP(A10,[4]Planilha2!$A:$B,2,0)</f>
        <v>0</v>
      </c>
      <c r="D10" s="535">
        <f>VLOOKUP(A10,[4]Planilha3!$A:$B,2,0)</f>
        <v>6</v>
      </c>
      <c r="E10" s="535">
        <f>VLOOKUP(A10,[4]Planilha4!$A:$B,2,0)</f>
        <v>72</v>
      </c>
      <c r="F10" s="535">
        <f t="shared" si="0"/>
        <v>78</v>
      </c>
    </row>
    <row r="11" spans="1:6">
      <c r="A11" s="536" t="s">
        <v>144</v>
      </c>
      <c r="B11" s="535">
        <f>VLOOKUP(A11,[4]Planilha1!$A:$B,2,0)</f>
        <v>8</v>
      </c>
      <c r="C11" s="535">
        <f>VLOOKUP(A11,[4]Planilha2!$A:$B,2,0)</f>
        <v>32</v>
      </c>
      <c r="D11" s="535">
        <f>VLOOKUP(A11,[4]Planilha3!$A:$B,2,0)</f>
        <v>22</v>
      </c>
      <c r="E11" s="535">
        <f>VLOOKUP(A11,[4]Planilha4!$A:$B,2,0)</f>
        <v>2</v>
      </c>
      <c r="F11" s="535">
        <f t="shared" si="0"/>
        <v>64</v>
      </c>
    </row>
    <row r="12" spans="1:6">
      <c r="A12" s="536" t="s">
        <v>218</v>
      </c>
      <c r="B12" s="535">
        <f>VLOOKUP(A12,[4]Planilha1!$A:$B,2,0)</f>
        <v>0</v>
      </c>
      <c r="C12" s="535">
        <f>VLOOKUP(A12,[4]Planilha2!$A:$B,2,0)</f>
        <v>0</v>
      </c>
      <c r="D12" s="535">
        <f>VLOOKUP(A12,[4]Planilha3!$A:$B,2,0)</f>
        <v>0</v>
      </c>
      <c r="E12" s="535">
        <f>VLOOKUP(A12,[4]Planilha4!$A:$B,2,0)</f>
        <v>0</v>
      </c>
      <c r="F12" s="535">
        <f t="shared" si="0"/>
        <v>0</v>
      </c>
    </row>
    <row r="13" spans="1:6">
      <c r="A13" s="536" t="s">
        <v>219</v>
      </c>
      <c r="B13" s="535">
        <f>VLOOKUP(A13,[4]Planilha1!$A:$B,2,0)</f>
        <v>0</v>
      </c>
      <c r="C13" s="535">
        <f>VLOOKUP(A13,[4]Planilha2!$A:$B,2,0)</f>
        <v>0</v>
      </c>
      <c r="D13" s="535">
        <f>VLOOKUP(A13,[4]Planilha3!$A:$B,2,0)</f>
        <v>0</v>
      </c>
      <c r="E13" s="535">
        <f>VLOOKUP(A13,[4]Planilha4!$A:$B,2,0)</f>
        <v>0</v>
      </c>
      <c r="F13" s="535">
        <f t="shared" si="0"/>
        <v>0</v>
      </c>
    </row>
    <row r="14" spans="1:6">
      <c r="A14" s="536" t="s">
        <v>220</v>
      </c>
      <c r="B14" s="535">
        <f>VLOOKUP(A14,[4]Planilha1!$A:$B,2,0)</f>
        <v>4</v>
      </c>
      <c r="C14" s="535">
        <f>VLOOKUP(A14,[4]Planilha2!$A:$B,2,0)</f>
        <v>1</v>
      </c>
      <c r="D14" s="535">
        <f>VLOOKUP(A14,[4]Planilha3!$A:$B,2,0)</f>
        <v>0</v>
      </c>
      <c r="E14" s="535">
        <f>VLOOKUP(A14,[4]Planilha4!$A:$B,2,0)</f>
        <v>4</v>
      </c>
      <c r="F14" s="535">
        <f t="shared" si="0"/>
        <v>9</v>
      </c>
    </row>
    <row r="15" spans="1:6">
      <c r="A15" s="536" t="s">
        <v>221</v>
      </c>
      <c r="B15" s="535">
        <f>VLOOKUP(A15,[4]Planilha1!$A:$B,2,0)</f>
        <v>0</v>
      </c>
      <c r="C15" s="535">
        <f>VLOOKUP(A15,[4]Planilha2!$A:$B,2,0)</f>
        <v>0</v>
      </c>
      <c r="D15" s="535">
        <f>VLOOKUP(A15,[4]Planilha3!$A:$B,2,0)</f>
        <v>0</v>
      </c>
      <c r="E15" s="535">
        <f>VLOOKUP(A15,[4]Planilha4!$A:$B,2,0)</f>
        <v>0</v>
      </c>
      <c r="F15" s="535">
        <f t="shared" si="0"/>
        <v>0</v>
      </c>
    </row>
    <row r="16" spans="1:6">
      <c r="A16" s="536" t="s">
        <v>222</v>
      </c>
      <c r="B16" s="535">
        <f>VLOOKUP(A16,[4]Planilha1!$A:$B,2,0)</f>
        <v>0</v>
      </c>
      <c r="C16" s="535">
        <f>VLOOKUP(A16,[4]Planilha2!$A:$B,2,0)</f>
        <v>0</v>
      </c>
      <c r="D16" s="535">
        <f>VLOOKUP(A16,[4]Planilha3!$A:$B,2,0)</f>
        <v>1</v>
      </c>
      <c r="E16" s="535">
        <f>VLOOKUP(A16,[4]Planilha4!$A:$B,2,0)</f>
        <v>0</v>
      </c>
      <c r="F16" s="535">
        <f t="shared" si="0"/>
        <v>1</v>
      </c>
    </row>
    <row r="17" spans="1:6">
      <c r="A17" s="536" t="s">
        <v>223</v>
      </c>
      <c r="B17" s="535">
        <f>VLOOKUP(A17,[4]Planilha1!$A:$B,2,0)</f>
        <v>0</v>
      </c>
      <c r="C17" s="535">
        <f>VLOOKUP(A17,[4]Planilha2!$A:$B,2,0)</f>
        <v>1</v>
      </c>
      <c r="D17" s="535">
        <f>VLOOKUP(A17,[4]Planilha3!$A:$B,2,0)</f>
        <v>0</v>
      </c>
      <c r="E17" s="535">
        <f>VLOOKUP(A17,[4]Planilha4!$A:$B,2,0)</f>
        <v>0</v>
      </c>
      <c r="F17" s="535">
        <f t="shared" si="0"/>
        <v>1</v>
      </c>
    </row>
    <row r="18" spans="1:6">
      <c r="A18" s="536" t="s">
        <v>224</v>
      </c>
      <c r="B18" s="535">
        <f>VLOOKUP(A18,[4]Planilha1!$A:$B,2,0)</f>
        <v>0</v>
      </c>
      <c r="C18" s="535">
        <f>VLOOKUP(A18,[4]Planilha2!$A:$B,2,0)</f>
        <v>0</v>
      </c>
      <c r="D18" s="535">
        <f>VLOOKUP(A18,[4]Planilha3!$A:$B,2,0)</f>
        <v>0</v>
      </c>
      <c r="E18" s="535">
        <f>VLOOKUP(A18,[4]Planilha4!$A:$B,2,0)</f>
        <v>1</v>
      </c>
      <c r="F18" s="535">
        <f t="shared" si="0"/>
        <v>1</v>
      </c>
    </row>
    <row r="19" spans="1:6">
      <c r="A19" s="536" t="s">
        <v>486</v>
      </c>
      <c r="B19" s="535">
        <f>VLOOKUP(A19,[4]Planilha1!$A:$B,2,0)</f>
        <v>0</v>
      </c>
      <c r="C19" s="535">
        <f>VLOOKUP(A19,[4]Planilha2!$A:$B,2,0)</f>
        <v>0</v>
      </c>
      <c r="D19" s="535">
        <f>VLOOKUP(A19,[4]Planilha3!$A:$B,2,0)</f>
        <v>0</v>
      </c>
      <c r="E19" s="535">
        <f>VLOOKUP(A19,[4]Planilha4!$A:$B,2,0)</f>
        <v>0</v>
      </c>
      <c r="F19" s="535">
        <f t="shared" si="0"/>
        <v>0</v>
      </c>
    </row>
    <row r="20" spans="1:6">
      <c r="A20" s="536" t="s">
        <v>225</v>
      </c>
      <c r="B20" s="535">
        <f>VLOOKUP(A20,[4]Planilha1!$A:$B,2,0)</f>
        <v>0</v>
      </c>
      <c r="C20" s="535">
        <f>VLOOKUP(A20,[4]Planilha2!$A:$B,2,0)</f>
        <v>0</v>
      </c>
      <c r="D20" s="535">
        <f>VLOOKUP(A20,[4]Planilha3!$A:$B,2,0)</f>
        <v>0</v>
      </c>
      <c r="E20" s="535">
        <f>VLOOKUP(A20,[4]Planilha4!$A:$B,2,0)</f>
        <v>1</v>
      </c>
      <c r="F20" s="535">
        <f t="shared" si="0"/>
        <v>1</v>
      </c>
    </row>
    <row r="21" spans="1:6">
      <c r="A21" s="536" t="s">
        <v>226</v>
      </c>
      <c r="B21" s="535">
        <f>VLOOKUP(A21,[4]Planilha1!$A:$B,2,0)</f>
        <v>0</v>
      </c>
      <c r="C21" s="535">
        <f>VLOOKUP(A21,[4]Planilha2!$A:$B,2,0)</f>
        <v>0</v>
      </c>
      <c r="D21" s="535">
        <f>VLOOKUP(A21,[4]Planilha3!$A:$B,2,0)</f>
        <v>0</v>
      </c>
      <c r="E21" s="535">
        <f>VLOOKUP(A21,[4]Planilha4!$A:$B,2,0)</f>
        <v>0</v>
      </c>
      <c r="F21" s="535">
        <f t="shared" si="0"/>
        <v>0</v>
      </c>
    </row>
    <row r="22" spans="1:6">
      <c r="A22" s="536" t="s">
        <v>227</v>
      </c>
      <c r="B22" s="535">
        <f>VLOOKUP(A22,[4]Planilha1!$A:$B,2,0)</f>
        <v>15</v>
      </c>
      <c r="C22" s="535">
        <f>VLOOKUP(A22,[4]Planilha2!$A:$B,2,0)</f>
        <v>19</v>
      </c>
      <c r="D22" s="535">
        <f>VLOOKUP(A22,[4]Planilha3!$A:$B,2,0)</f>
        <v>38</v>
      </c>
      <c r="E22" s="535">
        <f>VLOOKUP(A22,[4]Planilha4!$A:$B,2,0)</f>
        <v>27</v>
      </c>
      <c r="F22" s="535">
        <f t="shared" si="0"/>
        <v>99</v>
      </c>
    </row>
    <row r="23" spans="1:6">
      <c r="A23" s="536" t="s">
        <v>228</v>
      </c>
      <c r="B23" s="535">
        <f>VLOOKUP(A23,[4]Planilha1!$A:$B,2,0)</f>
        <v>2</v>
      </c>
      <c r="C23" s="535">
        <f>VLOOKUP(A23,[4]Planilha2!$A:$B,2,0)</f>
        <v>3</v>
      </c>
      <c r="D23" s="535">
        <f>VLOOKUP(A23,[4]Planilha3!$A:$B,2,0)</f>
        <v>9</v>
      </c>
      <c r="E23" s="535">
        <f>VLOOKUP(A23,[4]Planilha4!$A:$B,2,0)</f>
        <v>7</v>
      </c>
      <c r="F23" s="535">
        <f t="shared" si="0"/>
        <v>21</v>
      </c>
    </row>
    <row r="24" spans="1:6">
      <c r="A24" s="537" t="s">
        <v>229</v>
      </c>
      <c r="B24" s="535">
        <f>VLOOKUP(A24,[4]Planilha1!$A:$B,2,0)</f>
        <v>9</v>
      </c>
      <c r="C24" s="535">
        <f>VLOOKUP(A24,[4]Planilha2!$A:$B,2,0)</f>
        <v>6</v>
      </c>
      <c r="D24" s="535">
        <f>VLOOKUP(A24,[4]Planilha3!$A:$B,2,0)</f>
        <v>8</v>
      </c>
      <c r="E24" s="535">
        <f>VLOOKUP(A24,[4]Planilha4!$A:$B,2,0)</f>
        <v>13</v>
      </c>
      <c r="F24" s="535">
        <f t="shared" si="0"/>
        <v>36</v>
      </c>
    </row>
    <row r="25" spans="1:6">
      <c r="A25" s="539" t="s">
        <v>418</v>
      </c>
      <c r="B25" s="535">
        <f>VLOOKUP(A25,[4]Planilha1!$A:$B,2,0)</f>
        <v>0</v>
      </c>
      <c r="C25" s="535">
        <f>VLOOKUP(A25,[4]Planilha2!$A:$B,2,0)</f>
        <v>0</v>
      </c>
      <c r="D25" s="535">
        <f>VLOOKUP(A25,[4]Planilha3!$A:$B,2,0)</f>
        <v>0</v>
      </c>
      <c r="E25" s="535">
        <f>VLOOKUP(A25,[4]Planilha4!$A:$B,2,0)</f>
        <v>0</v>
      </c>
      <c r="F25" s="535">
        <f t="shared" si="0"/>
        <v>0</v>
      </c>
    </row>
    <row r="26" spans="1:6">
      <c r="A26" s="532" t="s">
        <v>230</v>
      </c>
      <c r="B26" s="535">
        <f>VLOOKUP(A26,[4]Planilha1!$A:$B,2,0)</f>
        <v>2</v>
      </c>
      <c r="C26" s="535">
        <f>VLOOKUP(A26,[4]Planilha2!$A:$B,2,0)</f>
        <v>3</v>
      </c>
      <c r="D26" s="535">
        <f>VLOOKUP(A26,[4]Planilha3!$A:$B,2,0)</f>
        <v>2</v>
      </c>
      <c r="E26" s="535">
        <f>VLOOKUP(A26,[4]Planilha4!$A:$B,2,0)</f>
        <v>0</v>
      </c>
      <c r="F26" s="535">
        <f t="shared" si="0"/>
        <v>7</v>
      </c>
    </row>
    <row r="27" spans="1:6">
      <c r="A27" s="536" t="s">
        <v>231</v>
      </c>
      <c r="B27" s="535">
        <f>VLOOKUP(A27,[4]Planilha1!$A:$B,2,0)</f>
        <v>1</v>
      </c>
      <c r="C27" s="535">
        <f>VLOOKUP(A27,[4]Planilha2!$A:$B,2,0)</f>
        <v>1</v>
      </c>
      <c r="D27" s="535">
        <f>VLOOKUP(A27,[4]Planilha3!$A:$B,2,0)</f>
        <v>0</v>
      </c>
      <c r="E27" s="535">
        <f>VLOOKUP(A27,[4]Planilha4!$A:$B,2,0)</f>
        <v>1</v>
      </c>
      <c r="F27" s="535">
        <f t="shared" si="0"/>
        <v>3</v>
      </c>
    </row>
    <row r="28" spans="1:6">
      <c r="A28" s="536" t="s">
        <v>232</v>
      </c>
      <c r="B28" s="535">
        <f>VLOOKUP(A28,[4]Planilha1!$A:$B,2,0)</f>
        <v>1</v>
      </c>
      <c r="C28" s="535">
        <f>VLOOKUP(A28,[4]Planilha2!$A:$B,2,0)</f>
        <v>2</v>
      </c>
      <c r="D28" s="535">
        <f>VLOOKUP(A28,[4]Planilha3!$A:$B,2,0)</f>
        <v>0</v>
      </c>
      <c r="E28" s="535">
        <f>VLOOKUP(A28,[4]Planilha4!$A:$B,2,0)</f>
        <v>1</v>
      </c>
      <c r="F28" s="535">
        <f t="shared" si="0"/>
        <v>4</v>
      </c>
    </row>
    <row r="29" spans="1:6">
      <c r="A29" s="536" t="s">
        <v>233</v>
      </c>
      <c r="B29" s="535">
        <f>VLOOKUP(A29,[4]Planilha1!$A:$B,2,0)</f>
        <v>15</v>
      </c>
      <c r="C29" s="535">
        <f>VLOOKUP(A29,[4]Planilha2!$A:$B,2,0)</f>
        <v>12</v>
      </c>
      <c r="D29" s="535">
        <f>VLOOKUP(A29,[4]Planilha3!$A:$B,2,0)</f>
        <v>21</v>
      </c>
      <c r="E29" s="535">
        <f>VLOOKUP(A29,[4]Planilha4!$A:$B,2,0)</f>
        <v>30</v>
      </c>
      <c r="F29" s="535">
        <f t="shared" si="0"/>
        <v>78</v>
      </c>
    </row>
    <row r="30" spans="1:6">
      <c r="A30" s="536" t="s">
        <v>234</v>
      </c>
      <c r="B30" s="535">
        <f>VLOOKUP(A30,[4]Planilha1!$A:$B,2,0)</f>
        <v>3</v>
      </c>
      <c r="C30" s="535">
        <f>VLOOKUP(A30,[4]Planilha2!$A:$B,2,0)</f>
        <v>2</v>
      </c>
      <c r="D30" s="535">
        <f>VLOOKUP(A30,[4]Planilha3!$A:$B,2,0)</f>
        <v>8</v>
      </c>
      <c r="E30" s="535">
        <f>VLOOKUP(A30,[4]Planilha4!$A:$B,2,0)</f>
        <v>1</v>
      </c>
      <c r="F30" s="535">
        <f t="shared" si="0"/>
        <v>14</v>
      </c>
    </row>
    <row r="31" spans="1:6">
      <c r="A31" s="536" t="s">
        <v>235</v>
      </c>
      <c r="B31" s="535">
        <f>VLOOKUP(A31,[4]Planilha1!$A:$B,2,0)</f>
        <v>0</v>
      </c>
      <c r="C31" s="535">
        <f>VLOOKUP(A31,[4]Planilha2!$A:$B,2,0)</f>
        <v>1</v>
      </c>
      <c r="D31" s="535">
        <f>VLOOKUP(A31,[4]Planilha3!$A:$B,2,0)</f>
        <v>2</v>
      </c>
      <c r="E31" s="535">
        <f>VLOOKUP(A31,[4]Planilha4!$A:$B,2,0)</f>
        <v>0</v>
      </c>
      <c r="F31" s="535">
        <f t="shared" si="0"/>
        <v>3</v>
      </c>
    </row>
    <row r="32" spans="1:6">
      <c r="A32" s="536" t="s">
        <v>236</v>
      </c>
      <c r="B32" s="535">
        <f>VLOOKUP(A32,[4]Planilha1!$A:$B,2,0)</f>
        <v>0</v>
      </c>
      <c r="C32" s="535">
        <f>VLOOKUP(A32,[4]Planilha2!$A:$B,2,0)</f>
        <v>2</v>
      </c>
      <c r="D32" s="535">
        <f>VLOOKUP(A32,[4]Planilha3!$A:$B,2,0)</f>
        <v>0</v>
      </c>
      <c r="E32" s="535">
        <f>VLOOKUP(A32,[4]Planilha4!$A:$B,2,0)</f>
        <v>0</v>
      </c>
      <c r="F32" s="535">
        <f t="shared" si="0"/>
        <v>2</v>
      </c>
    </row>
    <row r="33" spans="1:6">
      <c r="A33" s="536" t="s">
        <v>237</v>
      </c>
      <c r="B33" s="535">
        <f>VLOOKUP(A33,[4]Planilha1!$A:$B,2,0)</f>
        <v>0</v>
      </c>
      <c r="C33" s="535">
        <f>VLOOKUP(A33,[4]Planilha2!$A:$B,2,0)</f>
        <v>0</v>
      </c>
      <c r="D33" s="535">
        <f>VLOOKUP(A33,[4]Planilha3!$A:$B,2,0)</f>
        <v>0</v>
      </c>
      <c r="E33" s="535">
        <f>VLOOKUP(A33,[4]Planilha4!$A:$B,2,0)</f>
        <v>0</v>
      </c>
      <c r="F33" s="535">
        <f t="shared" si="0"/>
        <v>0</v>
      </c>
    </row>
    <row r="34" spans="1:6">
      <c r="A34" s="536" t="s">
        <v>238</v>
      </c>
      <c r="B34" s="535">
        <f>VLOOKUP(A34,[4]Planilha1!$A:$B,2,0)</f>
        <v>2</v>
      </c>
      <c r="C34" s="535">
        <f>VLOOKUP(A34,[4]Planilha2!$A:$B,2,0)</f>
        <v>2</v>
      </c>
      <c r="D34" s="535">
        <f>VLOOKUP(A34,[4]Planilha3!$A:$B,2,0)</f>
        <v>0</v>
      </c>
      <c r="E34" s="535">
        <f>VLOOKUP(A34,[4]Planilha4!$A:$B,2,0)</f>
        <v>1</v>
      </c>
      <c r="F34" s="535">
        <f t="shared" si="0"/>
        <v>5</v>
      </c>
    </row>
    <row r="35" spans="1:6">
      <c r="A35" s="536" t="s">
        <v>239</v>
      </c>
      <c r="B35" s="535">
        <f>VLOOKUP(A35,[4]Planilha1!$A:$B,2,0)</f>
        <v>0</v>
      </c>
      <c r="C35" s="535">
        <f>VLOOKUP(A35,[4]Planilha2!$A:$B,2,0)</f>
        <v>0</v>
      </c>
      <c r="D35" s="535">
        <f>VLOOKUP(A35,[4]Planilha3!$A:$B,2,0)</f>
        <v>0</v>
      </c>
      <c r="E35" s="535">
        <f>VLOOKUP(A35,[4]Planilha4!$A:$B,2,0)</f>
        <v>0</v>
      </c>
      <c r="F35" s="535">
        <f t="shared" si="0"/>
        <v>0</v>
      </c>
    </row>
    <row r="36" spans="1:6">
      <c r="A36" s="536" t="s">
        <v>240</v>
      </c>
      <c r="B36" s="535">
        <f>VLOOKUP(A36,[4]Planilha1!$A:$B,2,0)</f>
        <v>0</v>
      </c>
      <c r="C36" s="535">
        <f>VLOOKUP(A36,[4]Planilha2!$A:$B,2,0)</f>
        <v>0</v>
      </c>
      <c r="D36" s="535">
        <f>VLOOKUP(A36,[4]Planilha3!$A:$B,2,0)</f>
        <v>0</v>
      </c>
      <c r="E36" s="535">
        <f>VLOOKUP(A36,[4]Planilha4!$A:$B,2,0)</f>
        <v>0</v>
      </c>
      <c r="F36" s="535">
        <f t="shared" si="0"/>
        <v>0</v>
      </c>
    </row>
    <row r="37" spans="1:6">
      <c r="A37" s="536" t="s">
        <v>241</v>
      </c>
      <c r="B37" s="535">
        <f>VLOOKUP(A37,[4]Planilha1!$A:$B,2,0)</f>
        <v>1</v>
      </c>
      <c r="C37" s="535">
        <f>VLOOKUP(A37,[4]Planilha2!$A:$B,2,0)</f>
        <v>6</v>
      </c>
      <c r="D37" s="535">
        <f>VLOOKUP(A37,[4]Planilha3!$A:$B,2,0)</f>
        <v>2</v>
      </c>
      <c r="E37" s="535">
        <f>VLOOKUP(A37,[4]Planilha4!$A:$B,2,0)</f>
        <v>6</v>
      </c>
      <c r="F37" s="535">
        <f t="shared" si="0"/>
        <v>15</v>
      </c>
    </row>
    <row r="38" spans="1:6">
      <c r="A38" s="536" t="s">
        <v>242</v>
      </c>
      <c r="B38" s="535">
        <f>VLOOKUP(A38,[4]Planilha1!$A:$B,2,0)</f>
        <v>0</v>
      </c>
      <c r="C38" s="535">
        <f>VLOOKUP(A38,[4]Planilha2!$A:$B,2,0)</f>
        <v>0</v>
      </c>
      <c r="D38" s="535">
        <f>VLOOKUP(A38,[4]Planilha3!$A:$B,2,0)</f>
        <v>0</v>
      </c>
      <c r="E38" s="535">
        <f>VLOOKUP(A38,[4]Planilha4!$A:$B,2,0)</f>
        <v>0</v>
      </c>
      <c r="F38" s="535">
        <f t="shared" si="0"/>
        <v>0</v>
      </c>
    </row>
    <row r="39" spans="1:6">
      <c r="A39" s="536" t="s">
        <v>243</v>
      </c>
      <c r="B39" s="535">
        <f>VLOOKUP(A39,[4]Planilha1!$A:$B,2,0)</f>
        <v>0</v>
      </c>
      <c r="C39" s="535">
        <f>VLOOKUP(A39,[4]Planilha2!$A:$B,2,0)</f>
        <v>0</v>
      </c>
      <c r="D39" s="535">
        <f>VLOOKUP(A39,[4]Planilha3!$A:$B,2,0)</f>
        <v>0</v>
      </c>
      <c r="E39" s="535">
        <f>VLOOKUP(A39,[4]Planilha4!$A:$B,2,0)</f>
        <v>0</v>
      </c>
      <c r="F39" s="535">
        <f t="shared" si="0"/>
        <v>0</v>
      </c>
    </row>
    <row r="40" spans="1:6">
      <c r="A40" s="536" t="s">
        <v>244</v>
      </c>
      <c r="B40" s="535">
        <f>VLOOKUP(A40,[4]Planilha1!$A:$B,2,0)</f>
        <v>1</v>
      </c>
      <c r="C40" s="535">
        <f>VLOOKUP(A40,[4]Planilha2!$A:$B,2,0)</f>
        <v>1</v>
      </c>
      <c r="D40" s="535">
        <f>VLOOKUP(A40,[4]Planilha3!$A:$B,2,0)</f>
        <v>11</v>
      </c>
      <c r="E40" s="535">
        <f>VLOOKUP(A40,[4]Planilha4!$A:$B,2,0)</f>
        <v>7</v>
      </c>
      <c r="F40" s="535">
        <f t="shared" si="0"/>
        <v>20</v>
      </c>
    </row>
    <row r="41" spans="1:6">
      <c r="A41" s="536" t="s">
        <v>245</v>
      </c>
      <c r="B41" s="535">
        <f>VLOOKUP(A41,[4]Planilha1!$A:$B,2,0)</f>
        <v>0</v>
      </c>
      <c r="C41" s="535">
        <f>VLOOKUP(A41,[4]Planilha2!$A:$B,2,0)</f>
        <v>1</v>
      </c>
      <c r="D41" s="535">
        <f>VLOOKUP(A41,[4]Planilha3!$A:$B,2,0)</f>
        <v>1</v>
      </c>
      <c r="E41" s="535">
        <f>VLOOKUP(A41,[4]Planilha4!$A:$B,2,0)</f>
        <v>3</v>
      </c>
      <c r="F41" s="535">
        <f t="shared" si="0"/>
        <v>5</v>
      </c>
    </row>
    <row r="42" spans="1:6">
      <c r="A42" s="536" t="s">
        <v>246</v>
      </c>
      <c r="B42" s="535">
        <f>VLOOKUP(A42,[4]Planilha1!$A:$B,2,0)</f>
        <v>0</v>
      </c>
      <c r="C42" s="535">
        <f>VLOOKUP(A42,[4]Planilha2!$A:$B,2,0)</f>
        <v>1</v>
      </c>
      <c r="D42" s="535">
        <f>VLOOKUP(A42,[4]Planilha3!$A:$B,2,0)</f>
        <v>4</v>
      </c>
      <c r="E42" s="535">
        <f>VLOOKUP(A42,[4]Planilha4!$A:$B,2,0)</f>
        <v>0</v>
      </c>
      <c r="F42" s="535">
        <f t="shared" si="0"/>
        <v>5</v>
      </c>
    </row>
    <row r="43" spans="1:6">
      <c r="A43" s="536" t="s">
        <v>247</v>
      </c>
      <c r="B43" s="535">
        <f>VLOOKUP(A43,[4]Planilha1!$A:$B,2,0)</f>
        <v>0</v>
      </c>
      <c r="C43" s="535">
        <f>VLOOKUP(A43,[4]Planilha2!$A:$B,2,0)</f>
        <v>0</v>
      </c>
      <c r="D43" s="535">
        <f>VLOOKUP(A43,[4]Planilha3!$A:$B,2,0)</f>
        <v>0</v>
      </c>
      <c r="E43" s="535">
        <f>VLOOKUP(A43,[4]Planilha4!$A:$B,2,0)</f>
        <v>0</v>
      </c>
      <c r="F43" s="535">
        <f t="shared" si="0"/>
        <v>0</v>
      </c>
    </row>
    <row r="44" spans="1:6">
      <c r="A44" s="536" t="s">
        <v>248</v>
      </c>
      <c r="B44" s="535">
        <f>VLOOKUP(A44,[4]Planilha1!$A:$B,2,0)</f>
        <v>0</v>
      </c>
      <c r="C44" s="535">
        <f>VLOOKUP(A44,[4]Planilha2!$A:$B,2,0)</f>
        <v>0</v>
      </c>
      <c r="D44" s="535">
        <f>VLOOKUP(A44,[4]Planilha3!$A:$B,2,0)</f>
        <v>0</v>
      </c>
      <c r="E44" s="535">
        <f>VLOOKUP(A44,[4]Planilha4!$A:$B,2,0)</f>
        <v>1</v>
      </c>
      <c r="F44" s="535">
        <f t="shared" si="0"/>
        <v>1</v>
      </c>
    </row>
    <row r="45" spans="1:6">
      <c r="A45" s="536" t="s">
        <v>249</v>
      </c>
      <c r="B45" s="535">
        <f>VLOOKUP(A45,[4]Planilha1!$A:$B,2,0)</f>
        <v>2</v>
      </c>
      <c r="C45" s="535">
        <f>VLOOKUP(A45,[4]Planilha2!$A:$B,2,0)</f>
        <v>0</v>
      </c>
      <c r="D45" s="535">
        <f>VLOOKUP(A45,[4]Planilha3!$A:$B,2,0)</f>
        <v>0</v>
      </c>
      <c r="E45" s="535">
        <f>VLOOKUP(A45,[4]Planilha4!$A:$B,2,0)</f>
        <v>0</v>
      </c>
      <c r="F45" s="535">
        <f t="shared" si="0"/>
        <v>2</v>
      </c>
    </row>
    <row r="46" spans="1:6">
      <c r="A46" s="536" t="s">
        <v>250</v>
      </c>
      <c r="B46" s="535">
        <f>VLOOKUP(A46,[4]Planilha1!$A:$B,2,0)</f>
        <v>0</v>
      </c>
      <c r="C46" s="535">
        <f>VLOOKUP(A46,[4]Planilha2!$A:$B,2,0)</f>
        <v>0</v>
      </c>
      <c r="D46" s="535">
        <f>VLOOKUP(A46,[4]Planilha3!$A:$B,2,0)</f>
        <v>0</v>
      </c>
      <c r="E46" s="535">
        <f>VLOOKUP(A46,[4]Planilha4!$A:$B,2,0)</f>
        <v>1</v>
      </c>
      <c r="F46" s="535">
        <f t="shared" si="0"/>
        <v>1</v>
      </c>
    </row>
    <row r="47" spans="1:6">
      <c r="A47" s="536" t="s">
        <v>251</v>
      </c>
      <c r="B47" s="535">
        <f>VLOOKUP(A47,[4]Planilha1!$A:$B,2,0)</f>
        <v>0</v>
      </c>
      <c r="C47" s="535">
        <f>VLOOKUP(A47,[4]Planilha2!$A:$B,2,0)</f>
        <v>1</v>
      </c>
      <c r="D47" s="535">
        <f>VLOOKUP(A47,[4]Planilha3!$A:$B,2,0)</f>
        <v>0</v>
      </c>
      <c r="E47" s="535">
        <f>VLOOKUP(A47,[4]Planilha4!$A:$B,2,0)</f>
        <v>0</v>
      </c>
      <c r="F47" s="535">
        <f t="shared" si="0"/>
        <v>1</v>
      </c>
    </row>
    <row r="48" spans="1:6">
      <c r="A48" s="536" t="s">
        <v>252</v>
      </c>
      <c r="B48" s="535">
        <f>VLOOKUP(A48,[4]Planilha1!$A:$B,2,0)</f>
        <v>0</v>
      </c>
      <c r="C48" s="535">
        <f>VLOOKUP(A48,[4]Planilha2!$A:$B,2,0)</f>
        <v>0</v>
      </c>
      <c r="D48" s="535">
        <f>VLOOKUP(A48,[4]Planilha3!$A:$B,2,0)</f>
        <v>0</v>
      </c>
      <c r="E48" s="535">
        <f>VLOOKUP(A48,[4]Planilha4!$A:$B,2,0)</f>
        <v>0</v>
      </c>
      <c r="F48" s="535">
        <f t="shared" si="0"/>
        <v>0</v>
      </c>
    </row>
    <row r="49" spans="1:6">
      <c r="A49" s="536" t="s">
        <v>253</v>
      </c>
      <c r="B49" s="535">
        <f>VLOOKUP(A49,[4]Planilha1!$A:$B,2,0)</f>
        <v>0</v>
      </c>
      <c r="C49" s="535">
        <f>VLOOKUP(A49,[4]Planilha2!$A:$B,2,0)</f>
        <v>0</v>
      </c>
      <c r="D49" s="535">
        <f>VLOOKUP(A49,[4]Planilha3!$A:$B,2,0)</f>
        <v>1</v>
      </c>
      <c r="E49" s="535">
        <f>VLOOKUP(A49,[4]Planilha4!$A:$B,2,0)</f>
        <v>0</v>
      </c>
      <c r="F49" s="535">
        <f t="shared" si="0"/>
        <v>1</v>
      </c>
    </row>
    <row r="50" spans="1:6">
      <c r="A50" s="536" t="s">
        <v>254</v>
      </c>
      <c r="B50" s="535">
        <f>VLOOKUP(A50,[4]Planilha1!$A:$B,2,0)</f>
        <v>0</v>
      </c>
      <c r="C50" s="535">
        <f>VLOOKUP(A50,[4]Planilha2!$A:$B,2,0)</f>
        <v>0</v>
      </c>
      <c r="D50" s="535">
        <f>VLOOKUP(A50,[4]Planilha3!$A:$B,2,0)</f>
        <v>0</v>
      </c>
      <c r="E50" s="535">
        <f>VLOOKUP(A50,[4]Planilha4!$A:$B,2,0)</f>
        <v>0</v>
      </c>
      <c r="F50" s="535">
        <f t="shared" si="0"/>
        <v>0</v>
      </c>
    </row>
    <row r="51" spans="1:6">
      <c r="A51" s="536" t="s">
        <v>255</v>
      </c>
      <c r="B51" s="535">
        <f>VLOOKUP(A51,[4]Planilha1!$A:$B,2,0)</f>
        <v>0</v>
      </c>
      <c r="C51" s="535">
        <f>VLOOKUP(A51,[4]Planilha2!$A:$B,2,0)</f>
        <v>0</v>
      </c>
      <c r="D51" s="535">
        <f>VLOOKUP(A51,[4]Planilha3!$A:$B,2,0)</f>
        <v>0</v>
      </c>
      <c r="E51" s="535">
        <f>VLOOKUP(A51,[4]Planilha4!$A:$B,2,0)</f>
        <v>1</v>
      </c>
      <c r="F51" s="535">
        <f t="shared" si="0"/>
        <v>1</v>
      </c>
    </row>
    <row r="52" spans="1:6">
      <c r="A52" s="536" t="s">
        <v>256</v>
      </c>
      <c r="B52" s="535">
        <f>VLOOKUP(A52,[4]Planilha1!$A:$B,2,0)</f>
        <v>0</v>
      </c>
      <c r="C52" s="535">
        <f>VLOOKUP(A52,[4]Planilha2!$A:$B,2,0)</f>
        <v>0</v>
      </c>
      <c r="D52" s="535">
        <f>VLOOKUP(A52,[4]Planilha3!$A:$B,2,0)</f>
        <v>0</v>
      </c>
      <c r="E52" s="535">
        <f>VLOOKUP(A52,[4]Planilha4!$A:$B,2,0)</f>
        <v>0</v>
      </c>
      <c r="F52" s="535">
        <f t="shared" si="0"/>
        <v>0</v>
      </c>
    </row>
    <row r="53" spans="1:6">
      <c r="A53" s="536" t="s">
        <v>257</v>
      </c>
      <c r="B53" s="535">
        <f>VLOOKUP(A53,[4]Planilha1!$A:$B,2,0)</f>
        <v>0</v>
      </c>
      <c r="C53" s="535">
        <f>VLOOKUP(A53,[4]Planilha2!$A:$B,2,0)</f>
        <v>1</v>
      </c>
      <c r="D53" s="535">
        <f>VLOOKUP(A53,[4]Planilha3!$A:$B,2,0)</f>
        <v>0</v>
      </c>
      <c r="E53" s="535">
        <f>VLOOKUP(A53,[4]Planilha4!$A:$B,2,0)</f>
        <v>0</v>
      </c>
      <c r="F53" s="535">
        <f t="shared" si="0"/>
        <v>1</v>
      </c>
    </row>
    <row r="54" spans="1:6">
      <c r="A54" s="536" t="s">
        <v>258</v>
      </c>
      <c r="B54" s="535">
        <f>VLOOKUP(A54,[4]Planilha1!$A:$B,2,0)</f>
        <v>0</v>
      </c>
      <c r="C54" s="535">
        <f>VLOOKUP(A54,[4]Planilha2!$A:$B,2,0)</f>
        <v>0</v>
      </c>
      <c r="D54" s="535">
        <f>VLOOKUP(A54,[4]Planilha3!$A:$B,2,0)</f>
        <v>0</v>
      </c>
      <c r="E54" s="535">
        <f>VLOOKUP(A54,[4]Planilha4!$A:$B,2,0)</f>
        <v>0</v>
      </c>
      <c r="F54" s="535">
        <f t="shared" si="0"/>
        <v>0</v>
      </c>
    </row>
    <row r="55" spans="1:6">
      <c r="A55" s="536" t="s">
        <v>259</v>
      </c>
      <c r="B55" s="535">
        <f>VLOOKUP(A55,[4]Planilha1!$A:$B,2,0)</f>
        <v>0</v>
      </c>
      <c r="C55" s="535">
        <f>VLOOKUP(A55,[4]Planilha2!$A:$B,2,0)</f>
        <v>1</v>
      </c>
      <c r="D55" s="535">
        <f>VLOOKUP(A55,[4]Planilha3!$A:$B,2,0)</f>
        <v>1</v>
      </c>
      <c r="E55" s="535">
        <f>VLOOKUP(A55,[4]Planilha4!$A:$B,2,0)</f>
        <v>2</v>
      </c>
      <c r="F55" s="535">
        <f t="shared" si="0"/>
        <v>4</v>
      </c>
    </row>
    <row r="56" spans="1:6">
      <c r="A56" s="536" t="s">
        <v>260</v>
      </c>
      <c r="B56" s="535">
        <f>VLOOKUP(A56,[4]Planilha1!$A:$B,2,0)</f>
        <v>1</v>
      </c>
      <c r="C56" s="535">
        <f>VLOOKUP(A56,[4]Planilha2!$A:$B,2,0)</f>
        <v>0</v>
      </c>
      <c r="D56" s="535">
        <f>VLOOKUP(A56,[4]Planilha3!$A:$B,2,0)</f>
        <v>0</v>
      </c>
      <c r="E56" s="535">
        <f>VLOOKUP(A56,[4]Planilha4!$A:$B,2,0)</f>
        <v>0</v>
      </c>
      <c r="F56" s="535">
        <f t="shared" si="0"/>
        <v>1</v>
      </c>
    </row>
    <row r="57" spans="1:6">
      <c r="A57" s="536" t="s">
        <v>261</v>
      </c>
      <c r="B57" s="535">
        <f>VLOOKUP(A57,[4]Planilha1!$A:$B,2,0)</f>
        <v>0</v>
      </c>
      <c r="C57" s="535">
        <f>VLOOKUP(A57,[4]Planilha2!$A:$B,2,0)</f>
        <v>0</v>
      </c>
      <c r="D57" s="535">
        <f>VLOOKUP(A57,[4]Planilha3!$A:$B,2,0)</f>
        <v>0</v>
      </c>
      <c r="E57" s="535">
        <f>VLOOKUP(A57,[4]Planilha4!$A:$B,2,0)</f>
        <v>0</v>
      </c>
      <c r="F57" s="535">
        <f t="shared" si="0"/>
        <v>0</v>
      </c>
    </row>
    <row r="58" spans="1:6">
      <c r="A58" s="536" t="s">
        <v>262</v>
      </c>
      <c r="B58" s="535">
        <f>VLOOKUP(A58,[4]Planilha1!$A:$B,2,0)</f>
        <v>0</v>
      </c>
      <c r="C58" s="535">
        <f>VLOOKUP(A58,[4]Planilha2!$A:$B,2,0)</f>
        <v>0</v>
      </c>
      <c r="D58" s="535">
        <f>VLOOKUP(A58,[4]Planilha3!$A:$B,2,0)</f>
        <v>0</v>
      </c>
      <c r="E58" s="535">
        <f>VLOOKUP(A58,[4]Planilha4!$A:$B,2,0)</f>
        <v>1</v>
      </c>
      <c r="F58" s="535">
        <f t="shared" si="0"/>
        <v>1</v>
      </c>
    </row>
    <row r="59" spans="1:6">
      <c r="A59" s="536" t="s">
        <v>263</v>
      </c>
      <c r="B59" s="535">
        <f>VLOOKUP(A59,[4]Planilha1!$A:$B,2,0)</f>
        <v>0</v>
      </c>
      <c r="C59" s="535">
        <f>VLOOKUP(A59,[4]Planilha2!$A:$B,2,0)</f>
        <v>0</v>
      </c>
      <c r="D59" s="535">
        <f>VLOOKUP(A59,[4]Planilha3!$A:$B,2,0)</f>
        <v>0</v>
      </c>
      <c r="E59" s="535">
        <f>VLOOKUP(A59,[4]Planilha4!$A:$B,2,0)</f>
        <v>0</v>
      </c>
      <c r="F59" s="535">
        <f t="shared" si="0"/>
        <v>0</v>
      </c>
    </row>
    <row r="60" spans="1:6">
      <c r="A60" s="536" t="s">
        <v>264</v>
      </c>
      <c r="B60" s="535">
        <f>VLOOKUP(A60,[4]Planilha1!$A:$B,2,0)</f>
        <v>0</v>
      </c>
      <c r="C60" s="535">
        <f>VLOOKUP(A60,[4]Planilha2!$A:$B,2,0)</f>
        <v>0</v>
      </c>
      <c r="D60" s="535">
        <f>VLOOKUP(A60,[4]Planilha3!$A:$B,2,0)</f>
        <v>0</v>
      </c>
      <c r="E60" s="535">
        <f>VLOOKUP(A60,[4]Planilha4!$A:$B,2,0)</f>
        <v>0</v>
      </c>
      <c r="F60" s="535">
        <f t="shared" si="0"/>
        <v>0</v>
      </c>
    </row>
    <row r="61" spans="1:6">
      <c r="A61" s="536" t="s">
        <v>265</v>
      </c>
      <c r="B61" s="535">
        <f>VLOOKUP(A61,[4]Planilha1!$A:$B,2,0)</f>
        <v>0</v>
      </c>
      <c r="C61" s="535">
        <f>VLOOKUP(A61,[4]Planilha2!$A:$B,2,0)</f>
        <v>1</v>
      </c>
      <c r="D61" s="535">
        <f>VLOOKUP(A61,[4]Planilha3!$A:$B,2,0)</f>
        <v>0</v>
      </c>
      <c r="E61" s="535">
        <f>VLOOKUP(A61,[4]Planilha4!$A:$B,2,0)</f>
        <v>0</v>
      </c>
      <c r="F61" s="535">
        <f t="shared" si="0"/>
        <v>1</v>
      </c>
    </row>
    <row r="62" spans="1:6">
      <c r="A62" s="536" t="s">
        <v>266</v>
      </c>
      <c r="B62" s="535">
        <f>VLOOKUP(A62,[4]Planilha1!$A:$B,2,0)</f>
        <v>0</v>
      </c>
      <c r="C62" s="535">
        <f>VLOOKUP(A62,[4]Planilha2!$A:$B,2,0)</f>
        <v>0</v>
      </c>
      <c r="D62" s="535">
        <f>VLOOKUP(A62,[4]Planilha3!$A:$B,2,0)</f>
        <v>0</v>
      </c>
      <c r="E62" s="535">
        <f>VLOOKUP(A62,[4]Planilha4!$A:$B,2,0)</f>
        <v>0</v>
      </c>
      <c r="F62" s="535">
        <f t="shared" si="0"/>
        <v>0</v>
      </c>
    </row>
    <row r="63" spans="1:6">
      <c r="A63" s="536" t="s">
        <v>267</v>
      </c>
      <c r="B63" s="535">
        <f>VLOOKUP(A63,[4]Planilha1!$A:$B,2,0)</f>
        <v>0</v>
      </c>
      <c r="C63" s="535">
        <f>VLOOKUP(A63,[4]Planilha2!$A:$B,2,0)</f>
        <v>0</v>
      </c>
      <c r="D63" s="535">
        <f>VLOOKUP(A63,[4]Planilha3!$A:$B,2,0)</f>
        <v>0</v>
      </c>
      <c r="E63" s="535">
        <f>VLOOKUP(A63,[4]Planilha4!$A:$B,2,0)</f>
        <v>0</v>
      </c>
      <c r="F63" s="535">
        <f t="shared" si="0"/>
        <v>0</v>
      </c>
    </row>
    <row r="64" spans="1:6">
      <c r="A64" s="536" t="s">
        <v>268</v>
      </c>
      <c r="B64" s="535">
        <f>VLOOKUP(A64,[4]Planilha1!$A:$B,2,0)</f>
        <v>0</v>
      </c>
      <c r="C64" s="535">
        <f>VLOOKUP(A64,[4]Planilha2!$A:$B,2,0)</f>
        <v>0</v>
      </c>
      <c r="D64" s="535">
        <f>VLOOKUP(A64,[4]Planilha3!$A:$B,2,0)</f>
        <v>1</v>
      </c>
      <c r="E64" s="535">
        <f>VLOOKUP(A64,[4]Planilha4!$A:$B,2,0)</f>
        <v>1</v>
      </c>
      <c r="F64" s="535">
        <f t="shared" si="0"/>
        <v>2</v>
      </c>
    </row>
    <row r="65" spans="1:6">
      <c r="A65" s="536" t="s">
        <v>269</v>
      </c>
      <c r="B65" s="535">
        <f>VLOOKUP(A65,[4]Planilha1!$A:$B,2,0)</f>
        <v>0</v>
      </c>
      <c r="C65" s="535">
        <f>VLOOKUP(A65,[4]Planilha2!$A:$B,2,0)</f>
        <v>0</v>
      </c>
      <c r="D65" s="535">
        <f>VLOOKUP(A65,[4]Planilha3!$A:$B,2,0)</f>
        <v>0</v>
      </c>
      <c r="E65" s="535">
        <f>VLOOKUP(A65,[4]Planilha4!$A:$B,2,0)</f>
        <v>0</v>
      </c>
      <c r="F65" s="535">
        <f t="shared" si="0"/>
        <v>0</v>
      </c>
    </row>
    <row r="66" spans="1:6">
      <c r="A66" s="536" t="s">
        <v>270</v>
      </c>
      <c r="B66" s="535">
        <f>VLOOKUP(A66,[4]Planilha1!$A:$B,2,0)</f>
        <v>0</v>
      </c>
      <c r="C66" s="535">
        <f>VLOOKUP(A66,[4]Planilha2!$A:$B,2,0)</f>
        <v>0</v>
      </c>
      <c r="D66" s="535">
        <f>VLOOKUP(A66,[4]Planilha3!$A:$B,2,0)</f>
        <v>1</v>
      </c>
      <c r="E66" s="535">
        <f>VLOOKUP(A66,[4]Planilha4!$A:$B,2,0)</f>
        <v>0</v>
      </c>
      <c r="F66" s="535">
        <f t="shared" si="0"/>
        <v>1</v>
      </c>
    </row>
    <row r="67" spans="1:6">
      <c r="A67" s="536" t="s">
        <v>271</v>
      </c>
      <c r="B67" s="535">
        <f>VLOOKUP(A67,[4]Planilha1!$A:$B,2,0)</f>
        <v>0</v>
      </c>
      <c r="C67" s="535">
        <f>VLOOKUP(A67,[4]Planilha2!$A:$B,2,0)</f>
        <v>0</v>
      </c>
      <c r="D67" s="535">
        <f>VLOOKUP(A67,[4]Planilha3!$A:$B,2,0)</f>
        <v>1</v>
      </c>
      <c r="E67" s="535">
        <f>VLOOKUP(A67,[4]Planilha4!$A:$B,2,0)</f>
        <v>0</v>
      </c>
      <c r="F67" s="535">
        <f t="shared" si="0"/>
        <v>1</v>
      </c>
    </row>
    <row r="68" spans="1:6">
      <c r="A68" s="536" t="s">
        <v>272</v>
      </c>
      <c r="B68" s="535">
        <f>VLOOKUP(A68,[4]Planilha1!$A:$B,2,0)</f>
        <v>0</v>
      </c>
      <c r="C68" s="535">
        <f>VLOOKUP(A68,[4]Planilha2!$A:$B,2,0)</f>
        <v>0</v>
      </c>
      <c r="D68" s="535">
        <f>VLOOKUP(A68,[4]Planilha3!$A:$B,2,0)</f>
        <v>1</v>
      </c>
      <c r="E68" s="535">
        <f>VLOOKUP(A68,[4]Planilha4!$A:$B,2,0)</f>
        <v>1</v>
      </c>
      <c r="F68" s="535">
        <f t="shared" si="0"/>
        <v>2</v>
      </c>
    </row>
    <row r="69" spans="1:6">
      <c r="A69" s="536" t="s">
        <v>273</v>
      </c>
      <c r="B69" s="535">
        <f>VLOOKUP(A69,[4]Planilha1!$A:$B,2,0)</f>
        <v>1</v>
      </c>
      <c r="C69" s="535">
        <f>VLOOKUP(A69,[4]Planilha2!$A:$B,2,0)</f>
        <v>0</v>
      </c>
      <c r="D69" s="535">
        <f>VLOOKUP(A69,[4]Planilha3!$A:$B,2,0)</f>
        <v>0</v>
      </c>
      <c r="E69" s="535">
        <f>VLOOKUP(A69,[4]Planilha4!$A:$B,2,0)</f>
        <v>1</v>
      </c>
      <c r="F69" s="535">
        <f t="shared" ref="F69:F72" si="1">B69+C69+D69+E69</f>
        <v>2</v>
      </c>
    </row>
    <row r="70" spans="1:6">
      <c r="A70" s="536" t="s">
        <v>274</v>
      </c>
      <c r="B70" s="535">
        <f>VLOOKUP(A70,[4]Planilha1!$A:$B,2,0)</f>
        <v>1</v>
      </c>
      <c r="C70" s="535">
        <f>VLOOKUP(A70,[4]Planilha2!$A:$B,2,0)</f>
        <v>0</v>
      </c>
      <c r="D70" s="535">
        <f>VLOOKUP(A70,[4]Planilha3!$A:$B,2,0)</f>
        <v>0</v>
      </c>
      <c r="E70" s="535">
        <f>VLOOKUP(A70,[4]Planilha4!$A:$B,2,0)</f>
        <v>1</v>
      </c>
      <c r="F70" s="535">
        <f t="shared" si="1"/>
        <v>2</v>
      </c>
    </row>
    <row r="71" spans="1:6">
      <c r="A71" s="536" t="s">
        <v>275</v>
      </c>
      <c r="B71" s="535">
        <f>VLOOKUP(A71,[4]Planilha1!$A:$B,2,0)</f>
        <v>0</v>
      </c>
      <c r="C71" s="535">
        <f>VLOOKUP(A71,[4]Planilha2!$A:$B,2,0)</f>
        <v>0</v>
      </c>
      <c r="D71" s="535">
        <f>VLOOKUP(A71,[4]Planilha3!$A:$B,2,0)</f>
        <v>0</v>
      </c>
      <c r="E71" s="535">
        <f>VLOOKUP(A71,[4]Planilha4!$A:$B,2,0)</f>
        <v>0</v>
      </c>
      <c r="F71" s="535">
        <f t="shared" si="1"/>
        <v>0</v>
      </c>
    </row>
    <row r="72" spans="1:6">
      <c r="A72" s="536" t="s">
        <v>276</v>
      </c>
      <c r="B72" s="535">
        <f>VLOOKUP(A72,[4]Planilha1!$A:$B,2,0)</f>
        <v>0</v>
      </c>
      <c r="C72" s="535">
        <f>VLOOKUP(A72,[4]Planilha2!$A:$B,2,0)</f>
        <v>0</v>
      </c>
      <c r="D72" s="535">
        <f>VLOOKUP(A72,[4]Planilha3!$A:$B,2,0)</f>
        <v>0</v>
      </c>
      <c r="E72" s="535">
        <f>VLOOKUP(A72,[4]Planilha4!$A:$B,2,0)</f>
        <v>0</v>
      </c>
      <c r="F72" s="535">
        <f t="shared" si="1"/>
        <v>0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5"/>
  <sheetViews>
    <sheetView zoomScaleNormal="100" workbookViewId="0">
      <selection activeCell="J8" sqref="J8:M8"/>
    </sheetView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91" t="s">
        <v>0</v>
      </c>
      <c r="I1" s="564"/>
      <c r="J1" s="564"/>
      <c r="K1" s="564"/>
      <c r="L1" s="564"/>
      <c r="M1" s="564"/>
      <c r="N1" s="564"/>
      <c r="O1" s="564"/>
      <c r="P1" s="564"/>
      <c r="Q1" s="564"/>
    </row>
    <row r="2" spans="1:18">
      <c r="A2" s="1" t="s">
        <v>1</v>
      </c>
      <c r="I2" s="564"/>
      <c r="J2" s="564"/>
      <c r="K2" s="564"/>
      <c r="L2" s="564"/>
      <c r="M2" s="564"/>
      <c r="N2" s="564"/>
      <c r="O2" s="564"/>
      <c r="P2" s="564"/>
      <c r="Q2" s="564"/>
    </row>
    <row r="3" spans="1:18" ht="15.75" thickBot="1">
      <c r="I3" s="564"/>
      <c r="J3" s="564"/>
      <c r="K3" s="564"/>
      <c r="L3" s="564"/>
      <c r="M3" s="564"/>
      <c r="N3" s="564"/>
      <c r="O3" s="564"/>
      <c r="P3" s="564"/>
      <c r="Q3" s="564"/>
    </row>
    <row r="4" spans="1:18" ht="46.5" customHeight="1" thickBot="1">
      <c r="A4" s="212" t="s">
        <v>3</v>
      </c>
      <c r="B4" s="213">
        <v>45627</v>
      </c>
      <c r="C4" s="213">
        <v>45597</v>
      </c>
      <c r="D4" s="213">
        <v>45566</v>
      </c>
      <c r="E4" s="213">
        <v>45536</v>
      </c>
      <c r="F4" s="213">
        <v>45505</v>
      </c>
      <c r="G4" s="213">
        <v>45474</v>
      </c>
      <c r="H4" s="213">
        <v>45444</v>
      </c>
      <c r="I4" s="214">
        <v>45413</v>
      </c>
      <c r="J4" s="213">
        <v>45383</v>
      </c>
      <c r="K4" s="215">
        <v>45352</v>
      </c>
      <c r="L4" s="216">
        <v>45323</v>
      </c>
      <c r="M4" s="216">
        <v>45292</v>
      </c>
      <c r="N4" s="216" t="s">
        <v>5</v>
      </c>
      <c r="O4" s="217" t="s">
        <v>313</v>
      </c>
      <c r="P4" s="218" t="s">
        <v>518</v>
      </c>
      <c r="Q4" s="219" t="s">
        <v>485</v>
      </c>
    </row>
    <row r="5" spans="1:18" ht="15.75" thickBot="1">
      <c r="A5" s="220" t="s">
        <v>314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2"/>
      <c r="N5" s="223"/>
      <c r="O5" s="224"/>
      <c r="P5" s="225"/>
      <c r="Q5" s="226"/>
    </row>
    <row r="6" spans="1:18" ht="15.75" thickBot="1">
      <c r="A6" s="227" t="s">
        <v>315</v>
      </c>
      <c r="B6" s="228"/>
      <c r="C6" s="229"/>
      <c r="D6" s="229"/>
      <c r="E6" s="229"/>
      <c r="F6" s="229"/>
      <c r="G6" s="229"/>
      <c r="H6" s="229"/>
      <c r="I6" s="229"/>
      <c r="J6" s="229">
        <v>189</v>
      </c>
      <c r="K6" s="229">
        <v>112</v>
      </c>
      <c r="L6" s="229">
        <v>109</v>
      </c>
      <c r="M6" s="230">
        <v>127</v>
      </c>
      <c r="N6" s="231">
        <f>SUM(B6:M6)</f>
        <v>537</v>
      </c>
      <c r="O6" s="232">
        <f>AVERAGE(B6:M6)</f>
        <v>134.25</v>
      </c>
      <c r="P6" s="233">
        <f>(J6/J$9)*100</f>
        <v>49.868073878627968</v>
      </c>
      <c r="Q6" s="233">
        <f>(N6/N$15)*100</f>
        <v>28.518321826872011</v>
      </c>
    </row>
    <row r="7" spans="1:18">
      <c r="A7" s="234" t="s">
        <v>316</v>
      </c>
      <c r="B7" s="235"/>
      <c r="C7" s="236"/>
      <c r="D7" s="236"/>
      <c r="E7" s="236"/>
      <c r="F7" s="236"/>
      <c r="G7" s="236"/>
      <c r="H7" s="236"/>
      <c r="I7" s="236"/>
      <c r="J7" s="236">
        <v>190</v>
      </c>
      <c r="K7" s="236">
        <v>143</v>
      </c>
      <c r="L7" s="236">
        <v>102</v>
      </c>
      <c r="M7" s="237">
        <v>70</v>
      </c>
      <c r="N7" s="238">
        <f>SUM(B7:M7)</f>
        <v>505</v>
      </c>
      <c r="O7" s="239">
        <f>AVERAGE(B7:M7)</f>
        <v>126.25</v>
      </c>
      <c r="P7" s="233">
        <f>(J7/J$9)*100</f>
        <v>50.131926121372025</v>
      </c>
      <c r="Q7" s="240">
        <f>(N7/N$15)*100</f>
        <v>26.818906001062139</v>
      </c>
    </row>
    <row r="8" spans="1:18" ht="15.75" thickBot="1">
      <c r="A8" s="241" t="s">
        <v>317</v>
      </c>
      <c r="B8" s="242"/>
      <c r="C8" s="243"/>
      <c r="D8" s="243"/>
      <c r="E8" s="243"/>
      <c r="F8" s="243"/>
      <c r="G8" s="243"/>
      <c r="H8" s="243"/>
      <c r="I8" s="243"/>
      <c r="J8" s="243">
        <v>18</v>
      </c>
      <c r="K8" s="243">
        <v>107</v>
      </c>
      <c r="L8" s="243">
        <v>19</v>
      </c>
      <c r="M8" s="244">
        <v>8</v>
      </c>
      <c r="N8" s="245">
        <f>SUM(B8:M8)</f>
        <v>152</v>
      </c>
      <c r="O8" s="246">
        <f>AVERAGE(B8:M8)</f>
        <v>38</v>
      </c>
      <c r="P8" s="247"/>
      <c r="Q8" s="240">
        <f>(N8/N$15)*100</f>
        <v>8.0722251725969194</v>
      </c>
    </row>
    <row r="9" spans="1:18" ht="24.75" customHeight="1" thickBot="1">
      <c r="A9" s="248" t="s">
        <v>318</v>
      </c>
      <c r="B9" s="249"/>
      <c r="C9" s="249"/>
      <c r="D9" s="249"/>
      <c r="E9" s="249"/>
      <c r="F9" s="249"/>
      <c r="G9" s="249"/>
      <c r="H9" s="249"/>
      <c r="I9" s="249"/>
      <c r="J9" s="250">
        <f t="shared" ref="J9:N9" si="0">SUM(J6:J7)</f>
        <v>379</v>
      </c>
      <c r="K9" s="250">
        <f t="shared" si="0"/>
        <v>255</v>
      </c>
      <c r="L9" s="250">
        <f t="shared" si="0"/>
        <v>211</v>
      </c>
      <c r="M9" s="250">
        <f t="shared" si="0"/>
        <v>197</v>
      </c>
      <c r="N9" s="251">
        <f t="shared" si="0"/>
        <v>1042</v>
      </c>
      <c r="O9" s="252">
        <f>AVERAGE(B9:M9)</f>
        <v>260.5</v>
      </c>
      <c r="P9" s="253">
        <f>SUM(P6:P7)</f>
        <v>100</v>
      </c>
      <c r="Q9" s="254"/>
    </row>
    <row r="10" spans="1:18" ht="15.75" thickBot="1">
      <c r="A10" s="255" t="s">
        <v>320</v>
      </c>
      <c r="B10" s="256"/>
      <c r="C10" s="256"/>
      <c r="D10" s="256"/>
      <c r="E10" s="256"/>
      <c r="F10" s="256"/>
      <c r="G10" s="256"/>
      <c r="H10" s="256"/>
      <c r="I10" s="256"/>
      <c r="J10" s="256">
        <f t="shared" ref="J10:N10" si="1">SUM(J6:J8)</f>
        <v>397</v>
      </c>
      <c r="K10" s="256">
        <f t="shared" si="1"/>
        <v>362</v>
      </c>
      <c r="L10" s="256">
        <f t="shared" si="1"/>
        <v>230</v>
      </c>
      <c r="M10" s="256">
        <f t="shared" si="1"/>
        <v>205</v>
      </c>
      <c r="N10" s="257">
        <f t="shared" si="1"/>
        <v>1194</v>
      </c>
      <c r="O10" s="258">
        <f>AVERAGE(B10:M10)</f>
        <v>298.5</v>
      </c>
      <c r="P10" s="259"/>
      <c r="Q10" s="240">
        <f>SUM(Q6:Q8)</f>
        <v>63.409453000531073</v>
      </c>
    </row>
    <row r="11" spans="1:18" ht="15.75" thickBot="1">
      <c r="A11" s="260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2"/>
      <c r="N11" s="263"/>
      <c r="O11" s="264"/>
      <c r="P11" s="265"/>
      <c r="Q11" s="266"/>
    </row>
    <row r="12" spans="1:18" ht="15.75" thickBot="1">
      <c r="A12" s="267" t="s">
        <v>321</v>
      </c>
      <c r="B12" s="268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2"/>
      <c r="N12" s="269"/>
      <c r="O12" s="270"/>
      <c r="P12" s="271"/>
      <c r="Q12" s="272"/>
    </row>
    <row r="13" spans="1:18" ht="15.75" thickBot="1">
      <c r="A13" s="273" t="s">
        <v>321</v>
      </c>
      <c r="B13" s="274"/>
      <c r="C13" s="275"/>
      <c r="D13" s="275"/>
      <c r="E13" s="275"/>
      <c r="F13" s="275"/>
      <c r="G13" s="275"/>
      <c r="H13" s="275"/>
      <c r="I13" s="275"/>
      <c r="J13" s="275">
        <v>410</v>
      </c>
      <c r="K13" s="275">
        <v>110</v>
      </c>
      <c r="L13" s="275">
        <v>91</v>
      </c>
      <c r="M13" s="276">
        <v>78</v>
      </c>
      <c r="N13" s="277">
        <f>SUM(B13:M13)</f>
        <v>689</v>
      </c>
      <c r="O13" s="278">
        <f>AVERAGE(B13:M13)</f>
        <v>172.25</v>
      </c>
      <c r="P13" s="279"/>
      <c r="Q13" s="240">
        <f>(N13/N$15)*100</f>
        <v>36.590546999468934</v>
      </c>
    </row>
    <row r="14" spans="1:18" ht="15.75" thickBot="1">
      <c r="A14" s="260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2"/>
      <c r="N14" s="280"/>
      <c r="O14" s="281"/>
      <c r="P14" s="282"/>
      <c r="Q14" s="283"/>
    </row>
    <row r="15" spans="1:18" ht="15.75" thickBot="1">
      <c r="A15" s="255" t="s">
        <v>15</v>
      </c>
      <c r="B15" s="284"/>
      <c r="C15" s="284"/>
      <c r="D15" s="284"/>
      <c r="E15" s="284"/>
      <c r="F15" s="284"/>
      <c r="G15" s="284"/>
      <c r="H15" s="284"/>
      <c r="I15" s="284"/>
      <c r="J15" s="284">
        <f>J10+J13</f>
        <v>807</v>
      </c>
      <c r="K15" s="284">
        <f>K10+K13</f>
        <v>472</v>
      </c>
      <c r="L15" s="284">
        <f>L10+L13</f>
        <v>321</v>
      </c>
      <c r="M15" s="284">
        <f>M10+M13</f>
        <v>283</v>
      </c>
      <c r="N15" s="284">
        <f t="shared" ref="N15" si="2">N10+N13</f>
        <v>1883</v>
      </c>
      <c r="O15" s="285">
        <f>AVERAGE(B15:M15)</f>
        <v>470.75</v>
      </c>
      <c r="P15" s="259"/>
      <c r="Q15" s="286">
        <f>SUM(Q10:Q13)</f>
        <v>100</v>
      </c>
      <c r="R15" s="12"/>
    </row>
    <row r="16" spans="1:18" ht="15.75" thickBot="1">
      <c r="I16" s="564"/>
      <c r="J16" s="564"/>
      <c r="K16" s="564"/>
      <c r="L16" s="564"/>
      <c r="M16" s="564"/>
      <c r="N16" s="564"/>
      <c r="O16" s="564"/>
      <c r="P16" s="564"/>
      <c r="Q16" s="564"/>
    </row>
    <row r="17" spans="1:17" ht="15.75" thickBot="1">
      <c r="A17" s="1083" t="s">
        <v>322</v>
      </c>
      <c r="B17" s="1084"/>
      <c r="C17" s="1084"/>
      <c r="D17" s="287"/>
      <c r="E17" s="1083" t="s">
        <v>321</v>
      </c>
      <c r="F17" s="1084"/>
      <c r="G17" s="1084"/>
      <c r="I17" s="564"/>
      <c r="J17" s="564"/>
      <c r="K17" s="564"/>
      <c r="L17" s="564"/>
      <c r="M17" s="564"/>
      <c r="N17" s="564"/>
      <c r="O17" s="564"/>
      <c r="P17" s="564"/>
      <c r="Q17" s="564"/>
    </row>
    <row r="18" spans="1:17" ht="15.75" thickBot="1">
      <c r="A18" s="830" t="s">
        <v>2</v>
      </c>
      <c r="B18" s="828" t="s">
        <v>210</v>
      </c>
      <c r="C18" s="288" t="s">
        <v>211</v>
      </c>
      <c r="D18" s="287"/>
      <c r="E18" s="830" t="s">
        <v>2</v>
      </c>
      <c r="F18" s="828" t="s">
        <v>210</v>
      </c>
      <c r="G18" s="288" t="s">
        <v>211</v>
      </c>
      <c r="I18" s="564"/>
      <c r="J18" s="564"/>
      <c r="K18" s="564"/>
      <c r="L18" s="564"/>
      <c r="M18" s="564"/>
      <c r="N18" s="564"/>
      <c r="O18" s="564"/>
      <c r="P18" s="564"/>
      <c r="Q18" s="564"/>
    </row>
    <row r="19" spans="1:17">
      <c r="A19" s="829">
        <v>45292</v>
      </c>
      <c r="B19" s="289">
        <f>M9</f>
        <v>197</v>
      </c>
      <c r="C19" s="290">
        <f>((B19-81)/81)*100</f>
        <v>143.20987654320987</v>
      </c>
      <c r="D19" s="287"/>
      <c r="E19" s="829">
        <v>45292</v>
      </c>
      <c r="F19" s="289">
        <f>M13</f>
        <v>78</v>
      </c>
      <c r="G19" s="290">
        <f>((F19-98)/98)*100</f>
        <v>-20.408163265306122</v>
      </c>
      <c r="I19" s="564"/>
      <c r="J19" s="564"/>
      <c r="K19" s="564"/>
      <c r="L19" s="564"/>
      <c r="M19" s="564"/>
      <c r="N19" s="564"/>
      <c r="O19" s="564"/>
      <c r="P19" s="564"/>
      <c r="Q19" s="564"/>
    </row>
    <row r="20" spans="1:17">
      <c r="A20" s="827">
        <v>45323</v>
      </c>
      <c r="B20" s="931">
        <f>L9</f>
        <v>211</v>
      </c>
      <c r="C20" s="290">
        <f>((B20-B19)/B19)*100</f>
        <v>7.1065989847715745</v>
      </c>
      <c r="D20" s="287"/>
      <c r="E20" s="827">
        <v>45323</v>
      </c>
      <c r="F20" s="931">
        <f>L13</f>
        <v>91</v>
      </c>
      <c r="G20" s="290">
        <f>((F20-F19)/F19)*100</f>
        <v>16.666666666666664</v>
      </c>
      <c r="I20" s="564"/>
      <c r="J20" s="564"/>
      <c r="K20" s="564"/>
      <c r="L20" s="564"/>
      <c r="M20" s="564"/>
      <c r="N20" s="564"/>
      <c r="O20" s="564"/>
      <c r="P20" s="564"/>
      <c r="Q20" s="564"/>
    </row>
    <row r="21" spans="1:17">
      <c r="A21" s="978">
        <v>45352</v>
      </c>
      <c r="B21" s="931">
        <f>K9</f>
        <v>255</v>
      </c>
      <c r="C21" s="979">
        <f t="shared" ref="C21:C30" si="3">((B21-B20)/B20)*100</f>
        <v>20.85308056872038</v>
      </c>
      <c r="D21" s="980"/>
      <c r="E21" s="978">
        <v>45352</v>
      </c>
      <c r="F21" s="931">
        <f>K13</f>
        <v>110</v>
      </c>
      <c r="G21" s="979">
        <f t="shared" ref="G21:G30" si="4">((F21-F20)/F20)*100</f>
        <v>20.87912087912088</v>
      </c>
      <c r="I21" s="564"/>
      <c r="J21" s="564"/>
      <c r="K21" s="564"/>
      <c r="L21" s="564"/>
      <c r="M21" s="564"/>
      <c r="N21" s="564"/>
      <c r="O21" s="564"/>
      <c r="P21" s="564"/>
      <c r="Q21" s="564"/>
    </row>
    <row r="22" spans="1:17">
      <c r="A22" s="978">
        <v>45383</v>
      </c>
      <c r="B22" s="931">
        <f>J9</f>
        <v>379</v>
      </c>
      <c r="C22" s="979">
        <f t="shared" si="3"/>
        <v>48.627450980392155</v>
      </c>
      <c r="D22" s="980"/>
      <c r="E22" s="978">
        <v>45383</v>
      </c>
      <c r="F22" s="931">
        <f>J13</f>
        <v>410</v>
      </c>
      <c r="G22" s="979">
        <f t="shared" si="4"/>
        <v>272.72727272727269</v>
      </c>
      <c r="I22" s="564"/>
      <c r="J22" s="564"/>
      <c r="K22" s="564"/>
      <c r="L22" s="564"/>
      <c r="M22" s="564"/>
      <c r="N22" s="564"/>
      <c r="O22" s="564"/>
      <c r="P22" s="564"/>
      <c r="Q22" s="564"/>
    </row>
    <row r="23" spans="1:17">
      <c r="A23" s="827">
        <v>45413</v>
      </c>
      <c r="B23" s="817"/>
      <c r="C23" s="818">
        <f t="shared" si="3"/>
        <v>-100</v>
      </c>
      <c r="D23" s="287"/>
      <c r="E23" s="827">
        <v>45413</v>
      </c>
      <c r="F23" s="817"/>
      <c r="G23" s="818">
        <f t="shared" si="4"/>
        <v>-100</v>
      </c>
    </row>
    <row r="24" spans="1:17">
      <c r="A24" s="827">
        <v>45444</v>
      </c>
      <c r="B24" s="817"/>
      <c r="C24" s="818" t="e">
        <f t="shared" si="3"/>
        <v>#DIV/0!</v>
      </c>
      <c r="D24" s="287"/>
      <c r="E24" s="827">
        <v>45444</v>
      </c>
      <c r="F24" s="817"/>
      <c r="G24" s="818" t="e">
        <f t="shared" si="4"/>
        <v>#DIV/0!</v>
      </c>
    </row>
    <row r="25" spans="1:17">
      <c r="A25" s="827">
        <v>45474</v>
      </c>
      <c r="B25" s="817"/>
      <c r="C25" s="818" t="e">
        <f t="shared" si="3"/>
        <v>#DIV/0!</v>
      </c>
      <c r="D25" s="287"/>
      <c r="E25" s="827">
        <v>45474</v>
      </c>
      <c r="F25" s="817"/>
      <c r="G25" s="818" t="e">
        <f t="shared" si="4"/>
        <v>#DIV/0!</v>
      </c>
    </row>
    <row r="26" spans="1:17">
      <c r="A26" s="827">
        <v>45505</v>
      </c>
      <c r="B26" s="817"/>
      <c r="C26" s="818" t="e">
        <f t="shared" si="3"/>
        <v>#DIV/0!</v>
      </c>
      <c r="D26" s="287"/>
      <c r="E26" s="827">
        <v>45505</v>
      </c>
      <c r="F26" s="817"/>
      <c r="G26" s="818" t="e">
        <f t="shared" si="4"/>
        <v>#DIV/0!</v>
      </c>
    </row>
    <row r="27" spans="1:17">
      <c r="A27" s="827">
        <v>45536</v>
      </c>
      <c r="B27" s="817"/>
      <c r="C27" s="818" t="e">
        <f t="shared" si="3"/>
        <v>#DIV/0!</v>
      </c>
      <c r="D27" s="287"/>
      <c r="E27" s="827">
        <v>45536</v>
      </c>
      <c r="F27" s="817"/>
      <c r="G27" s="818" t="e">
        <f t="shared" si="4"/>
        <v>#DIV/0!</v>
      </c>
    </row>
    <row r="28" spans="1:17">
      <c r="A28" s="827">
        <v>45566</v>
      </c>
      <c r="B28" s="817"/>
      <c r="C28" s="818" t="e">
        <f t="shared" si="3"/>
        <v>#DIV/0!</v>
      </c>
      <c r="D28" s="287"/>
      <c r="E28" s="827">
        <v>45566</v>
      </c>
      <c r="F28" s="817"/>
      <c r="G28" s="818" t="e">
        <f t="shared" si="4"/>
        <v>#DIV/0!</v>
      </c>
    </row>
    <row r="29" spans="1:17">
      <c r="A29" s="827">
        <v>45597</v>
      </c>
      <c r="B29" s="819"/>
      <c r="C29" s="818" t="e">
        <f t="shared" si="3"/>
        <v>#DIV/0!</v>
      </c>
      <c r="D29" s="287"/>
      <c r="E29" s="827">
        <v>45597</v>
      </c>
      <c r="F29" s="817"/>
      <c r="G29" s="818" t="e">
        <f t="shared" si="4"/>
        <v>#DIV/0!</v>
      </c>
    </row>
    <row r="30" spans="1:17" ht="15.75" thickBot="1">
      <c r="A30" s="832">
        <v>45627</v>
      </c>
      <c r="B30" s="820"/>
      <c r="C30" s="818" t="e">
        <f t="shared" si="3"/>
        <v>#DIV/0!</v>
      </c>
      <c r="D30" s="287"/>
      <c r="E30" s="832">
        <v>45627</v>
      </c>
      <c r="F30" s="817"/>
      <c r="G30" s="818" t="e">
        <f t="shared" si="4"/>
        <v>#DIV/0!</v>
      </c>
    </row>
    <row r="31" spans="1:17" ht="15.75" thickBot="1">
      <c r="A31" s="834" t="s">
        <v>5</v>
      </c>
      <c r="B31" s="831">
        <f>SUM(B19:B30)</f>
        <v>1042</v>
      </c>
      <c r="C31" s="292"/>
      <c r="D31" s="287"/>
      <c r="E31" s="834" t="s">
        <v>5</v>
      </c>
      <c r="F31" s="831">
        <f>SUM(F19:F30)</f>
        <v>689</v>
      </c>
      <c r="G31" s="292"/>
    </row>
    <row r="32" spans="1:17" ht="15.75" thickBot="1">
      <c r="A32" s="833" t="s">
        <v>6</v>
      </c>
      <c r="B32" s="291">
        <f>AVERAGE(B19:B30)</f>
        <v>260.5</v>
      </c>
      <c r="C32" s="292"/>
      <c r="D32" s="287"/>
      <c r="E32" s="833" t="s">
        <v>6</v>
      </c>
      <c r="F32" s="291">
        <f>AVERAGE(F19:F30)</f>
        <v>172.25</v>
      </c>
      <c r="G32" s="292"/>
    </row>
    <row r="33" spans="1:8" ht="17.25" customHeight="1" thickBot="1"/>
    <row r="34" spans="1:8" ht="93" customHeight="1" thickBot="1">
      <c r="A34" s="293"/>
      <c r="B34" s="294" t="s">
        <v>323</v>
      </c>
      <c r="C34" s="295" t="s">
        <v>324</v>
      </c>
      <c r="D34" s="295" t="s">
        <v>471</v>
      </c>
      <c r="E34" s="295" t="s">
        <v>325</v>
      </c>
      <c r="F34" s="295" t="s">
        <v>472</v>
      </c>
      <c r="G34" s="296" t="s">
        <v>326</v>
      </c>
      <c r="H34" s="297" t="s">
        <v>15</v>
      </c>
    </row>
    <row r="35" spans="1:8" ht="15.75" thickBot="1">
      <c r="A35" s="824" t="s">
        <v>316</v>
      </c>
      <c r="B35" s="299"/>
      <c r="C35" s="300"/>
      <c r="D35" s="300"/>
      <c r="E35" s="300"/>
      <c r="F35" s="300"/>
      <c r="G35" s="300"/>
      <c r="H35" s="301"/>
    </row>
    <row r="36" spans="1:8">
      <c r="A36" s="823">
        <v>45292</v>
      </c>
      <c r="B36" s="303">
        <v>11</v>
      </c>
      <c r="C36" s="304">
        <v>1</v>
      </c>
      <c r="D36" s="304">
        <v>34</v>
      </c>
      <c r="E36" s="304">
        <v>6</v>
      </c>
      <c r="F36" s="304">
        <v>9</v>
      </c>
      <c r="G36" s="305">
        <v>9</v>
      </c>
      <c r="H36" s="306">
        <f t="shared" ref="H36" si="5">SUM(B36:G36)</f>
        <v>70</v>
      </c>
    </row>
    <row r="37" spans="1:8">
      <c r="A37" s="822">
        <v>45323</v>
      </c>
      <c r="B37" s="308">
        <v>12</v>
      </c>
      <c r="C37" s="309">
        <v>2</v>
      </c>
      <c r="D37" s="309">
        <v>39</v>
      </c>
      <c r="E37" s="309">
        <v>7</v>
      </c>
      <c r="F37" s="309">
        <v>26</v>
      </c>
      <c r="G37" s="310">
        <v>16</v>
      </c>
      <c r="H37" s="311">
        <f>SUM(B37:G37)</f>
        <v>102</v>
      </c>
    </row>
    <row r="38" spans="1:8">
      <c r="A38" s="822">
        <v>45352</v>
      </c>
      <c r="B38" s="308">
        <v>26</v>
      </c>
      <c r="C38" s="309">
        <v>10</v>
      </c>
      <c r="D38" s="309">
        <v>49</v>
      </c>
      <c r="E38" s="309">
        <v>7</v>
      </c>
      <c r="F38" s="309">
        <v>29</v>
      </c>
      <c r="G38" s="310">
        <v>22</v>
      </c>
      <c r="H38" s="311">
        <f>SUM(B38:G38)</f>
        <v>143</v>
      </c>
    </row>
    <row r="39" spans="1:8">
      <c r="A39" s="822">
        <v>45383</v>
      </c>
      <c r="B39" s="308">
        <v>20</v>
      </c>
      <c r="C39" s="309">
        <v>13</v>
      </c>
      <c r="D39" s="309">
        <v>70</v>
      </c>
      <c r="E39" s="309">
        <v>8</v>
      </c>
      <c r="F39" s="309">
        <v>38</v>
      </c>
      <c r="G39" s="310">
        <v>41</v>
      </c>
      <c r="H39" s="311">
        <f>SUM(B39:G39)</f>
        <v>190</v>
      </c>
    </row>
    <row r="40" spans="1:8">
      <c r="A40" s="822">
        <v>45413</v>
      </c>
      <c r="B40" s="308"/>
      <c r="C40" s="309"/>
      <c r="D40" s="309"/>
      <c r="E40" s="309"/>
      <c r="F40" s="309"/>
      <c r="G40" s="310"/>
      <c r="H40" s="311"/>
    </row>
    <row r="41" spans="1:8">
      <c r="A41" s="822">
        <v>45444</v>
      </c>
      <c r="B41" s="308"/>
      <c r="C41" s="309"/>
      <c r="D41" s="309"/>
      <c r="E41" s="309"/>
      <c r="F41" s="309"/>
      <c r="G41" s="310"/>
      <c r="H41" s="311"/>
    </row>
    <row r="42" spans="1:8">
      <c r="A42" s="822">
        <v>45474</v>
      </c>
      <c r="B42" s="308"/>
      <c r="C42" s="309"/>
      <c r="D42" s="309"/>
      <c r="E42" s="309"/>
      <c r="F42" s="309"/>
      <c r="G42" s="310"/>
      <c r="H42" s="311"/>
    </row>
    <row r="43" spans="1:8">
      <c r="A43" s="822">
        <v>45505</v>
      </c>
      <c r="B43" s="308"/>
      <c r="C43" s="309"/>
      <c r="D43" s="309"/>
      <c r="E43" s="309"/>
      <c r="F43" s="309"/>
      <c r="G43" s="310"/>
      <c r="H43" s="311"/>
    </row>
    <row r="44" spans="1:8">
      <c r="A44" s="822">
        <v>45536</v>
      </c>
      <c r="B44" s="308"/>
      <c r="C44" s="309"/>
      <c r="D44" s="309"/>
      <c r="E44" s="309"/>
      <c r="F44" s="309"/>
      <c r="G44" s="310"/>
      <c r="H44" s="311"/>
    </row>
    <row r="45" spans="1:8">
      <c r="A45" s="822">
        <v>45566</v>
      </c>
      <c r="B45" s="308"/>
      <c r="C45" s="309"/>
      <c r="D45" s="309"/>
      <c r="E45" s="309"/>
      <c r="F45" s="309"/>
      <c r="G45" s="310"/>
      <c r="H45" s="311"/>
    </row>
    <row r="46" spans="1:8">
      <c r="A46" s="822">
        <v>45597</v>
      </c>
      <c r="B46" s="308"/>
      <c r="C46" s="309"/>
      <c r="D46" s="309"/>
      <c r="E46" s="309"/>
      <c r="F46" s="309"/>
      <c r="G46" s="310"/>
      <c r="H46" s="311"/>
    </row>
    <row r="47" spans="1:8" ht="15.75" thickBot="1">
      <c r="A47" s="825">
        <v>45627</v>
      </c>
      <c r="B47" s="313"/>
      <c r="C47" s="314"/>
      <c r="D47" s="314"/>
      <c r="E47" s="314"/>
      <c r="F47" s="314"/>
      <c r="G47" s="315"/>
      <c r="H47" s="316"/>
    </row>
    <row r="48" spans="1:8" ht="15.75" thickBot="1">
      <c r="A48" s="826" t="s">
        <v>327</v>
      </c>
      <c r="B48" s="821">
        <f t="shared" ref="B48:F48" si="6">SUM(B36:B47)</f>
        <v>69</v>
      </c>
      <c r="C48" s="317">
        <f t="shared" si="6"/>
        <v>26</v>
      </c>
      <c r="D48" s="317">
        <f t="shared" si="6"/>
        <v>192</v>
      </c>
      <c r="E48" s="317">
        <f t="shared" si="6"/>
        <v>28</v>
      </c>
      <c r="F48" s="317">
        <f t="shared" si="6"/>
        <v>102</v>
      </c>
      <c r="G48" s="317">
        <f>SUM(G36:G47)</f>
        <v>88</v>
      </c>
      <c r="H48" s="318">
        <f>SUM(H36:H47)</f>
        <v>505</v>
      </c>
    </row>
    <row r="49" spans="1:8" ht="15.75" thickBot="1">
      <c r="A49" s="300"/>
      <c r="B49" s="319"/>
      <c r="C49" s="319"/>
      <c r="D49" s="319"/>
      <c r="E49" s="319"/>
      <c r="F49" s="319"/>
      <c r="G49" s="319"/>
      <c r="H49" s="319"/>
    </row>
    <row r="50" spans="1:8" ht="15.75" thickBot="1">
      <c r="A50" s="298" t="s">
        <v>315</v>
      </c>
      <c r="B50" s="320"/>
      <c r="C50" s="321"/>
      <c r="D50" s="321"/>
      <c r="E50" s="321"/>
      <c r="F50" s="321"/>
      <c r="G50" s="321"/>
      <c r="H50" s="321"/>
    </row>
    <row r="51" spans="1:8">
      <c r="A51" s="302">
        <v>44927</v>
      </c>
      <c r="B51" s="322">
        <v>8</v>
      </c>
      <c r="C51" s="323">
        <v>7</v>
      </c>
      <c r="D51" s="323">
        <v>57</v>
      </c>
      <c r="E51" s="323">
        <v>3</v>
      </c>
      <c r="F51" s="323">
        <v>27</v>
      </c>
      <c r="G51" s="324">
        <v>25</v>
      </c>
      <c r="H51" s="325">
        <f t="shared" ref="H51" si="7">SUM(B51:G51)</f>
        <v>127</v>
      </c>
    </row>
    <row r="52" spans="1:8">
      <c r="A52" s="307">
        <v>44958</v>
      </c>
      <c r="B52" s="326">
        <v>3</v>
      </c>
      <c r="C52" s="327">
        <v>1</v>
      </c>
      <c r="D52" s="327">
        <v>50</v>
      </c>
      <c r="E52" s="327">
        <v>5</v>
      </c>
      <c r="F52" s="327">
        <v>24</v>
      </c>
      <c r="G52" s="328">
        <v>26</v>
      </c>
      <c r="H52" s="329">
        <f>SUM(B52:G52)</f>
        <v>109</v>
      </c>
    </row>
    <row r="53" spans="1:8">
      <c r="A53" s="307">
        <v>44986</v>
      </c>
      <c r="B53" s="326">
        <v>4</v>
      </c>
      <c r="C53" s="327">
        <v>5</v>
      </c>
      <c r="D53" s="327">
        <v>48</v>
      </c>
      <c r="E53" s="327">
        <v>4</v>
      </c>
      <c r="F53" s="327">
        <v>34</v>
      </c>
      <c r="G53" s="328">
        <v>17</v>
      </c>
      <c r="H53" s="329">
        <f>SUM(B53:G53)</f>
        <v>112</v>
      </c>
    </row>
    <row r="54" spans="1:8">
      <c r="A54" s="307">
        <v>45017</v>
      </c>
      <c r="B54" s="326">
        <v>11</v>
      </c>
      <c r="C54" s="327">
        <v>18</v>
      </c>
      <c r="D54" s="327">
        <v>77</v>
      </c>
      <c r="E54" s="327">
        <v>8</v>
      </c>
      <c r="F54" s="327">
        <v>35</v>
      </c>
      <c r="G54" s="328">
        <v>40</v>
      </c>
      <c r="H54" s="329">
        <f>SUM(B54:G54)</f>
        <v>189</v>
      </c>
    </row>
    <row r="55" spans="1:8">
      <c r="A55" s="307">
        <v>45047</v>
      </c>
      <c r="B55" s="326"/>
      <c r="C55" s="327"/>
      <c r="D55" s="327"/>
      <c r="E55" s="327"/>
      <c r="F55" s="327"/>
      <c r="G55" s="328"/>
      <c r="H55" s="329"/>
    </row>
    <row r="56" spans="1:8">
      <c r="A56" s="307">
        <v>45078</v>
      </c>
      <c r="B56" s="326"/>
      <c r="C56" s="327"/>
      <c r="D56" s="327"/>
      <c r="E56" s="327"/>
      <c r="F56" s="327"/>
      <c r="G56" s="328"/>
      <c r="H56" s="329"/>
    </row>
    <row r="57" spans="1:8">
      <c r="A57" s="307">
        <v>45108</v>
      </c>
      <c r="B57" s="326"/>
      <c r="C57" s="327"/>
      <c r="D57" s="327"/>
      <c r="E57" s="327"/>
      <c r="F57" s="327"/>
      <c r="G57" s="328"/>
      <c r="H57" s="329"/>
    </row>
    <row r="58" spans="1:8">
      <c r="A58" s="307">
        <v>45139</v>
      </c>
      <c r="B58" s="326"/>
      <c r="C58" s="327"/>
      <c r="D58" s="327"/>
      <c r="E58" s="327"/>
      <c r="F58" s="327"/>
      <c r="G58" s="328"/>
      <c r="H58" s="329"/>
    </row>
    <row r="59" spans="1:8">
      <c r="A59" s="307">
        <v>45170</v>
      </c>
      <c r="B59" s="326"/>
      <c r="C59" s="327"/>
      <c r="D59" s="327"/>
      <c r="E59" s="327"/>
      <c r="F59" s="327"/>
      <c r="G59" s="328"/>
      <c r="H59" s="329"/>
    </row>
    <row r="60" spans="1:8">
      <c r="A60" s="307">
        <v>45200</v>
      </c>
      <c r="B60" s="326"/>
      <c r="C60" s="327"/>
      <c r="D60" s="327"/>
      <c r="E60" s="327"/>
      <c r="F60" s="327"/>
      <c r="G60" s="328"/>
      <c r="H60" s="329"/>
    </row>
    <row r="61" spans="1:8">
      <c r="A61" s="307">
        <v>45231</v>
      </c>
      <c r="B61" s="326"/>
      <c r="C61" s="327"/>
      <c r="D61" s="327"/>
      <c r="E61" s="327"/>
      <c r="F61" s="327"/>
      <c r="G61" s="328"/>
      <c r="H61" s="329"/>
    </row>
    <row r="62" spans="1:8" ht="15.75" thickBot="1">
      <c r="A62" s="312">
        <v>45261</v>
      </c>
      <c r="B62" s="330"/>
      <c r="C62" s="331"/>
      <c r="D62" s="331"/>
      <c r="E62" s="331"/>
      <c r="F62" s="331"/>
      <c r="G62" s="332"/>
      <c r="H62" s="333"/>
    </row>
    <row r="63" spans="1:8" ht="15.75" thickBot="1">
      <c r="A63" s="334" t="s">
        <v>328</v>
      </c>
      <c r="B63" s="335">
        <f t="shared" ref="B63:G63" si="8">SUM(B51:B62)</f>
        <v>26</v>
      </c>
      <c r="C63" s="335">
        <f t="shared" si="8"/>
        <v>31</v>
      </c>
      <c r="D63" s="335">
        <f t="shared" si="8"/>
        <v>232</v>
      </c>
      <c r="E63" s="335">
        <f t="shared" si="8"/>
        <v>20</v>
      </c>
      <c r="F63" s="335">
        <f t="shared" si="8"/>
        <v>120</v>
      </c>
      <c r="G63" s="336">
        <f t="shared" si="8"/>
        <v>108</v>
      </c>
      <c r="H63" s="337">
        <f>SUM(H51:H62)</f>
        <v>537</v>
      </c>
    </row>
    <row r="64" spans="1:8" ht="15.75" thickBot="1">
      <c r="A64" s="338"/>
      <c r="B64" s="338"/>
      <c r="C64" s="338"/>
      <c r="D64" s="338"/>
      <c r="E64" s="338"/>
      <c r="F64" s="338"/>
      <c r="G64" s="338"/>
      <c r="H64" s="338"/>
    </row>
    <row r="65" spans="1:8" ht="15.75" thickBot="1">
      <c r="A65" s="339" t="s">
        <v>15</v>
      </c>
      <c r="B65" s="340">
        <f t="shared" ref="B65:H65" si="9">B48+B63</f>
        <v>95</v>
      </c>
      <c r="C65" s="340">
        <f t="shared" si="9"/>
        <v>57</v>
      </c>
      <c r="D65" s="340">
        <f t="shared" si="9"/>
        <v>424</v>
      </c>
      <c r="E65" s="340">
        <f t="shared" si="9"/>
        <v>48</v>
      </c>
      <c r="F65" s="340">
        <f t="shared" si="9"/>
        <v>222</v>
      </c>
      <c r="G65" s="340">
        <f t="shared" si="9"/>
        <v>196</v>
      </c>
      <c r="H65" s="341">
        <f t="shared" si="9"/>
        <v>1042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39 H51:H54 J9:L9" formulaRange="1"/>
    <ignoredError sqref="N9:O9" formula="1"/>
    <ignoredError sqref="M9" formula="1" formulaRange="1"/>
    <ignoredError sqref="C21:C30 G21:G30" evalErro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232"/>
  <sheetViews>
    <sheetView topLeftCell="A16" zoomScaleNormal="100" workbookViewId="0"/>
  </sheetViews>
  <sheetFormatPr defaultRowHeight="15"/>
  <cols>
    <col min="1" max="1" width="22.7109375" customWidth="1"/>
    <col min="2" max="2" width="9.85546875" customWidth="1"/>
    <col min="3" max="3" width="9" style="90" customWidth="1"/>
    <col min="4" max="4" width="6.85546875" style="90" bestFit="1" customWidth="1"/>
    <col min="5" max="5" width="6.5703125" bestFit="1" customWidth="1"/>
    <col min="6" max="6" width="7" style="71" bestFit="1" customWidth="1"/>
    <col min="7" max="7" width="6.140625" style="71" bestFit="1" customWidth="1"/>
    <col min="8" max="8" width="6.7109375" style="71" bestFit="1" customWidth="1"/>
    <col min="9" max="9" width="7.140625" style="86" bestFit="1" customWidth="1"/>
    <col min="10" max="10" width="6.7109375" style="71" bestFit="1" customWidth="1"/>
    <col min="11" max="11" width="7.28515625" style="71" bestFit="1" customWidth="1"/>
    <col min="12" max="12" width="6.7109375" style="71" bestFit="1" customWidth="1"/>
    <col min="13" max="13" width="6.5703125" style="128" bestFit="1" customWidth="1"/>
    <col min="14" max="14" width="6.5703125" style="342" bestFit="1" customWidth="1"/>
    <col min="15" max="15" width="12.140625" style="90" customWidth="1"/>
    <col min="16" max="16" width="6" style="90" bestFit="1" customWidth="1"/>
    <col min="17" max="17" width="5.42578125" style="90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71" bestFit="1" customWidth="1"/>
    <col min="33" max="33" width="6.7109375" style="71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32" bestFit="1" customWidth="1"/>
    <col min="55" max="55" width="9.140625" customWidth="1"/>
  </cols>
  <sheetData>
    <row r="1" spans="1:3">
      <c r="A1" s="91" t="s">
        <v>0</v>
      </c>
    </row>
    <row r="2" spans="1:3">
      <c r="A2" s="1" t="s">
        <v>1</v>
      </c>
    </row>
    <row r="3" spans="1:3" ht="15.75" thickBot="1"/>
    <row r="4" spans="1:3" ht="15.75" thickBot="1">
      <c r="A4" s="1086" t="s">
        <v>329</v>
      </c>
      <c r="B4" s="1087"/>
      <c r="C4" s="1086"/>
    </row>
    <row r="5" spans="1:3" ht="15.75" thickBot="1">
      <c r="A5" s="887" t="s">
        <v>2</v>
      </c>
      <c r="B5" s="885" t="s">
        <v>210</v>
      </c>
      <c r="C5" s="668" t="s">
        <v>211</v>
      </c>
    </row>
    <row r="6" spans="1:3">
      <c r="A6" s="886">
        <v>45292</v>
      </c>
      <c r="B6" s="343">
        <v>564</v>
      </c>
      <c r="C6" s="835">
        <f>((B6-441)/441)*100</f>
        <v>27.89115646258503</v>
      </c>
    </row>
    <row r="7" spans="1:3">
      <c r="A7" s="884">
        <v>45323</v>
      </c>
      <c r="B7" s="344">
        <v>688</v>
      </c>
      <c r="C7" s="929">
        <f>((B7-B6)/B6)*100</f>
        <v>21.98581560283688</v>
      </c>
    </row>
    <row r="8" spans="1:3">
      <c r="A8" s="884">
        <v>45352</v>
      </c>
      <c r="B8" s="344">
        <v>634</v>
      </c>
      <c r="C8" s="929">
        <f>((B8-B7)/B7)*100</f>
        <v>-7.8488372093023253</v>
      </c>
    </row>
    <row r="9" spans="1:3">
      <c r="A9" s="884">
        <v>45383</v>
      </c>
      <c r="B9" s="344">
        <v>882</v>
      </c>
      <c r="C9" s="929">
        <f>((B9-B8)/B8)*100</f>
        <v>39.116719242902207</v>
      </c>
    </row>
    <row r="10" spans="1:3">
      <c r="A10" s="884">
        <v>45413</v>
      </c>
      <c r="B10" s="344"/>
      <c r="C10" s="836"/>
    </row>
    <row r="11" spans="1:3">
      <c r="A11" s="884">
        <v>45444</v>
      </c>
      <c r="B11" s="344"/>
      <c r="C11" s="836"/>
    </row>
    <row r="12" spans="1:3">
      <c r="A12" s="884">
        <v>45474</v>
      </c>
      <c r="B12" s="344"/>
      <c r="C12" s="836"/>
    </row>
    <row r="13" spans="1:3">
      <c r="A13" s="884">
        <v>45505</v>
      </c>
      <c r="B13" s="344"/>
      <c r="C13" s="836"/>
    </row>
    <row r="14" spans="1:3">
      <c r="A14" s="884">
        <v>45536</v>
      </c>
      <c r="B14" s="344"/>
      <c r="C14" s="836"/>
    </row>
    <row r="15" spans="1:3">
      <c r="A15" s="884">
        <v>45566</v>
      </c>
      <c r="B15" s="344"/>
      <c r="C15" s="836"/>
    </row>
    <row r="16" spans="1:3">
      <c r="A16" s="884">
        <v>45597</v>
      </c>
      <c r="B16" s="345"/>
      <c r="C16" s="836"/>
    </row>
    <row r="17" spans="1:41" ht="15.75" thickBot="1">
      <c r="A17" s="889">
        <v>45627</v>
      </c>
      <c r="B17" s="346"/>
      <c r="C17" s="837"/>
    </row>
    <row r="18" spans="1:41" ht="15.75" thickBot="1">
      <c r="A18" s="891" t="s">
        <v>5</v>
      </c>
      <c r="B18" s="888">
        <f>SUM(B6:B17)</f>
        <v>2768</v>
      </c>
      <c r="C18"/>
    </row>
    <row r="19" spans="1:41" ht="15.75" thickBot="1">
      <c r="A19" s="890" t="s">
        <v>6</v>
      </c>
      <c r="B19" s="347">
        <f>AVERAGE(B6:B17)</f>
        <v>692</v>
      </c>
      <c r="C19"/>
    </row>
    <row r="20" spans="1:41" ht="15.75" thickBot="1">
      <c r="A20" s="90"/>
      <c r="B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spans="1:41" customFormat="1" ht="24.95" customHeight="1" thickBot="1">
      <c r="A21" s="348" t="s">
        <v>330</v>
      </c>
      <c r="B21" s="349">
        <v>45627</v>
      </c>
      <c r="C21" s="349">
        <v>45597</v>
      </c>
      <c r="D21" s="349">
        <v>45566</v>
      </c>
      <c r="E21" s="349">
        <v>45536</v>
      </c>
      <c r="F21" s="349">
        <v>45505</v>
      </c>
      <c r="G21" s="349">
        <v>45474</v>
      </c>
      <c r="H21" s="349">
        <v>45444</v>
      </c>
      <c r="I21" s="349">
        <v>45413</v>
      </c>
      <c r="J21" s="349">
        <v>45383</v>
      </c>
      <c r="K21" s="349">
        <v>45352</v>
      </c>
      <c r="L21" s="349">
        <v>45323</v>
      </c>
      <c r="M21" s="349">
        <v>45292</v>
      </c>
      <c r="N21" s="349" t="s">
        <v>5</v>
      </c>
      <c r="O21" s="350" t="s">
        <v>6</v>
      </c>
      <c r="P21" s="351" t="s">
        <v>8</v>
      </c>
      <c r="Q21" s="352"/>
      <c r="S21" s="1087" t="s">
        <v>331</v>
      </c>
      <c r="T21" s="1087"/>
      <c r="U21" s="1087"/>
      <c r="V21" s="1087"/>
      <c r="W21" s="1087"/>
      <c r="X21" s="1087"/>
      <c r="Y21" s="1087"/>
      <c r="Z21" s="1087"/>
      <c r="AA21" s="1087"/>
      <c r="AB21" s="1087"/>
      <c r="AC21" s="1087"/>
      <c r="AD21" s="1087"/>
      <c r="AE21" s="1087"/>
      <c r="AF21" s="1087"/>
      <c r="AG21" s="1087"/>
      <c r="AH21" s="353">
        <v>12</v>
      </c>
      <c r="AI21" s="353">
        <v>7</v>
      </c>
      <c r="AJ21" s="353">
        <v>11</v>
      </c>
      <c r="AK21" s="353">
        <v>7</v>
      </c>
      <c r="AL21" s="353">
        <v>2</v>
      </c>
      <c r="AM21" s="353">
        <v>10</v>
      </c>
      <c r="AN21" s="353">
        <v>7</v>
      </c>
      <c r="AO21" s="132"/>
    </row>
    <row r="22" spans="1:41" customFormat="1" ht="34.5" customHeight="1" thickBot="1">
      <c r="A22" s="354" t="s">
        <v>332</v>
      </c>
      <c r="B22" s="355"/>
      <c r="C22" s="356"/>
      <c r="D22" s="356"/>
      <c r="E22" s="356"/>
      <c r="F22" s="356"/>
      <c r="G22" s="356"/>
      <c r="H22" s="356"/>
      <c r="I22" s="356"/>
      <c r="J22" s="357">
        <v>2</v>
      </c>
      <c r="K22" s="358">
        <v>0</v>
      </c>
      <c r="L22" s="357">
        <v>2</v>
      </c>
      <c r="M22" s="359">
        <v>2</v>
      </c>
      <c r="N22" s="360">
        <f>SUM(B22:M22)</f>
        <v>6</v>
      </c>
      <c r="O22" s="361">
        <f>AVERAGE(B22:M22)</f>
        <v>1.5</v>
      </c>
      <c r="P22" s="362">
        <f>(N22/N100)*100</f>
        <v>0.2167630057803468</v>
      </c>
      <c r="Q22" s="363"/>
      <c r="R22" s="187"/>
      <c r="S22" s="364"/>
      <c r="T22" s="365">
        <v>45627</v>
      </c>
      <c r="U22" s="365">
        <v>45597</v>
      </c>
      <c r="V22" s="365">
        <v>45566</v>
      </c>
      <c r="W22" s="365">
        <v>45536</v>
      </c>
      <c r="X22" s="365">
        <v>45505</v>
      </c>
      <c r="Y22" s="365">
        <v>45474</v>
      </c>
      <c r="Z22" s="365">
        <v>45444</v>
      </c>
      <c r="AA22" s="365">
        <v>45413</v>
      </c>
      <c r="AB22" s="365">
        <v>45383</v>
      </c>
      <c r="AC22" s="365">
        <v>45352</v>
      </c>
      <c r="AD22" s="365">
        <v>45323</v>
      </c>
      <c r="AE22" s="366">
        <v>45292</v>
      </c>
      <c r="AF22" s="838" t="s">
        <v>5</v>
      </c>
      <c r="AG22" s="839" t="s">
        <v>6</v>
      </c>
      <c r="AH22" s="353">
        <v>84</v>
      </c>
      <c r="AI22" s="353">
        <v>49</v>
      </c>
      <c r="AJ22" s="353">
        <v>90</v>
      </c>
      <c r="AK22" s="353">
        <v>117</v>
      </c>
      <c r="AL22" s="353">
        <v>58</v>
      </c>
      <c r="AM22" s="353">
        <v>49</v>
      </c>
      <c r="AN22" s="353">
        <v>22</v>
      </c>
      <c r="AO22" s="132"/>
    </row>
    <row r="23" spans="1:41" customFormat="1" ht="24.95" customHeight="1" thickBot="1">
      <c r="A23" s="367" t="s">
        <v>333</v>
      </c>
      <c r="B23" s="355"/>
      <c r="C23" s="356"/>
      <c r="D23" s="356"/>
      <c r="E23" s="356"/>
      <c r="F23" s="356"/>
      <c r="G23" s="356"/>
      <c r="H23" s="356"/>
      <c r="I23" s="356"/>
      <c r="J23" s="368">
        <v>0</v>
      </c>
      <c r="K23" s="369">
        <v>0</v>
      </c>
      <c r="L23" s="368">
        <v>0</v>
      </c>
      <c r="M23" s="359">
        <v>0</v>
      </c>
      <c r="N23" s="360">
        <f t="shared" ref="N23:N53" si="0">SUM(B23:M23)</f>
        <v>0</v>
      </c>
      <c r="O23" s="361">
        <f t="shared" ref="O23:O53" si="1">AVERAGE(B23:M23)</f>
        <v>0</v>
      </c>
      <c r="P23" s="362">
        <f>(N23/N100)*100</f>
        <v>0</v>
      </c>
      <c r="Q23" s="363"/>
      <c r="R23" s="187"/>
      <c r="S23" s="1088" t="s">
        <v>334</v>
      </c>
      <c r="T23" s="1088"/>
      <c r="U23" s="1088"/>
      <c r="V23" s="1088"/>
      <c r="W23" s="1088"/>
      <c r="X23" s="1088"/>
      <c r="Y23" s="1088"/>
      <c r="Z23" s="1088"/>
      <c r="AA23" s="1088"/>
      <c r="AB23" s="1088"/>
      <c r="AC23" s="1088"/>
      <c r="AD23" s="1088"/>
      <c r="AE23" s="1088"/>
      <c r="AF23" s="840"/>
      <c r="AG23" s="841"/>
      <c r="AH23" s="132"/>
      <c r="AI23" s="132"/>
      <c r="AJ23" s="132"/>
      <c r="AK23" s="132"/>
      <c r="AL23" s="132"/>
      <c r="AM23" s="132"/>
      <c r="AN23" s="132"/>
      <c r="AO23" s="132"/>
    </row>
    <row r="24" spans="1:41" customFormat="1" ht="24.95" customHeight="1" thickBot="1">
      <c r="A24" s="367" t="s">
        <v>213</v>
      </c>
      <c r="B24" s="371"/>
      <c r="C24" s="372"/>
      <c r="D24" s="372"/>
      <c r="E24" s="372"/>
      <c r="F24" s="372"/>
      <c r="G24" s="356"/>
      <c r="H24" s="372"/>
      <c r="I24" s="372"/>
      <c r="J24" s="368">
        <v>9</v>
      </c>
      <c r="K24" s="373">
        <v>2</v>
      </c>
      <c r="L24" s="368">
        <v>17</v>
      </c>
      <c r="M24" s="374">
        <v>5</v>
      </c>
      <c r="N24" s="375">
        <f t="shared" si="0"/>
        <v>33</v>
      </c>
      <c r="O24" s="376">
        <f t="shared" si="1"/>
        <v>8.25</v>
      </c>
      <c r="P24" s="377">
        <f t="shared" ref="P24:P55" si="2">(N24/$N$100)*100</f>
        <v>1.1921965317919074</v>
      </c>
      <c r="Q24" s="363"/>
      <c r="R24" s="187"/>
      <c r="S24" s="378" t="s">
        <v>5</v>
      </c>
      <c r="T24" s="379"/>
      <c r="U24" s="379"/>
      <c r="V24" s="379"/>
      <c r="W24" s="379"/>
      <c r="X24" s="379"/>
      <c r="Y24" s="379"/>
      <c r="Z24" s="379"/>
      <c r="AA24" s="379"/>
      <c r="AB24" s="379">
        <v>882</v>
      </c>
      <c r="AC24" s="379">
        <v>634</v>
      </c>
      <c r="AD24" s="379">
        <v>688</v>
      </c>
      <c r="AE24" s="380">
        <v>564</v>
      </c>
      <c r="AF24" s="842">
        <f>SUM(T24:AE24)</f>
        <v>2768</v>
      </c>
      <c r="AG24" s="843">
        <f>AVERAGE(T24:AE24)</f>
        <v>692</v>
      </c>
      <c r="AH24" s="132"/>
      <c r="AI24" s="132"/>
      <c r="AJ24" s="132"/>
      <c r="AK24" s="132"/>
      <c r="AL24" s="132"/>
      <c r="AM24" s="132"/>
      <c r="AN24" s="132"/>
      <c r="AO24" s="132"/>
    </row>
    <row r="25" spans="1:41" customFormat="1" ht="24.95" customHeight="1">
      <c r="A25" s="367" t="s">
        <v>335</v>
      </c>
      <c r="B25" s="371"/>
      <c r="C25" s="372"/>
      <c r="D25" s="372"/>
      <c r="E25" s="372"/>
      <c r="F25" s="372"/>
      <c r="G25" s="356"/>
      <c r="H25" s="372"/>
      <c r="I25" s="372"/>
      <c r="J25" s="368">
        <v>50</v>
      </c>
      <c r="K25" s="373">
        <v>42</v>
      </c>
      <c r="L25" s="368">
        <v>39</v>
      </c>
      <c r="M25" s="374">
        <v>37</v>
      </c>
      <c r="N25" s="375">
        <f t="shared" si="0"/>
        <v>168</v>
      </c>
      <c r="O25" s="376">
        <f t="shared" si="1"/>
        <v>42</v>
      </c>
      <c r="P25" s="377">
        <f>(N25/$N$100)*100</f>
        <v>6.0693641618497107</v>
      </c>
      <c r="Q25" s="363"/>
      <c r="R25" s="187"/>
      <c r="S25" s="381"/>
      <c r="T25" s="382"/>
      <c r="U25" s="382"/>
      <c r="V25" s="382"/>
      <c r="W25" s="382"/>
      <c r="X25" s="382"/>
      <c r="Y25" s="383"/>
      <c r="Z25" s="384"/>
      <c r="AA25" s="382"/>
      <c r="AB25" s="382"/>
      <c r="AC25" s="382"/>
      <c r="AD25" s="382" t="s">
        <v>491</v>
      </c>
      <c r="AE25" s="383"/>
      <c r="AF25" s="844"/>
      <c r="AG25" s="845"/>
      <c r="AH25" s="385"/>
      <c r="AI25" s="132"/>
      <c r="AJ25" s="132"/>
      <c r="AK25" s="132"/>
      <c r="AL25" s="132"/>
      <c r="AM25" s="132"/>
      <c r="AN25" s="132"/>
      <c r="AO25" s="132"/>
    </row>
    <row r="26" spans="1:41" customFormat="1" ht="24.95" customHeight="1" thickBot="1">
      <c r="A26" s="367" t="s">
        <v>336</v>
      </c>
      <c r="B26" s="371"/>
      <c r="C26" s="372"/>
      <c r="D26" s="372"/>
      <c r="E26" s="372"/>
      <c r="F26" s="372"/>
      <c r="G26" s="356"/>
      <c r="H26" s="372"/>
      <c r="I26" s="372"/>
      <c r="J26" s="368">
        <v>20</v>
      </c>
      <c r="K26" s="373">
        <v>10</v>
      </c>
      <c r="L26" s="368">
        <v>6</v>
      </c>
      <c r="M26" s="374">
        <v>9</v>
      </c>
      <c r="N26" s="375">
        <f t="shared" si="0"/>
        <v>45</v>
      </c>
      <c r="O26" s="376">
        <f t="shared" si="1"/>
        <v>11.25</v>
      </c>
      <c r="P26" s="377">
        <f t="shared" si="2"/>
        <v>1.625722543352601</v>
      </c>
      <c r="Q26" s="363"/>
      <c r="R26" s="187"/>
      <c r="S26" s="1089" t="s">
        <v>337</v>
      </c>
      <c r="T26" s="1089"/>
      <c r="U26" s="1089"/>
      <c r="V26" s="1089"/>
      <c r="W26" s="1089"/>
      <c r="X26" s="1089"/>
      <c r="Y26" s="1089"/>
      <c r="Z26" s="1089"/>
      <c r="AA26" s="1089"/>
      <c r="AB26" s="1089"/>
      <c r="AC26" s="1089"/>
      <c r="AD26" s="1089"/>
      <c r="AE26" s="1089"/>
      <c r="AF26" s="846"/>
      <c r="AG26" s="847"/>
      <c r="AH26" s="385"/>
      <c r="AI26" s="132"/>
      <c r="AJ26" s="132"/>
      <c r="AK26" s="132"/>
      <c r="AL26" s="132"/>
      <c r="AM26" s="132"/>
      <c r="AN26" s="132"/>
      <c r="AO26" s="132"/>
    </row>
    <row r="27" spans="1:41" customFormat="1" ht="24.95" customHeight="1" thickBot="1">
      <c r="A27" s="367" t="s">
        <v>338</v>
      </c>
      <c r="B27" s="371"/>
      <c r="C27" s="372"/>
      <c r="D27" s="372"/>
      <c r="E27" s="372"/>
      <c r="F27" s="372"/>
      <c r="G27" s="356"/>
      <c r="H27" s="372"/>
      <c r="I27" s="372"/>
      <c r="J27" s="368">
        <v>17</v>
      </c>
      <c r="K27" s="373">
        <v>13</v>
      </c>
      <c r="L27" s="368">
        <v>10</v>
      </c>
      <c r="M27" s="374">
        <v>18</v>
      </c>
      <c r="N27" s="375">
        <f t="shared" si="0"/>
        <v>58</v>
      </c>
      <c r="O27" s="376">
        <f t="shared" si="1"/>
        <v>14.5</v>
      </c>
      <c r="P27" s="377">
        <f t="shared" si="2"/>
        <v>2.0953757225433525</v>
      </c>
      <c r="Q27" s="363"/>
      <c r="R27" s="187"/>
      <c r="S27" s="386" t="s">
        <v>339</v>
      </c>
      <c r="T27" s="387">
        <f t="shared" ref="T27:AC27" si="3">SUM(T28:T29)</f>
        <v>0</v>
      </c>
      <c r="U27" s="388">
        <f t="shared" si="3"/>
        <v>0</v>
      </c>
      <c r="V27" s="388">
        <f t="shared" si="3"/>
        <v>0</v>
      </c>
      <c r="W27" s="388">
        <f t="shared" si="3"/>
        <v>0</v>
      </c>
      <c r="X27" s="388">
        <f t="shared" si="3"/>
        <v>0</v>
      </c>
      <c r="Y27" s="388">
        <f t="shared" si="3"/>
        <v>0</v>
      </c>
      <c r="Z27" s="388">
        <f t="shared" si="3"/>
        <v>0</v>
      </c>
      <c r="AA27" s="388">
        <f t="shared" si="3"/>
        <v>0</v>
      </c>
      <c r="AB27" s="388">
        <f t="shared" si="3"/>
        <v>799</v>
      </c>
      <c r="AC27" s="388">
        <f t="shared" si="3"/>
        <v>589</v>
      </c>
      <c r="AD27" s="388">
        <f>SUM(AD28:AD29)</f>
        <v>588</v>
      </c>
      <c r="AE27" s="388">
        <f>SUM(AE28:AE29)</f>
        <v>497</v>
      </c>
      <c r="AF27" s="848">
        <f>SUM(T27:AE27)</f>
        <v>2473</v>
      </c>
      <c r="AG27" s="843">
        <f>SUM(AG28:AG29)</f>
        <v>618.25</v>
      </c>
      <c r="AH27" s="385"/>
      <c r="AI27" s="132"/>
      <c r="AJ27" s="132"/>
      <c r="AK27" s="132"/>
      <c r="AL27" s="132"/>
      <c r="AM27" s="132"/>
      <c r="AN27" s="132"/>
      <c r="AO27" s="132"/>
    </row>
    <row r="28" spans="1:41" customFormat="1" ht="24.95" customHeight="1">
      <c r="A28" s="367" t="s">
        <v>340</v>
      </c>
      <c r="B28" s="371"/>
      <c r="C28" s="372"/>
      <c r="D28" s="372"/>
      <c r="E28" s="372"/>
      <c r="F28" s="372"/>
      <c r="G28" s="356"/>
      <c r="H28" s="372"/>
      <c r="I28" s="372"/>
      <c r="J28" s="368">
        <v>2</v>
      </c>
      <c r="K28" s="373">
        <v>1</v>
      </c>
      <c r="L28" s="368">
        <v>0</v>
      </c>
      <c r="M28" s="374">
        <v>2</v>
      </c>
      <c r="N28" s="375">
        <f t="shared" si="0"/>
        <v>5</v>
      </c>
      <c r="O28" s="376">
        <f t="shared" si="1"/>
        <v>1.25</v>
      </c>
      <c r="P28" s="377">
        <f t="shared" si="2"/>
        <v>0.18063583815028902</v>
      </c>
      <c r="Q28" s="363"/>
      <c r="R28" s="187"/>
      <c r="S28" s="389" t="s">
        <v>341</v>
      </c>
      <c r="T28" s="390"/>
      <c r="U28" s="391"/>
      <c r="V28" s="391"/>
      <c r="W28" s="391"/>
      <c r="X28" s="391"/>
      <c r="Y28" s="391"/>
      <c r="Z28" s="391"/>
      <c r="AA28" s="391"/>
      <c r="AB28" s="391">
        <v>616</v>
      </c>
      <c r="AC28" s="392">
        <v>435</v>
      </c>
      <c r="AD28" s="392">
        <v>461</v>
      </c>
      <c r="AE28" s="393">
        <v>388</v>
      </c>
      <c r="AF28" s="849">
        <f>SUM(T28:AE28)</f>
        <v>1900</v>
      </c>
      <c r="AG28" s="850">
        <f>AVERAGE(T28:AE28)</f>
        <v>475</v>
      </c>
      <c r="AH28" s="385"/>
      <c r="AI28" s="132"/>
      <c r="AJ28" s="132"/>
      <c r="AK28" s="132"/>
      <c r="AL28" s="132"/>
      <c r="AM28" s="132"/>
      <c r="AN28" s="132"/>
      <c r="AO28" s="132"/>
    </row>
    <row r="29" spans="1:41" customFormat="1" ht="24.95" customHeight="1" thickBot="1">
      <c r="A29" s="367" t="s">
        <v>342</v>
      </c>
      <c r="B29" s="371"/>
      <c r="C29" s="372"/>
      <c r="D29" s="372"/>
      <c r="E29" s="372"/>
      <c r="F29" s="372"/>
      <c r="G29" s="356"/>
      <c r="H29" s="372"/>
      <c r="I29" s="372"/>
      <c r="J29" s="368">
        <v>3</v>
      </c>
      <c r="K29" s="373">
        <v>3</v>
      </c>
      <c r="L29" s="368">
        <v>0</v>
      </c>
      <c r="M29" s="374">
        <v>1</v>
      </c>
      <c r="N29" s="375">
        <f t="shared" si="0"/>
        <v>7</v>
      </c>
      <c r="O29" s="376">
        <f t="shared" si="1"/>
        <v>1.75</v>
      </c>
      <c r="P29" s="377">
        <f t="shared" si="2"/>
        <v>0.25289017341040465</v>
      </c>
      <c r="Q29" s="363"/>
      <c r="R29" s="187"/>
      <c r="S29" s="394" t="s">
        <v>343</v>
      </c>
      <c r="T29" s="395"/>
      <c r="U29" s="396"/>
      <c r="V29" s="396"/>
      <c r="W29" s="396"/>
      <c r="X29" s="396"/>
      <c r="Y29" s="396"/>
      <c r="Z29" s="396"/>
      <c r="AA29" s="396"/>
      <c r="AB29" s="396">
        <v>183</v>
      </c>
      <c r="AC29" s="397">
        <v>154</v>
      </c>
      <c r="AD29" s="397">
        <v>127</v>
      </c>
      <c r="AE29" s="398">
        <v>109</v>
      </c>
      <c r="AF29" s="851">
        <f>SUM(T29:AE29)</f>
        <v>573</v>
      </c>
      <c r="AG29" s="852">
        <f>AVERAGE(T29:AE29)</f>
        <v>143.25</v>
      </c>
      <c r="AH29" s="385"/>
      <c r="AI29" s="132"/>
      <c r="AJ29" s="132"/>
      <c r="AK29" s="132"/>
      <c r="AL29" s="132"/>
      <c r="AM29" s="132"/>
      <c r="AN29" s="132"/>
      <c r="AO29" s="132"/>
    </row>
    <row r="30" spans="1:41" customFormat="1" ht="24.95" customHeight="1" thickBot="1">
      <c r="A30" s="399" t="s">
        <v>344</v>
      </c>
      <c r="B30" s="371"/>
      <c r="C30" s="372"/>
      <c r="D30" s="372"/>
      <c r="E30" s="372"/>
      <c r="F30" s="372"/>
      <c r="G30" s="356"/>
      <c r="H30" s="372"/>
      <c r="I30" s="372"/>
      <c r="J30" s="368">
        <v>1</v>
      </c>
      <c r="K30" s="373">
        <v>3</v>
      </c>
      <c r="L30" s="368">
        <v>2</v>
      </c>
      <c r="M30" s="374">
        <v>1</v>
      </c>
      <c r="N30" s="375">
        <f t="shared" si="0"/>
        <v>7</v>
      </c>
      <c r="O30" s="376">
        <f t="shared" si="1"/>
        <v>1.75</v>
      </c>
      <c r="P30" s="377">
        <f t="shared" si="2"/>
        <v>0.25289017341040465</v>
      </c>
      <c r="Q30" s="363"/>
      <c r="R30" s="187"/>
      <c r="S30" s="400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2"/>
      <c r="AF30" s="844"/>
      <c r="AG30" s="845"/>
      <c r="AH30" s="132"/>
      <c r="AI30" s="132"/>
      <c r="AJ30" s="132"/>
      <c r="AK30" s="132"/>
      <c r="AL30" s="132"/>
      <c r="AM30" s="132"/>
      <c r="AN30" s="132"/>
      <c r="AO30" s="132"/>
    </row>
    <row r="31" spans="1:41" customFormat="1" ht="36.75" customHeight="1" thickBot="1">
      <c r="A31" s="367" t="s">
        <v>345</v>
      </c>
      <c r="B31" s="371"/>
      <c r="C31" s="372"/>
      <c r="D31" s="372"/>
      <c r="E31" s="372"/>
      <c r="F31" s="372"/>
      <c r="G31" s="356"/>
      <c r="H31" s="372"/>
      <c r="I31" s="372"/>
      <c r="J31" s="368">
        <v>1</v>
      </c>
      <c r="K31" s="373">
        <v>2</v>
      </c>
      <c r="L31" s="368">
        <v>2</v>
      </c>
      <c r="M31" s="374">
        <v>6</v>
      </c>
      <c r="N31" s="375">
        <f t="shared" si="0"/>
        <v>11</v>
      </c>
      <c r="O31" s="376">
        <f t="shared" si="1"/>
        <v>2.75</v>
      </c>
      <c r="P31" s="377">
        <f t="shared" si="2"/>
        <v>0.39739884393063579</v>
      </c>
      <c r="Q31" s="363"/>
      <c r="R31" s="187"/>
      <c r="S31" s="1090" t="s">
        <v>346</v>
      </c>
      <c r="T31" s="1090"/>
      <c r="U31" s="1090"/>
      <c r="V31" s="1090"/>
      <c r="W31" s="1090"/>
      <c r="X31" s="1090"/>
      <c r="Y31" s="1090"/>
      <c r="Z31" s="1090"/>
      <c r="AA31" s="1090"/>
      <c r="AB31" s="1090"/>
      <c r="AC31" s="1090"/>
      <c r="AD31" s="1090"/>
      <c r="AE31" s="1090"/>
      <c r="AF31" s="846"/>
      <c r="AG31" s="847"/>
      <c r="AH31" s="132"/>
      <c r="AI31" s="132"/>
      <c r="AJ31" s="132"/>
      <c r="AK31" s="132"/>
      <c r="AL31" s="132"/>
      <c r="AM31" s="132"/>
      <c r="AN31" s="132"/>
      <c r="AO31" s="132"/>
    </row>
    <row r="32" spans="1:41" customFormat="1" ht="27.75" customHeight="1" thickBot="1">
      <c r="A32" s="367" t="s">
        <v>347</v>
      </c>
      <c r="B32" s="371"/>
      <c r="C32" s="372"/>
      <c r="D32" s="372"/>
      <c r="E32" s="372"/>
      <c r="F32" s="372"/>
      <c r="G32" s="356"/>
      <c r="H32" s="372"/>
      <c r="I32" s="372"/>
      <c r="J32" s="368">
        <v>5</v>
      </c>
      <c r="K32" s="373">
        <v>9</v>
      </c>
      <c r="L32" s="368">
        <v>10</v>
      </c>
      <c r="M32" s="374">
        <v>9</v>
      </c>
      <c r="N32" s="375">
        <f t="shared" si="0"/>
        <v>33</v>
      </c>
      <c r="O32" s="376">
        <f t="shared" si="1"/>
        <v>8.25</v>
      </c>
      <c r="P32" s="377">
        <f t="shared" si="2"/>
        <v>1.1921965317919074</v>
      </c>
      <c r="Q32" s="363"/>
      <c r="R32" s="187"/>
      <c r="S32" s="639" t="s">
        <v>348</v>
      </c>
      <c r="T32" s="640"/>
      <c r="U32" s="641"/>
      <c r="V32" s="641"/>
      <c r="W32" s="641"/>
      <c r="X32" s="641"/>
      <c r="Y32" s="641"/>
      <c r="Z32" s="641"/>
      <c r="AA32" s="641"/>
      <c r="AB32" s="642">
        <v>105</v>
      </c>
      <c r="AC32" s="642">
        <v>78</v>
      </c>
      <c r="AD32" s="642">
        <v>57</v>
      </c>
      <c r="AE32" s="643">
        <v>44</v>
      </c>
      <c r="AF32" s="853">
        <f>SUM(T32:AE32)</f>
        <v>284</v>
      </c>
      <c r="AG32" s="854">
        <f>AVERAGE(T32:AE32)</f>
        <v>71</v>
      </c>
      <c r="AM32" s="132"/>
    </row>
    <row r="33" spans="1:40" customFormat="1" ht="34.5" thickBot="1">
      <c r="A33" s="403" t="s">
        <v>349</v>
      </c>
      <c r="B33" s="371"/>
      <c r="C33" s="372"/>
      <c r="D33" s="372"/>
      <c r="E33" s="372"/>
      <c r="F33" s="372"/>
      <c r="G33" s="356"/>
      <c r="H33" s="372"/>
      <c r="I33" s="372"/>
      <c r="J33" s="368">
        <v>7</v>
      </c>
      <c r="K33" s="373">
        <v>2</v>
      </c>
      <c r="L33" s="368">
        <v>2</v>
      </c>
      <c r="M33" s="374">
        <v>1</v>
      </c>
      <c r="N33" s="375">
        <f t="shared" si="0"/>
        <v>12</v>
      </c>
      <c r="O33" s="376">
        <f t="shared" si="1"/>
        <v>3</v>
      </c>
      <c r="P33" s="377">
        <f t="shared" si="2"/>
        <v>0.43352601156069359</v>
      </c>
      <c r="Q33" s="363"/>
      <c r="R33" s="187"/>
      <c r="S33" s="644" t="s">
        <v>350</v>
      </c>
      <c r="T33" s="645">
        <f t="shared" ref="T33:AC33" si="4">SUM(T34:T35)</f>
        <v>0</v>
      </c>
      <c r="U33" s="645">
        <f t="shared" si="4"/>
        <v>0</v>
      </c>
      <c r="V33" s="645">
        <f t="shared" si="4"/>
        <v>0</v>
      </c>
      <c r="W33" s="645">
        <f t="shared" si="4"/>
        <v>0</v>
      </c>
      <c r="X33" s="645">
        <f t="shared" si="4"/>
        <v>0</v>
      </c>
      <c r="Y33" s="645">
        <f t="shared" si="4"/>
        <v>0</v>
      </c>
      <c r="Z33" s="645">
        <f t="shared" si="4"/>
        <v>0</v>
      </c>
      <c r="AA33" s="645">
        <f t="shared" si="4"/>
        <v>0</v>
      </c>
      <c r="AB33" s="645">
        <v>74</v>
      </c>
      <c r="AC33" s="645">
        <f t="shared" si="4"/>
        <v>50</v>
      </c>
      <c r="AD33" s="645">
        <f>SUM(AD34:AD35)</f>
        <v>46</v>
      </c>
      <c r="AE33" s="645">
        <f>SUM(AE34:AE35)</f>
        <v>30</v>
      </c>
      <c r="AF33" s="855">
        <f>SUM(T33:AE33)</f>
        <v>200</v>
      </c>
      <c r="AG33" s="856">
        <f>SUM(AG34:AG35)</f>
        <v>50</v>
      </c>
      <c r="AM33" s="132"/>
    </row>
    <row r="34" spans="1:40" customFormat="1" ht="23.25">
      <c r="A34" s="367" t="s">
        <v>351</v>
      </c>
      <c r="B34" s="371"/>
      <c r="C34" s="372"/>
      <c r="D34" s="372"/>
      <c r="E34" s="372"/>
      <c r="F34" s="372"/>
      <c r="G34" s="356"/>
      <c r="H34" s="372"/>
      <c r="I34" s="372"/>
      <c r="J34" s="368">
        <v>54</v>
      </c>
      <c r="K34" s="373">
        <v>34</v>
      </c>
      <c r="L34" s="368">
        <v>30</v>
      </c>
      <c r="M34" s="374">
        <v>45</v>
      </c>
      <c r="N34" s="375">
        <f t="shared" si="0"/>
        <v>163</v>
      </c>
      <c r="O34" s="376">
        <f t="shared" si="1"/>
        <v>40.75</v>
      </c>
      <c r="P34" s="377">
        <f t="shared" si="2"/>
        <v>5.8887283236994223</v>
      </c>
      <c r="Q34" s="363"/>
      <c r="R34" s="187"/>
      <c r="S34" s="646" t="s">
        <v>352</v>
      </c>
      <c r="T34" s="647"/>
      <c r="U34" s="648"/>
      <c r="V34" s="649"/>
      <c r="W34" s="650"/>
      <c r="X34" s="651"/>
      <c r="Y34" s="652"/>
      <c r="Z34" s="653"/>
      <c r="AA34" s="648"/>
      <c r="AB34" s="648">
        <v>46</v>
      </c>
      <c r="AC34" s="648">
        <v>40</v>
      </c>
      <c r="AD34" s="648">
        <v>28</v>
      </c>
      <c r="AE34" s="651">
        <v>20</v>
      </c>
      <c r="AF34" s="857">
        <f>SUM(T34:AE34)</f>
        <v>134</v>
      </c>
      <c r="AG34" s="858">
        <f>AVERAGE(T34:AE34)</f>
        <v>33.5</v>
      </c>
      <c r="AM34" s="132"/>
      <c r="AN34" s="132"/>
    </row>
    <row r="35" spans="1:40" customFormat="1" ht="24" thickBot="1">
      <c r="A35" s="367" t="s">
        <v>353</v>
      </c>
      <c r="B35" s="371"/>
      <c r="C35" s="372"/>
      <c r="D35" s="372"/>
      <c r="E35" s="372"/>
      <c r="F35" s="372"/>
      <c r="G35" s="356"/>
      <c r="H35" s="372"/>
      <c r="I35" s="372"/>
      <c r="J35" s="368">
        <v>2</v>
      </c>
      <c r="K35" s="373">
        <v>1</v>
      </c>
      <c r="L35" s="368">
        <v>2</v>
      </c>
      <c r="M35" s="374">
        <v>1</v>
      </c>
      <c r="N35" s="375">
        <f t="shared" si="0"/>
        <v>6</v>
      </c>
      <c r="O35" s="376">
        <f t="shared" si="1"/>
        <v>1.5</v>
      </c>
      <c r="P35" s="377">
        <f t="shared" si="2"/>
        <v>0.2167630057803468</v>
      </c>
      <c r="Q35" s="363"/>
      <c r="R35" s="187"/>
      <c r="S35" s="654" t="s">
        <v>343</v>
      </c>
      <c r="T35" s="655"/>
      <c r="U35" s="656"/>
      <c r="V35" s="656"/>
      <c r="W35" s="657"/>
      <c r="X35" s="658"/>
      <c r="Y35" s="659"/>
      <c r="Z35" s="660"/>
      <c r="AA35" s="656"/>
      <c r="AB35" s="656">
        <v>28</v>
      </c>
      <c r="AC35" s="656">
        <v>10</v>
      </c>
      <c r="AD35" s="656">
        <v>18</v>
      </c>
      <c r="AE35" s="658">
        <v>10</v>
      </c>
      <c r="AF35" s="859">
        <f>SUM(T35:AE35)</f>
        <v>66</v>
      </c>
      <c r="AG35" s="860">
        <f>AVERAGE(T35:AE35)</f>
        <v>16.5</v>
      </c>
      <c r="AM35" s="132"/>
      <c r="AN35" s="132"/>
    </row>
    <row r="36" spans="1:40" customFormat="1" ht="24" thickBot="1">
      <c r="A36" s="367" t="s">
        <v>354</v>
      </c>
      <c r="B36" s="371"/>
      <c r="C36" s="372"/>
      <c r="D36" s="372"/>
      <c r="E36" s="372"/>
      <c r="F36" s="372"/>
      <c r="G36" s="356"/>
      <c r="H36" s="372"/>
      <c r="I36" s="372"/>
      <c r="J36" s="368">
        <v>26</v>
      </c>
      <c r="K36" s="373">
        <v>12</v>
      </c>
      <c r="L36" s="368">
        <v>27</v>
      </c>
      <c r="M36" s="374">
        <v>14</v>
      </c>
      <c r="N36" s="375">
        <f t="shared" si="0"/>
        <v>79</v>
      </c>
      <c r="O36" s="376">
        <f t="shared" si="1"/>
        <v>19.75</v>
      </c>
      <c r="P36" s="377">
        <f t="shared" si="2"/>
        <v>2.8540462427745665</v>
      </c>
      <c r="Q36" s="2"/>
      <c r="R36" s="187"/>
      <c r="S36" s="400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2"/>
      <c r="AF36" s="840"/>
      <c r="AG36" s="845"/>
      <c r="AM36" s="132"/>
      <c r="AN36" s="132"/>
    </row>
    <row r="37" spans="1:40" customFormat="1" ht="24" thickBot="1">
      <c r="A37" s="367" t="s">
        <v>355</v>
      </c>
      <c r="B37" s="371"/>
      <c r="C37" s="372"/>
      <c r="D37" s="372"/>
      <c r="E37" s="372"/>
      <c r="F37" s="372"/>
      <c r="G37" s="356"/>
      <c r="H37" s="372"/>
      <c r="I37" s="372"/>
      <c r="J37" s="368">
        <v>17</v>
      </c>
      <c r="K37" s="373">
        <v>12</v>
      </c>
      <c r="L37" s="368">
        <v>14</v>
      </c>
      <c r="M37" s="374">
        <v>14</v>
      </c>
      <c r="N37" s="375">
        <f t="shared" si="0"/>
        <v>57</v>
      </c>
      <c r="O37" s="376">
        <f t="shared" si="1"/>
        <v>14.25</v>
      </c>
      <c r="P37" s="377">
        <f t="shared" si="2"/>
        <v>2.0592485549132946</v>
      </c>
      <c r="Q37" s="2"/>
      <c r="R37" s="187"/>
      <c r="S37" s="1091" t="s">
        <v>356</v>
      </c>
      <c r="T37" s="1091"/>
      <c r="U37" s="1091"/>
      <c r="V37" s="1091"/>
      <c r="W37" s="1091"/>
      <c r="X37" s="1091"/>
      <c r="Y37" s="1091"/>
      <c r="Z37" s="1091"/>
      <c r="AA37" s="1091"/>
      <c r="AB37" s="1091"/>
      <c r="AC37" s="1091"/>
      <c r="AD37" s="1091"/>
      <c r="AE37" s="1091"/>
      <c r="AF37" s="846"/>
      <c r="AG37" s="847"/>
      <c r="AM37" s="132"/>
      <c r="AN37" s="132"/>
    </row>
    <row r="38" spans="1:40" customFormat="1" ht="24" thickBot="1">
      <c r="A38" s="367" t="s">
        <v>357</v>
      </c>
      <c r="B38" s="371"/>
      <c r="C38" s="372"/>
      <c r="D38" s="372"/>
      <c r="E38" s="372"/>
      <c r="F38" s="372"/>
      <c r="G38" s="356"/>
      <c r="H38" s="372"/>
      <c r="I38" s="372"/>
      <c r="J38" s="368">
        <v>30</v>
      </c>
      <c r="K38" s="373">
        <v>5</v>
      </c>
      <c r="L38" s="368">
        <v>3</v>
      </c>
      <c r="M38" s="374">
        <v>3</v>
      </c>
      <c r="N38" s="375">
        <f t="shared" si="0"/>
        <v>41</v>
      </c>
      <c r="O38" s="376">
        <f t="shared" si="1"/>
        <v>10.25</v>
      </c>
      <c r="P38" s="377">
        <f t="shared" si="2"/>
        <v>1.4812138728323698</v>
      </c>
      <c r="Q38" s="2"/>
      <c r="R38" s="187"/>
      <c r="S38" s="404" t="s">
        <v>348</v>
      </c>
      <c r="T38" s="405"/>
      <c r="U38" s="406"/>
      <c r="V38" s="406"/>
      <c r="W38" s="406"/>
      <c r="X38" s="406"/>
      <c r="Y38" s="406"/>
      <c r="Z38" s="406"/>
      <c r="AA38" s="406"/>
      <c r="AB38" s="406">
        <v>82</v>
      </c>
      <c r="AC38" s="406">
        <v>43</v>
      </c>
      <c r="AD38" s="406">
        <v>25</v>
      </c>
      <c r="AE38" s="407">
        <v>32</v>
      </c>
      <c r="AF38" s="861">
        <f t="shared" ref="AF38:AF43" si="5">SUM(T38:AE38)</f>
        <v>182</v>
      </c>
      <c r="AG38" s="843">
        <f>AVERAGE(T38:AE38)</f>
        <v>45.5</v>
      </c>
      <c r="AM38" s="132"/>
      <c r="AN38" s="132"/>
    </row>
    <row r="39" spans="1:40" customFormat="1" ht="29.25" thickBot="1">
      <c r="A39" s="367" t="s">
        <v>358</v>
      </c>
      <c r="B39" s="371"/>
      <c r="C39" s="372"/>
      <c r="D39" s="372"/>
      <c r="E39" s="372"/>
      <c r="F39" s="372"/>
      <c r="G39" s="356"/>
      <c r="H39" s="372"/>
      <c r="I39" s="372"/>
      <c r="J39" s="368">
        <v>0</v>
      </c>
      <c r="K39" s="373">
        <v>0</v>
      </c>
      <c r="L39" s="368">
        <v>1</v>
      </c>
      <c r="M39" s="374">
        <v>0</v>
      </c>
      <c r="N39" s="375">
        <f t="shared" si="0"/>
        <v>1</v>
      </c>
      <c r="O39" s="376">
        <f t="shared" si="1"/>
        <v>0.25</v>
      </c>
      <c r="P39" s="377">
        <f t="shared" si="2"/>
        <v>3.6127167630057799E-2</v>
      </c>
      <c r="Q39" s="2"/>
      <c r="R39" s="187"/>
      <c r="S39" s="408" t="s">
        <v>359</v>
      </c>
      <c r="T39" s="409">
        <f t="shared" ref="T39:AC39" si="6">SUM(T40:T41)</f>
        <v>0</v>
      </c>
      <c r="U39" s="409">
        <f t="shared" si="6"/>
        <v>0</v>
      </c>
      <c r="V39" s="409">
        <f t="shared" si="6"/>
        <v>0</v>
      </c>
      <c r="W39" s="409">
        <f t="shared" si="6"/>
        <v>0</v>
      </c>
      <c r="X39" s="409">
        <f t="shared" si="6"/>
        <v>0</v>
      </c>
      <c r="Y39" s="409">
        <f t="shared" si="6"/>
        <v>0</v>
      </c>
      <c r="Z39" s="409">
        <f t="shared" si="6"/>
        <v>0</v>
      </c>
      <c r="AA39" s="409">
        <f t="shared" si="6"/>
        <v>0</v>
      </c>
      <c r="AB39" s="409">
        <f t="shared" si="6"/>
        <v>48</v>
      </c>
      <c r="AC39" s="409">
        <f t="shared" si="6"/>
        <v>38</v>
      </c>
      <c r="AD39" s="409">
        <f>SUM(AD40:AD41)</f>
        <v>20</v>
      </c>
      <c r="AE39" s="410">
        <f>SUM(AE40:AE41)</f>
        <v>46</v>
      </c>
      <c r="AF39" s="848">
        <f t="shared" si="5"/>
        <v>152</v>
      </c>
      <c r="AG39" s="843">
        <f>SUM(AG40:AG41)</f>
        <v>38</v>
      </c>
      <c r="AM39" s="132"/>
      <c r="AN39" s="132"/>
    </row>
    <row r="40" spans="1:40" customFormat="1" ht="23.25">
      <c r="A40" s="367" t="s">
        <v>360</v>
      </c>
      <c r="B40" s="371"/>
      <c r="C40" s="372"/>
      <c r="D40" s="372"/>
      <c r="E40" s="372"/>
      <c r="F40" s="372"/>
      <c r="G40" s="356"/>
      <c r="H40" s="372"/>
      <c r="I40" s="372"/>
      <c r="J40" s="368">
        <v>33</v>
      </c>
      <c r="K40" s="373">
        <v>40</v>
      </c>
      <c r="L40" s="368">
        <v>43</v>
      </c>
      <c r="M40" s="374">
        <v>48</v>
      </c>
      <c r="N40" s="375">
        <f t="shared" si="0"/>
        <v>164</v>
      </c>
      <c r="O40" s="376">
        <f t="shared" si="1"/>
        <v>41</v>
      </c>
      <c r="P40" s="377">
        <f t="shared" si="2"/>
        <v>5.9248554913294793</v>
      </c>
      <c r="Q40" s="363"/>
      <c r="R40" s="187"/>
      <c r="S40" s="411" t="s">
        <v>352</v>
      </c>
      <c r="T40" s="412"/>
      <c r="U40" s="413"/>
      <c r="V40" s="414"/>
      <c r="W40" s="413"/>
      <c r="X40" s="414"/>
      <c r="Y40" s="414"/>
      <c r="Z40" s="413"/>
      <c r="AA40" s="413"/>
      <c r="AB40" s="413">
        <v>15</v>
      </c>
      <c r="AC40" s="413">
        <v>19</v>
      </c>
      <c r="AD40" s="413">
        <v>10</v>
      </c>
      <c r="AE40" s="415">
        <v>28</v>
      </c>
      <c r="AF40" s="862">
        <f t="shared" si="5"/>
        <v>72</v>
      </c>
      <c r="AG40" s="863">
        <f>AVERAGE(T40:AE40)</f>
        <v>18</v>
      </c>
      <c r="AM40" s="132"/>
      <c r="AN40" s="132"/>
    </row>
    <row r="41" spans="1:40" customFormat="1" ht="15.75" thickBot="1">
      <c r="A41" s="367" t="s">
        <v>361</v>
      </c>
      <c r="B41" s="371"/>
      <c r="C41" s="372"/>
      <c r="D41" s="372"/>
      <c r="E41" s="372"/>
      <c r="F41" s="372"/>
      <c r="G41" s="356"/>
      <c r="H41" s="372"/>
      <c r="I41" s="372"/>
      <c r="J41" s="368">
        <v>0</v>
      </c>
      <c r="K41" s="373">
        <v>0</v>
      </c>
      <c r="L41" s="368">
        <v>0</v>
      </c>
      <c r="M41" s="374">
        <v>0</v>
      </c>
      <c r="N41" s="375">
        <f t="shared" si="0"/>
        <v>0</v>
      </c>
      <c r="O41" s="376">
        <f t="shared" si="1"/>
        <v>0</v>
      </c>
      <c r="P41" s="377">
        <f t="shared" si="2"/>
        <v>0</v>
      </c>
      <c r="Q41" s="2"/>
      <c r="R41" s="187"/>
      <c r="S41" s="416" t="s">
        <v>343</v>
      </c>
      <c r="T41" s="417"/>
      <c r="U41" s="414"/>
      <c r="V41" s="418"/>
      <c r="W41" s="414"/>
      <c r="X41" s="418"/>
      <c r="Y41" s="418"/>
      <c r="Z41" s="414"/>
      <c r="AA41" s="414"/>
      <c r="AB41" s="414">
        <v>33</v>
      </c>
      <c r="AC41" s="414">
        <v>19</v>
      </c>
      <c r="AD41" s="414">
        <v>10</v>
      </c>
      <c r="AE41" s="419">
        <v>18</v>
      </c>
      <c r="AF41" s="864">
        <f t="shared" si="5"/>
        <v>80</v>
      </c>
      <c r="AG41" s="865">
        <f>AVERAGE(T41:AE41)</f>
        <v>20</v>
      </c>
      <c r="AM41" s="132"/>
      <c r="AN41" s="132"/>
    </row>
    <row r="42" spans="1:40" customFormat="1" ht="24" thickBot="1">
      <c r="A42" s="367" t="s">
        <v>362</v>
      </c>
      <c r="B42" s="371"/>
      <c r="C42" s="372"/>
      <c r="D42" s="372"/>
      <c r="E42" s="372"/>
      <c r="F42" s="372"/>
      <c r="G42" s="356"/>
      <c r="H42" s="372"/>
      <c r="I42" s="372"/>
      <c r="J42" s="368">
        <v>7</v>
      </c>
      <c r="K42" s="373">
        <v>6</v>
      </c>
      <c r="L42" s="368">
        <v>4</v>
      </c>
      <c r="M42" s="374">
        <v>2</v>
      </c>
      <c r="N42" s="375">
        <f t="shared" si="0"/>
        <v>19</v>
      </c>
      <c r="O42" s="376">
        <f t="shared" si="1"/>
        <v>4.75</v>
      </c>
      <c r="P42" s="377">
        <f t="shared" si="2"/>
        <v>0.68641618497109824</v>
      </c>
      <c r="Q42" s="2"/>
      <c r="R42" s="187"/>
      <c r="S42" s="420" t="s">
        <v>363</v>
      </c>
      <c r="T42" s="405"/>
      <c r="U42" s="406"/>
      <c r="V42" s="406"/>
      <c r="W42" s="406"/>
      <c r="X42" s="406"/>
      <c r="Y42" s="406"/>
      <c r="Z42" s="406"/>
      <c r="AA42" s="406"/>
      <c r="AB42" s="406">
        <v>62</v>
      </c>
      <c r="AC42" s="406">
        <v>34</v>
      </c>
      <c r="AD42" s="406">
        <v>11</v>
      </c>
      <c r="AE42" s="407">
        <v>29</v>
      </c>
      <c r="AF42" s="861">
        <f t="shared" si="5"/>
        <v>136</v>
      </c>
      <c r="AG42" s="866">
        <f>AVERAGE(T42:AE42)</f>
        <v>34</v>
      </c>
      <c r="AM42" s="132"/>
      <c r="AN42" s="132"/>
    </row>
    <row r="43" spans="1:40" customFormat="1" ht="26.25" thickBot="1">
      <c r="A43" s="367" t="s">
        <v>364</v>
      </c>
      <c r="B43" s="371"/>
      <c r="C43" s="372"/>
      <c r="D43" s="372"/>
      <c r="E43" s="372"/>
      <c r="F43" s="372"/>
      <c r="G43" s="356"/>
      <c r="H43" s="372"/>
      <c r="I43" s="372"/>
      <c r="J43" s="368">
        <v>12</v>
      </c>
      <c r="K43" s="373">
        <v>13</v>
      </c>
      <c r="L43" s="368">
        <v>7</v>
      </c>
      <c r="M43" s="374">
        <v>11</v>
      </c>
      <c r="N43" s="375">
        <f t="shared" si="0"/>
        <v>43</v>
      </c>
      <c r="O43" s="376">
        <f t="shared" si="1"/>
        <v>10.75</v>
      </c>
      <c r="P43" s="377">
        <f t="shared" si="2"/>
        <v>1.5534682080924855</v>
      </c>
      <c r="Q43" s="2"/>
      <c r="R43" s="187"/>
      <c r="S43" s="421" t="s">
        <v>365</v>
      </c>
      <c r="T43" s="422"/>
      <c r="U43" s="423"/>
      <c r="V43" s="423"/>
      <c r="W43" s="423"/>
      <c r="X43" s="423"/>
      <c r="Y43" s="423"/>
      <c r="Z43" s="423"/>
      <c r="AA43" s="423"/>
      <c r="AB43" s="423">
        <v>4</v>
      </c>
      <c r="AC43" s="423">
        <v>11</v>
      </c>
      <c r="AD43" s="423">
        <v>4</v>
      </c>
      <c r="AE43" s="424">
        <v>4</v>
      </c>
      <c r="AF43" s="851">
        <f t="shared" si="5"/>
        <v>23</v>
      </c>
      <c r="AG43" s="843">
        <f>AVERAGE(T43:AE43)</f>
        <v>5.75</v>
      </c>
      <c r="AM43" s="132"/>
      <c r="AN43" s="132"/>
    </row>
    <row r="44" spans="1:40" customFormat="1" ht="34.5" thickBot="1">
      <c r="A44" s="403" t="s">
        <v>366</v>
      </c>
      <c r="B44" s="371"/>
      <c r="C44" s="372"/>
      <c r="D44" s="372"/>
      <c r="E44" s="372"/>
      <c r="F44" s="372"/>
      <c r="G44" s="356"/>
      <c r="H44" s="372"/>
      <c r="I44" s="372"/>
      <c r="J44" s="368">
        <v>27</v>
      </c>
      <c r="K44" s="373">
        <v>19</v>
      </c>
      <c r="L44" s="368">
        <v>23</v>
      </c>
      <c r="M44" s="374">
        <v>9</v>
      </c>
      <c r="N44" s="375">
        <f t="shared" si="0"/>
        <v>78</v>
      </c>
      <c r="O44" s="376">
        <f t="shared" si="1"/>
        <v>19.5</v>
      </c>
      <c r="P44" s="377">
        <f t="shared" si="2"/>
        <v>2.8179190751445087</v>
      </c>
      <c r="Q44" s="2"/>
      <c r="R44" s="187"/>
      <c r="S44" s="370"/>
      <c r="T44" s="425"/>
      <c r="U44" s="425"/>
      <c r="V44" s="425"/>
      <c r="W44" s="425"/>
      <c r="X44" s="425"/>
      <c r="Y44" s="425"/>
      <c r="Z44" s="425"/>
      <c r="AA44" s="425"/>
      <c r="AB44" s="425"/>
      <c r="AC44" s="425"/>
      <c r="AD44" s="425"/>
      <c r="AE44" s="426"/>
      <c r="AF44" s="846"/>
      <c r="AG44" s="841"/>
      <c r="AM44" s="132"/>
      <c r="AN44" s="132"/>
    </row>
    <row r="45" spans="1:40" customFormat="1" ht="24" thickBot="1">
      <c r="A45" s="367" t="s">
        <v>367</v>
      </c>
      <c r="B45" s="371"/>
      <c r="C45" s="372"/>
      <c r="D45" s="372"/>
      <c r="E45" s="372"/>
      <c r="F45" s="372"/>
      <c r="G45" s="356"/>
      <c r="H45" s="372"/>
      <c r="I45" s="372"/>
      <c r="J45" s="368">
        <v>25</v>
      </c>
      <c r="K45" s="373">
        <v>14</v>
      </c>
      <c r="L45" s="368">
        <v>13</v>
      </c>
      <c r="M45" s="374">
        <v>13</v>
      </c>
      <c r="N45" s="375">
        <f t="shared" si="0"/>
        <v>65</v>
      </c>
      <c r="O45" s="376">
        <f t="shared" si="1"/>
        <v>16.25</v>
      </c>
      <c r="P45" s="377">
        <f t="shared" si="2"/>
        <v>2.348265895953757</v>
      </c>
      <c r="Q45" s="2"/>
      <c r="R45" s="187"/>
      <c r="S45" s="1085" t="s">
        <v>368</v>
      </c>
      <c r="T45" s="1085"/>
      <c r="U45" s="1085"/>
      <c r="V45" s="1085"/>
      <c r="W45" s="1085"/>
      <c r="X45" s="1085"/>
      <c r="Y45" s="1085"/>
      <c r="Z45" s="1085"/>
      <c r="AA45" s="1085"/>
      <c r="AB45" s="1085"/>
      <c r="AC45" s="1085"/>
      <c r="AD45" s="1085"/>
      <c r="AE45" s="1085"/>
      <c r="AF45" s="867"/>
      <c r="AG45" s="868"/>
      <c r="AM45" s="132"/>
      <c r="AN45" s="132"/>
    </row>
    <row r="46" spans="1:40" customFormat="1" ht="35.25" thickBot="1">
      <c r="A46" s="367" t="s">
        <v>369</v>
      </c>
      <c r="B46" s="371"/>
      <c r="C46" s="372"/>
      <c r="D46" s="372"/>
      <c r="E46" s="372"/>
      <c r="F46" s="372"/>
      <c r="G46" s="356"/>
      <c r="H46" s="372"/>
      <c r="I46" s="372"/>
      <c r="J46" s="368">
        <v>8</v>
      </c>
      <c r="K46" s="373">
        <v>2</v>
      </c>
      <c r="L46" s="368">
        <v>0</v>
      </c>
      <c r="M46" s="374">
        <v>2</v>
      </c>
      <c r="N46" s="375">
        <f t="shared" si="0"/>
        <v>12</v>
      </c>
      <c r="O46" s="376">
        <f t="shared" si="1"/>
        <v>3</v>
      </c>
      <c r="P46" s="377">
        <f t="shared" si="2"/>
        <v>0.43352601156069359</v>
      </c>
      <c r="Q46" s="2"/>
      <c r="R46" s="187"/>
      <c r="S46" s="427" t="s">
        <v>348</v>
      </c>
      <c r="T46" s="428"/>
      <c r="U46" s="429"/>
      <c r="V46" s="429"/>
      <c r="W46" s="429"/>
      <c r="X46" s="429"/>
      <c r="Y46" s="429"/>
      <c r="Z46" s="429"/>
      <c r="AA46" s="429"/>
      <c r="AB46" s="429">
        <v>15</v>
      </c>
      <c r="AC46" s="429">
        <v>6</v>
      </c>
      <c r="AD46" s="429">
        <v>5</v>
      </c>
      <c r="AE46" s="430">
        <v>3</v>
      </c>
      <c r="AF46" s="869">
        <f>SUM(T46:AE46)</f>
        <v>29</v>
      </c>
      <c r="AG46" s="866">
        <f>AVERAGE(T46:AE46)</f>
        <v>7.25</v>
      </c>
      <c r="AM46" s="132"/>
      <c r="AN46" s="132"/>
    </row>
    <row r="47" spans="1:40" customFormat="1" ht="35.25" thickBot="1">
      <c r="A47" s="367" t="s">
        <v>370</v>
      </c>
      <c r="B47" s="371"/>
      <c r="C47" s="372"/>
      <c r="D47" s="372"/>
      <c r="E47" s="372"/>
      <c r="F47" s="372"/>
      <c r="G47" s="356"/>
      <c r="H47" s="372"/>
      <c r="I47" s="372"/>
      <c r="J47" s="368">
        <v>26</v>
      </c>
      <c r="K47" s="373">
        <v>7</v>
      </c>
      <c r="L47" s="368">
        <v>14</v>
      </c>
      <c r="M47" s="374">
        <v>4</v>
      </c>
      <c r="N47" s="375">
        <f t="shared" si="0"/>
        <v>51</v>
      </c>
      <c r="O47" s="376">
        <f t="shared" si="1"/>
        <v>12.75</v>
      </c>
      <c r="P47" s="377">
        <f t="shared" si="2"/>
        <v>1.8424855491329482</v>
      </c>
      <c r="Q47" s="2"/>
      <c r="R47" s="187"/>
      <c r="S47" s="431" t="s">
        <v>371</v>
      </c>
      <c r="T47" s="432">
        <f t="shared" ref="T47:AD47" si="7">SUM(T48:T49)</f>
        <v>0</v>
      </c>
      <c r="U47" s="432">
        <f t="shared" si="7"/>
        <v>0</v>
      </c>
      <c r="V47" s="432">
        <f t="shared" si="7"/>
        <v>0</v>
      </c>
      <c r="W47" s="432">
        <f t="shared" si="7"/>
        <v>0</v>
      </c>
      <c r="X47" s="432">
        <f t="shared" si="7"/>
        <v>0</v>
      </c>
      <c r="Y47" s="432">
        <f t="shared" si="7"/>
        <v>0</v>
      </c>
      <c r="Z47" s="432">
        <f t="shared" si="7"/>
        <v>0</v>
      </c>
      <c r="AA47" s="432">
        <f t="shared" si="7"/>
        <v>0</v>
      </c>
      <c r="AB47" s="432">
        <f t="shared" si="7"/>
        <v>3</v>
      </c>
      <c r="AC47" s="432">
        <f t="shared" si="7"/>
        <v>3</v>
      </c>
      <c r="AD47" s="432">
        <f t="shared" si="7"/>
        <v>12</v>
      </c>
      <c r="AE47" s="433">
        <f>SUM(AE48:AE49)</f>
        <v>3</v>
      </c>
      <c r="AF47" s="848">
        <f>SUM(T47:AE47)</f>
        <v>21</v>
      </c>
      <c r="AG47" s="843">
        <f>SUM(AG48:AG49)</f>
        <v>5.25</v>
      </c>
      <c r="AM47" s="132"/>
      <c r="AN47" s="132"/>
    </row>
    <row r="48" spans="1:40" customFormat="1" ht="23.25">
      <c r="A48" s="367" t="s">
        <v>372</v>
      </c>
      <c r="B48" s="371"/>
      <c r="C48" s="372"/>
      <c r="D48" s="372"/>
      <c r="E48" s="372"/>
      <c r="F48" s="372"/>
      <c r="G48" s="356"/>
      <c r="H48" s="372"/>
      <c r="I48" s="372"/>
      <c r="J48" s="368">
        <v>85</v>
      </c>
      <c r="K48" s="373">
        <v>32</v>
      </c>
      <c r="L48" s="368">
        <v>31</v>
      </c>
      <c r="M48" s="374">
        <v>29</v>
      </c>
      <c r="N48" s="375">
        <f t="shared" si="0"/>
        <v>177</v>
      </c>
      <c r="O48" s="376">
        <f t="shared" si="1"/>
        <v>44.25</v>
      </c>
      <c r="P48" s="377">
        <f t="shared" si="2"/>
        <v>6.3945086705202314</v>
      </c>
      <c r="Q48" s="2"/>
      <c r="R48" s="187"/>
      <c r="S48" s="434" t="s">
        <v>352</v>
      </c>
      <c r="T48" s="435"/>
      <c r="U48" s="436"/>
      <c r="V48" s="436"/>
      <c r="W48" s="436"/>
      <c r="X48" s="436"/>
      <c r="Y48" s="437"/>
      <c r="Z48" s="436"/>
      <c r="AA48" s="436"/>
      <c r="AB48" s="436">
        <v>3</v>
      </c>
      <c r="AC48" s="436">
        <v>0</v>
      </c>
      <c r="AD48" s="436">
        <v>0</v>
      </c>
      <c r="AE48" s="438">
        <v>3</v>
      </c>
      <c r="AF48" s="862">
        <f>SUM(T48:AE48)</f>
        <v>6</v>
      </c>
      <c r="AG48" s="863">
        <f>AVERAGE(T48:AE48)</f>
        <v>1.5</v>
      </c>
      <c r="AM48" s="132"/>
      <c r="AN48" s="132"/>
    </row>
    <row r="49" spans="1:55" ht="24" thickBot="1">
      <c r="A49" s="367" t="s">
        <v>373</v>
      </c>
      <c r="B49" s="371"/>
      <c r="C49" s="372"/>
      <c r="D49" s="372"/>
      <c r="E49" s="372"/>
      <c r="F49" s="372"/>
      <c r="G49" s="356"/>
      <c r="H49" s="372"/>
      <c r="I49" s="372"/>
      <c r="J49" s="368">
        <v>8</v>
      </c>
      <c r="K49" s="373">
        <v>7</v>
      </c>
      <c r="L49" s="368">
        <v>6</v>
      </c>
      <c r="M49" s="374">
        <v>16</v>
      </c>
      <c r="N49" s="375">
        <f t="shared" si="0"/>
        <v>37</v>
      </c>
      <c r="O49" s="376">
        <f t="shared" si="1"/>
        <v>9.25</v>
      </c>
      <c r="P49" s="377">
        <f t="shared" si="2"/>
        <v>1.3367052023121389</v>
      </c>
      <c r="Q49" s="2"/>
      <c r="R49" s="187"/>
      <c r="S49" s="439" t="s">
        <v>343</v>
      </c>
      <c r="T49" s="440"/>
      <c r="U49" s="441"/>
      <c r="V49" s="441"/>
      <c r="W49" s="441"/>
      <c r="X49" s="441"/>
      <c r="Y49" s="442"/>
      <c r="Z49" s="441"/>
      <c r="AA49" s="441"/>
      <c r="AB49" s="441">
        <v>0</v>
      </c>
      <c r="AC49" s="441">
        <v>3</v>
      </c>
      <c r="AD49" s="441">
        <v>12</v>
      </c>
      <c r="AE49" s="443">
        <v>0</v>
      </c>
      <c r="AF49" s="864">
        <f>SUM(T49:AE49)</f>
        <v>15</v>
      </c>
      <c r="AG49" s="865">
        <f>AVERAGE(T49:AE49)</f>
        <v>3.75</v>
      </c>
      <c r="AM49" s="132"/>
      <c r="AN49" s="132"/>
      <c r="BB49"/>
    </row>
    <row r="50" spans="1:55" ht="23.25">
      <c r="A50" s="367" t="s">
        <v>374</v>
      </c>
      <c r="B50" s="371"/>
      <c r="C50" s="372"/>
      <c r="D50" s="372"/>
      <c r="E50" s="372"/>
      <c r="F50" s="372"/>
      <c r="G50" s="356"/>
      <c r="H50" s="372"/>
      <c r="I50" s="372"/>
      <c r="J50" s="368">
        <v>11</v>
      </c>
      <c r="K50" s="373">
        <v>1</v>
      </c>
      <c r="L50" s="368">
        <v>0</v>
      </c>
      <c r="M50" s="374">
        <v>0</v>
      </c>
      <c r="N50" s="375">
        <f t="shared" si="0"/>
        <v>12</v>
      </c>
      <c r="O50" s="376">
        <f t="shared" si="1"/>
        <v>3</v>
      </c>
      <c r="P50" s="377">
        <f t="shared" si="2"/>
        <v>0.43352601156069359</v>
      </c>
      <c r="Q50" s="2"/>
      <c r="R50" s="187"/>
      <c r="BC50" s="132"/>
    </row>
    <row r="51" spans="1:55" ht="23.25">
      <c r="A51" s="367" t="s">
        <v>375</v>
      </c>
      <c r="B51" s="371"/>
      <c r="C51" s="372"/>
      <c r="D51" s="372"/>
      <c r="E51" s="372"/>
      <c r="F51" s="372"/>
      <c r="G51" s="356"/>
      <c r="H51" s="372"/>
      <c r="I51" s="372"/>
      <c r="J51" s="368">
        <v>5</v>
      </c>
      <c r="K51" s="373">
        <v>2</v>
      </c>
      <c r="L51" s="368">
        <v>3</v>
      </c>
      <c r="M51" s="374">
        <v>1</v>
      </c>
      <c r="N51" s="375">
        <f t="shared" si="0"/>
        <v>11</v>
      </c>
      <c r="O51" s="376">
        <f t="shared" si="1"/>
        <v>2.75</v>
      </c>
      <c r="P51" s="377">
        <f t="shared" si="2"/>
        <v>0.39739884393063579</v>
      </c>
      <c r="Q51" s="2"/>
      <c r="R51" s="187"/>
      <c r="BC51" s="132"/>
    </row>
    <row r="52" spans="1:55" ht="22.5">
      <c r="A52" s="399" t="s">
        <v>376</v>
      </c>
      <c r="B52" s="371"/>
      <c r="C52" s="372"/>
      <c r="D52" s="372"/>
      <c r="E52" s="372"/>
      <c r="F52" s="372"/>
      <c r="G52" s="356"/>
      <c r="H52" s="372"/>
      <c r="I52" s="372"/>
      <c r="J52" s="368">
        <v>0</v>
      </c>
      <c r="K52" s="373">
        <v>0</v>
      </c>
      <c r="L52" s="368">
        <v>1</v>
      </c>
      <c r="M52" s="374">
        <v>0</v>
      </c>
      <c r="N52" s="375">
        <f t="shared" si="0"/>
        <v>1</v>
      </c>
      <c r="O52" s="376">
        <f t="shared" si="1"/>
        <v>0.25</v>
      </c>
      <c r="P52" s="377">
        <f t="shared" si="2"/>
        <v>3.6127167630057799E-2</v>
      </c>
      <c r="Q52" s="363"/>
      <c r="R52" s="187"/>
      <c r="S52" s="187"/>
      <c r="AH52" s="90"/>
    </row>
    <row r="53" spans="1:55" ht="23.25">
      <c r="A53" s="367" t="s">
        <v>377</v>
      </c>
      <c r="B53" s="371"/>
      <c r="C53" s="372"/>
      <c r="D53" s="372"/>
      <c r="E53" s="372"/>
      <c r="F53" s="372"/>
      <c r="G53" s="356"/>
      <c r="H53" s="372"/>
      <c r="I53" s="372"/>
      <c r="J53" s="368">
        <v>158</v>
      </c>
      <c r="K53" s="373">
        <v>113</v>
      </c>
      <c r="L53" s="368">
        <v>116</v>
      </c>
      <c r="M53" s="374">
        <v>82</v>
      </c>
      <c r="N53" s="375">
        <f t="shared" si="0"/>
        <v>469</v>
      </c>
      <c r="O53" s="376">
        <f t="shared" si="1"/>
        <v>117.25</v>
      </c>
      <c r="P53" s="377">
        <f t="shared" si="2"/>
        <v>16.943641618497111</v>
      </c>
      <c r="Q53" s="2"/>
      <c r="R53" s="187"/>
      <c r="S53" s="187"/>
    </row>
    <row r="54" spans="1:55" ht="23.25">
      <c r="A54" s="367" t="s">
        <v>378</v>
      </c>
      <c r="B54" s="371"/>
      <c r="C54" s="372"/>
      <c r="D54" s="372"/>
      <c r="E54" s="372"/>
      <c r="F54" s="372"/>
      <c r="G54" s="356"/>
      <c r="H54" s="372"/>
      <c r="I54" s="372"/>
      <c r="J54" s="368">
        <v>10</v>
      </c>
      <c r="K54" s="373">
        <v>11</v>
      </c>
      <c r="L54" s="368">
        <v>10</v>
      </c>
      <c r="M54" s="374">
        <v>6</v>
      </c>
      <c r="N54" s="375">
        <f t="shared" ref="N54:N85" si="8">SUM(B54:M54)</f>
        <v>37</v>
      </c>
      <c r="O54" s="376">
        <f t="shared" ref="O54:O85" si="9">AVERAGE(B54:M54)</f>
        <v>9.25</v>
      </c>
      <c r="P54" s="377">
        <f t="shared" si="2"/>
        <v>1.3367052023121389</v>
      </c>
      <c r="Q54" s="2"/>
      <c r="R54" s="187"/>
      <c r="S54" s="187"/>
    </row>
    <row r="55" spans="1:55" ht="23.25">
      <c r="A55" s="367" t="s">
        <v>379</v>
      </c>
      <c r="B55" s="371"/>
      <c r="C55" s="372"/>
      <c r="D55" s="372"/>
      <c r="E55" s="372"/>
      <c r="F55" s="372"/>
      <c r="G55" s="356"/>
      <c r="H55" s="372"/>
      <c r="I55" s="372"/>
      <c r="J55" s="368">
        <v>45</v>
      </c>
      <c r="K55" s="373">
        <v>28</v>
      </c>
      <c r="L55" s="368">
        <v>60</v>
      </c>
      <c r="M55" s="374">
        <v>23</v>
      </c>
      <c r="N55" s="375">
        <f t="shared" si="8"/>
        <v>156</v>
      </c>
      <c r="O55" s="376">
        <f t="shared" si="9"/>
        <v>39</v>
      </c>
      <c r="P55" s="377">
        <f t="shared" si="2"/>
        <v>5.6358381502890174</v>
      </c>
      <c r="Q55" s="2"/>
      <c r="R55" s="187"/>
      <c r="S55" s="187"/>
    </row>
    <row r="56" spans="1:55" ht="23.25">
      <c r="A56" s="367" t="s">
        <v>487</v>
      </c>
      <c r="B56" s="371"/>
      <c r="C56" s="372"/>
      <c r="D56" s="372"/>
      <c r="E56" s="372"/>
      <c r="F56" s="372"/>
      <c r="G56" s="356"/>
      <c r="H56" s="372"/>
      <c r="I56" s="372"/>
      <c r="J56" s="368">
        <v>18</v>
      </c>
      <c r="K56" s="373">
        <v>11</v>
      </c>
      <c r="L56" s="368">
        <v>18</v>
      </c>
      <c r="M56" s="374">
        <v>11</v>
      </c>
      <c r="N56" s="375">
        <f t="shared" si="8"/>
        <v>58</v>
      </c>
      <c r="O56" s="376">
        <f t="shared" si="9"/>
        <v>14.5</v>
      </c>
      <c r="P56" s="377">
        <f t="shared" ref="P56:P87" si="10">(N56/$N$100)*100</f>
        <v>2.0953757225433525</v>
      </c>
      <c r="Q56" s="363"/>
      <c r="R56" s="187"/>
      <c r="S56" s="187"/>
    </row>
    <row r="57" spans="1:55" ht="23.25">
      <c r="A57" s="444" t="s">
        <v>380</v>
      </c>
      <c r="B57" s="371"/>
      <c r="C57" s="372"/>
      <c r="D57" s="372"/>
      <c r="E57" s="372"/>
      <c r="F57" s="372"/>
      <c r="G57" s="356"/>
      <c r="H57" s="372"/>
      <c r="I57" s="372"/>
      <c r="J57" s="368">
        <v>3</v>
      </c>
      <c r="K57" s="373">
        <v>1</v>
      </c>
      <c r="L57" s="368">
        <v>3</v>
      </c>
      <c r="M57" s="374">
        <v>0</v>
      </c>
      <c r="N57" s="375">
        <f t="shared" si="8"/>
        <v>7</v>
      </c>
      <c r="O57" s="376">
        <f t="shared" si="9"/>
        <v>1.75</v>
      </c>
      <c r="P57" s="377">
        <f t="shared" si="10"/>
        <v>0.25289017341040465</v>
      </c>
      <c r="Q57" s="363"/>
      <c r="R57" s="187"/>
      <c r="S57" s="187"/>
    </row>
    <row r="58" spans="1:55" ht="23.25">
      <c r="A58" s="367" t="s">
        <v>381</v>
      </c>
      <c r="B58" s="371"/>
      <c r="C58" s="372"/>
      <c r="D58" s="372"/>
      <c r="E58" s="372"/>
      <c r="F58" s="372"/>
      <c r="G58" s="356"/>
      <c r="H58" s="372"/>
      <c r="I58" s="372"/>
      <c r="J58" s="368">
        <v>22</v>
      </c>
      <c r="K58" s="373">
        <v>24</v>
      </c>
      <c r="L58" s="368">
        <v>20</v>
      </c>
      <c r="M58" s="374">
        <v>24</v>
      </c>
      <c r="N58" s="375">
        <f t="shared" si="8"/>
        <v>90</v>
      </c>
      <c r="O58" s="376">
        <f t="shared" si="9"/>
        <v>22.5</v>
      </c>
      <c r="P58" s="377">
        <f t="shared" si="10"/>
        <v>3.251445086705202</v>
      </c>
      <c r="Q58" s="363"/>
      <c r="R58" s="187"/>
      <c r="S58" s="187"/>
    </row>
    <row r="59" spans="1:55" ht="23.25">
      <c r="A59" s="367" t="s">
        <v>382</v>
      </c>
      <c r="B59" s="371"/>
      <c r="C59" s="372"/>
      <c r="D59" s="372"/>
      <c r="E59" s="372"/>
      <c r="F59" s="372"/>
      <c r="G59" s="356"/>
      <c r="H59" s="372"/>
      <c r="I59" s="372"/>
      <c r="J59" s="368">
        <v>1</v>
      </c>
      <c r="K59" s="373">
        <v>3</v>
      </c>
      <c r="L59" s="368">
        <v>1</v>
      </c>
      <c r="M59" s="374">
        <v>1</v>
      </c>
      <c r="N59" s="375">
        <f t="shared" si="8"/>
        <v>6</v>
      </c>
      <c r="O59" s="376">
        <f t="shared" si="9"/>
        <v>1.5</v>
      </c>
      <c r="P59" s="377">
        <f t="shared" si="10"/>
        <v>0.2167630057803468</v>
      </c>
      <c r="Q59" s="363"/>
      <c r="R59" s="187"/>
      <c r="S59" s="187"/>
    </row>
    <row r="60" spans="1:55">
      <c r="A60" s="367" t="s">
        <v>383</v>
      </c>
      <c r="B60" s="371"/>
      <c r="C60" s="372"/>
      <c r="D60" s="372"/>
      <c r="E60" s="372"/>
      <c r="F60" s="372"/>
      <c r="G60" s="356"/>
      <c r="H60" s="372"/>
      <c r="I60" s="372"/>
      <c r="J60" s="368">
        <v>7</v>
      </c>
      <c r="K60" s="373">
        <v>9</v>
      </c>
      <c r="L60" s="368">
        <v>7</v>
      </c>
      <c r="M60" s="374">
        <v>9</v>
      </c>
      <c r="N60" s="375">
        <f t="shared" si="8"/>
        <v>32</v>
      </c>
      <c r="O60" s="376">
        <f t="shared" si="9"/>
        <v>8</v>
      </c>
      <c r="P60" s="377">
        <f t="shared" si="10"/>
        <v>1.1560693641618496</v>
      </c>
      <c r="Q60" s="363"/>
      <c r="R60" s="187"/>
      <c r="S60" s="187"/>
    </row>
    <row r="61" spans="1:55">
      <c r="A61" s="445" t="s">
        <v>384</v>
      </c>
      <c r="B61" s="371"/>
      <c r="C61" s="372"/>
      <c r="D61" s="372"/>
      <c r="E61" s="372"/>
      <c r="F61" s="372"/>
      <c r="G61" s="356"/>
      <c r="H61" s="372"/>
      <c r="I61" s="372"/>
      <c r="J61" s="368">
        <v>2</v>
      </c>
      <c r="K61" s="373">
        <v>0</v>
      </c>
      <c r="L61" s="368">
        <v>0</v>
      </c>
      <c r="M61" s="374">
        <v>3</v>
      </c>
      <c r="N61" s="375">
        <f t="shared" si="8"/>
        <v>5</v>
      </c>
      <c r="O61" s="376">
        <f t="shared" si="9"/>
        <v>1.25</v>
      </c>
      <c r="P61" s="377">
        <f t="shared" si="10"/>
        <v>0.18063583815028902</v>
      </c>
      <c r="Q61" s="2"/>
      <c r="R61" s="187"/>
      <c r="S61" s="187"/>
      <c r="AL61" s="446"/>
    </row>
    <row r="62" spans="1:55" ht="34.5">
      <c r="A62" s="444" t="s">
        <v>385</v>
      </c>
      <c r="B62" s="371"/>
      <c r="C62" s="372"/>
      <c r="D62" s="372"/>
      <c r="E62" s="372"/>
      <c r="F62" s="372"/>
      <c r="G62" s="356"/>
      <c r="H62" s="372"/>
      <c r="I62" s="372"/>
      <c r="J62" s="368">
        <v>18</v>
      </c>
      <c r="K62" s="373">
        <v>14</v>
      </c>
      <c r="L62" s="368">
        <v>14</v>
      </c>
      <c r="M62" s="374">
        <v>5</v>
      </c>
      <c r="N62" s="375">
        <f t="shared" si="8"/>
        <v>51</v>
      </c>
      <c r="O62" s="376">
        <f t="shared" si="9"/>
        <v>12.75</v>
      </c>
      <c r="P62" s="377">
        <f t="shared" si="10"/>
        <v>1.8424855491329482</v>
      </c>
      <c r="Q62" s="2"/>
      <c r="R62" s="187"/>
      <c r="S62" s="187"/>
    </row>
    <row r="63" spans="1:55" ht="23.25">
      <c r="A63" s="444" t="s">
        <v>386</v>
      </c>
      <c r="B63" s="371"/>
      <c r="C63" s="372"/>
      <c r="D63" s="372"/>
      <c r="E63" s="372"/>
      <c r="F63" s="372"/>
      <c r="G63" s="356"/>
      <c r="H63" s="372"/>
      <c r="I63" s="372"/>
      <c r="J63" s="368">
        <v>3</v>
      </c>
      <c r="K63" s="373">
        <v>3</v>
      </c>
      <c r="L63" s="368">
        <v>2</v>
      </c>
      <c r="M63" s="374">
        <v>0</v>
      </c>
      <c r="N63" s="375">
        <f t="shared" si="8"/>
        <v>8</v>
      </c>
      <c r="O63" s="376">
        <f t="shared" si="9"/>
        <v>2</v>
      </c>
      <c r="P63" s="377">
        <f t="shared" si="10"/>
        <v>0.28901734104046239</v>
      </c>
      <c r="Q63" s="363"/>
      <c r="R63" s="187"/>
      <c r="S63" s="187"/>
    </row>
    <row r="64" spans="1:55" ht="34.5">
      <c r="A64" s="444" t="s">
        <v>387</v>
      </c>
      <c r="B64" s="371"/>
      <c r="C64" s="372"/>
      <c r="D64" s="372"/>
      <c r="E64" s="372"/>
      <c r="F64" s="372"/>
      <c r="G64" s="356"/>
      <c r="H64" s="372"/>
      <c r="I64" s="372"/>
      <c r="J64" s="368">
        <v>3</v>
      </c>
      <c r="K64" s="373">
        <v>2</v>
      </c>
      <c r="L64" s="368">
        <v>0</v>
      </c>
      <c r="M64" s="374">
        <v>1</v>
      </c>
      <c r="N64" s="375">
        <f t="shared" si="8"/>
        <v>6</v>
      </c>
      <c r="O64" s="376">
        <f t="shared" si="9"/>
        <v>1.5</v>
      </c>
      <c r="P64" s="377">
        <f t="shared" si="10"/>
        <v>0.2167630057803468</v>
      </c>
      <c r="Q64" s="363"/>
      <c r="R64" s="187"/>
      <c r="S64" s="187"/>
    </row>
    <row r="65" spans="1:38" ht="24.95" customHeight="1">
      <c r="A65" s="399" t="s">
        <v>388</v>
      </c>
      <c r="B65" s="371"/>
      <c r="C65" s="372"/>
      <c r="D65" s="372"/>
      <c r="E65" s="372"/>
      <c r="F65" s="372"/>
      <c r="G65" s="356"/>
      <c r="H65" s="372"/>
      <c r="I65" s="372"/>
      <c r="J65" s="368">
        <v>0</v>
      </c>
      <c r="K65" s="369">
        <v>0</v>
      </c>
      <c r="L65" s="368">
        <v>0</v>
      </c>
      <c r="M65" s="374">
        <v>0</v>
      </c>
      <c r="N65" s="375">
        <f t="shared" si="8"/>
        <v>0</v>
      </c>
      <c r="O65" s="376">
        <f t="shared" si="9"/>
        <v>0</v>
      </c>
      <c r="P65" s="377">
        <f t="shared" si="10"/>
        <v>0</v>
      </c>
      <c r="Q65" s="363"/>
      <c r="R65" s="187"/>
      <c r="S65" s="187"/>
    </row>
    <row r="66" spans="1:38" ht="24.95" customHeight="1">
      <c r="A66" s="367" t="s">
        <v>389</v>
      </c>
      <c r="B66" s="371"/>
      <c r="C66" s="372"/>
      <c r="D66" s="372"/>
      <c r="E66" s="372"/>
      <c r="F66" s="372"/>
      <c r="G66" s="356"/>
      <c r="H66" s="372"/>
      <c r="I66" s="372"/>
      <c r="J66" s="368">
        <v>3</v>
      </c>
      <c r="K66" s="373">
        <v>3</v>
      </c>
      <c r="L66" s="368">
        <v>3</v>
      </c>
      <c r="M66" s="374">
        <v>0</v>
      </c>
      <c r="N66" s="375">
        <f t="shared" si="8"/>
        <v>9</v>
      </c>
      <c r="O66" s="376">
        <f t="shared" si="9"/>
        <v>2.25</v>
      </c>
      <c r="P66" s="377">
        <f t="shared" si="10"/>
        <v>0.32514450867052025</v>
      </c>
      <c r="Q66" s="363"/>
      <c r="R66" s="187"/>
      <c r="S66" s="187"/>
    </row>
    <row r="67" spans="1:38" ht="24.95" customHeight="1">
      <c r="A67" s="367" t="s">
        <v>390</v>
      </c>
      <c r="B67" s="371"/>
      <c r="C67" s="372"/>
      <c r="D67" s="372"/>
      <c r="E67" s="372"/>
      <c r="F67" s="372"/>
      <c r="G67" s="356"/>
      <c r="H67" s="372"/>
      <c r="I67" s="372"/>
      <c r="J67" s="368">
        <v>4</v>
      </c>
      <c r="K67" s="373">
        <v>0</v>
      </c>
      <c r="L67" s="368">
        <v>3</v>
      </c>
      <c r="M67" s="374">
        <v>1</v>
      </c>
      <c r="N67" s="375">
        <f t="shared" si="8"/>
        <v>8</v>
      </c>
      <c r="O67" s="376">
        <f t="shared" si="9"/>
        <v>2</v>
      </c>
      <c r="P67" s="377">
        <f t="shared" si="10"/>
        <v>0.28901734104046239</v>
      </c>
      <c r="Q67" s="2"/>
      <c r="R67" s="187"/>
      <c r="S67" s="187"/>
      <c r="AL67" s="86"/>
    </row>
    <row r="68" spans="1:38" ht="24.95" customHeight="1">
      <c r="A68" s="367" t="s">
        <v>246</v>
      </c>
      <c r="B68" s="371"/>
      <c r="C68" s="372"/>
      <c r="D68" s="372"/>
      <c r="E68" s="372"/>
      <c r="F68" s="372"/>
      <c r="G68" s="356"/>
      <c r="H68" s="372"/>
      <c r="I68" s="372"/>
      <c r="J68" s="368">
        <v>16</v>
      </c>
      <c r="K68" s="373">
        <v>13</v>
      </c>
      <c r="L68" s="368">
        <v>14</v>
      </c>
      <c r="M68" s="374">
        <v>5</v>
      </c>
      <c r="N68" s="375">
        <f t="shared" si="8"/>
        <v>48</v>
      </c>
      <c r="O68" s="376">
        <f t="shared" si="9"/>
        <v>12</v>
      </c>
      <c r="P68" s="377">
        <f t="shared" si="10"/>
        <v>1.7341040462427744</v>
      </c>
      <c r="Q68" s="2"/>
      <c r="R68" s="187"/>
      <c r="S68" s="187"/>
      <c r="AL68" s="86"/>
    </row>
    <row r="69" spans="1:38" ht="24.95" customHeight="1">
      <c r="A69" s="367" t="s">
        <v>247</v>
      </c>
      <c r="B69" s="371"/>
      <c r="C69" s="372"/>
      <c r="D69" s="372"/>
      <c r="E69" s="372"/>
      <c r="F69" s="372"/>
      <c r="G69" s="356"/>
      <c r="H69" s="372"/>
      <c r="I69" s="372"/>
      <c r="J69" s="368">
        <v>2</v>
      </c>
      <c r="K69" s="373">
        <v>4</v>
      </c>
      <c r="L69" s="368">
        <v>2</v>
      </c>
      <c r="M69" s="374">
        <v>0</v>
      </c>
      <c r="N69" s="375">
        <f t="shared" si="8"/>
        <v>8</v>
      </c>
      <c r="O69" s="376">
        <f t="shared" si="9"/>
        <v>2</v>
      </c>
      <c r="P69" s="377">
        <f t="shared" si="10"/>
        <v>0.28901734104046239</v>
      </c>
      <c r="Q69" s="2"/>
      <c r="R69" s="187"/>
      <c r="S69" s="187"/>
      <c r="AL69" s="86"/>
    </row>
    <row r="70" spans="1:38" ht="24.95" customHeight="1">
      <c r="A70" s="367" t="s">
        <v>248</v>
      </c>
      <c r="B70" s="371"/>
      <c r="C70" s="372"/>
      <c r="D70" s="372"/>
      <c r="E70" s="372"/>
      <c r="F70" s="372"/>
      <c r="G70" s="356"/>
      <c r="H70" s="372"/>
      <c r="I70" s="372"/>
      <c r="J70" s="368">
        <v>0</v>
      </c>
      <c r="K70" s="373">
        <v>4</v>
      </c>
      <c r="L70" s="368">
        <v>2</v>
      </c>
      <c r="M70" s="374">
        <v>1</v>
      </c>
      <c r="N70" s="375">
        <f t="shared" si="8"/>
        <v>7</v>
      </c>
      <c r="O70" s="376">
        <f t="shared" si="9"/>
        <v>1.75</v>
      </c>
      <c r="P70" s="377">
        <f t="shared" si="10"/>
        <v>0.25289017341040465</v>
      </c>
      <c r="Q70" s="2"/>
      <c r="R70" s="187"/>
      <c r="S70" s="187"/>
      <c r="AL70" s="86"/>
    </row>
    <row r="71" spans="1:38" ht="24.95" customHeight="1">
      <c r="A71" s="367" t="s">
        <v>391</v>
      </c>
      <c r="B71" s="371"/>
      <c r="C71" s="372"/>
      <c r="D71" s="372"/>
      <c r="E71" s="372"/>
      <c r="F71" s="372"/>
      <c r="G71" s="356"/>
      <c r="H71" s="372"/>
      <c r="I71" s="372"/>
      <c r="J71" s="368">
        <v>1</v>
      </c>
      <c r="K71" s="373">
        <v>0</v>
      </c>
      <c r="L71" s="368">
        <v>5</v>
      </c>
      <c r="M71" s="374">
        <v>2</v>
      </c>
      <c r="N71" s="375">
        <f t="shared" si="8"/>
        <v>8</v>
      </c>
      <c r="O71" s="376">
        <f t="shared" si="9"/>
        <v>2</v>
      </c>
      <c r="P71" s="377">
        <f t="shared" si="10"/>
        <v>0.28901734104046239</v>
      </c>
      <c r="Q71" s="2"/>
      <c r="R71" s="187"/>
      <c r="S71" s="187"/>
      <c r="AL71" s="86"/>
    </row>
    <row r="72" spans="1:38" ht="24.95" customHeight="1">
      <c r="A72" s="367" t="s">
        <v>250</v>
      </c>
      <c r="B72" s="371"/>
      <c r="C72" s="372"/>
      <c r="D72" s="372"/>
      <c r="E72" s="372"/>
      <c r="F72" s="372"/>
      <c r="G72" s="356"/>
      <c r="H72" s="372"/>
      <c r="I72" s="372"/>
      <c r="J72" s="368">
        <v>0</v>
      </c>
      <c r="K72" s="373">
        <v>0</v>
      </c>
      <c r="L72" s="368">
        <v>5</v>
      </c>
      <c r="M72" s="374">
        <v>0</v>
      </c>
      <c r="N72" s="375">
        <f t="shared" si="8"/>
        <v>5</v>
      </c>
      <c r="O72" s="376">
        <f t="shared" si="9"/>
        <v>1.25</v>
      </c>
      <c r="P72" s="377">
        <f t="shared" si="10"/>
        <v>0.18063583815028902</v>
      </c>
      <c r="Q72" s="2"/>
      <c r="R72" s="187"/>
      <c r="S72" s="187"/>
    </row>
    <row r="73" spans="1:38" ht="24.95" customHeight="1">
      <c r="A73" s="367" t="s">
        <v>251</v>
      </c>
      <c r="B73" s="371"/>
      <c r="C73" s="372"/>
      <c r="D73" s="372"/>
      <c r="E73" s="372"/>
      <c r="F73" s="372"/>
      <c r="G73" s="356"/>
      <c r="H73" s="372"/>
      <c r="I73" s="372"/>
      <c r="J73" s="368">
        <v>0</v>
      </c>
      <c r="K73" s="373">
        <v>1</v>
      </c>
      <c r="L73" s="368">
        <v>1</v>
      </c>
      <c r="M73" s="374">
        <v>2</v>
      </c>
      <c r="N73" s="375">
        <f t="shared" si="8"/>
        <v>4</v>
      </c>
      <c r="O73" s="376">
        <f t="shared" si="9"/>
        <v>1</v>
      </c>
      <c r="P73" s="377">
        <f t="shared" si="10"/>
        <v>0.1445086705202312</v>
      </c>
      <c r="Q73" s="2"/>
      <c r="R73" s="187"/>
      <c r="S73" s="187"/>
    </row>
    <row r="74" spans="1:38" ht="24.95" customHeight="1">
      <c r="A74" s="367" t="s">
        <v>252</v>
      </c>
      <c r="B74" s="371"/>
      <c r="C74" s="372"/>
      <c r="D74" s="372"/>
      <c r="E74" s="372"/>
      <c r="F74" s="372"/>
      <c r="G74" s="356"/>
      <c r="H74" s="372"/>
      <c r="I74" s="372"/>
      <c r="J74" s="368">
        <v>4</v>
      </c>
      <c r="K74" s="373">
        <v>6</v>
      </c>
      <c r="L74" s="368">
        <v>3</v>
      </c>
      <c r="M74" s="374">
        <v>2</v>
      </c>
      <c r="N74" s="375">
        <f t="shared" si="8"/>
        <v>15</v>
      </c>
      <c r="O74" s="376">
        <f t="shared" si="9"/>
        <v>3.75</v>
      </c>
      <c r="P74" s="377">
        <f t="shared" si="10"/>
        <v>0.54190751445086704</v>
      </c>
      <c r="Q74" s="2"/>
      <c r="R74" s="187"/>
      <c r="S74" s="187"/>
    </row>
    <row r="75" spans="1:38" ht="24.95" customHeight="1">
      <c r="A75" s="367" t="s">
        <v>392</v>
      </c>
      <c r="B75" s="371"/>
      <c r="C75" s="372"/>
      <c r="D75" s="372"/>
      <c r="E75" s="372"/>
      <c r="F75" s="372"/>
      <c r="G75" s="356"/>
      <c r="H75" s="372"/>
      <c r="I75" s="372"/>
      <c r="J75" s="368">
        <v>0</v>
      </c>
      <c r="K75" s="373">
        <v>1</v>
      </c>
      <c r="L75" s="368">
        <v>2</v>
      </c>
      <c r="M75" s="374">
        <v>1</v>
      </c>
      <c r="N75" s="375">
        <f t="shared" si="8"/>
        <v>4</v>
      </c>
      <c r="O75" s="376">
        <f t="shared" si="9"/>
        <v>1</v>
      </c>
      <c r="P75" s="377">
        <f t="shared" si="10"/>
        <v>0.1445086705202312</v>
      </c>
      <c r="Q75" s="2"/>
      <c r="R75" s="187"/>
      <c r="S75" s="187"/>
    </row>
    <row r="76" spans="1:38" ht="24.95" customHeight="1">
      <c r="A76" s="367" t="s">
        <v>254</v>
      </c>
      <c r="B76" s="371"/>
      <c r="C76" s="372"/>
      <c r="D76" s="372"/>
      <c r="E76" s="372"/>
      <c r="F76" s="372"/>
      <c r="G76" s="356"/>
      <c r="H76" s="372"/>
      <c r="I76" s="372"/>
      <c r="J76" s="368">
        <v>1</v>
      </c>
      <c r="K76" s="373">
        <v>0</v>
      </c>
      <c r="L76" s="368">
        <v>1</v>
      </c>
      <c r="M76" s="374">
        <v>0</v>
      </c>
      <c r="N76" s="375">
        <f t="shared" si="8"/>
        <v>2</v>
      </c>
      <c r="O76" s="376">
        <f t="shared" si="9"/>
        <v>0.5</v>
      </c>
      <c r="P76" s="377">
        <f t="shared" si="10"/>
        <v>7.2254335260115599E-2</v>
      </c>
      <c r="Q76" s="2"/>
      <c r="R76" s="187"/>
      <c r="S76" s="187"/>
    </row>
    <row r="77" spans="1:38" ht="24.95" customHeight="1">
      <c r="A77" s="367" t="s">
        <v>255</v>
      </c>
      <c r="B77" s="371"/>
      <c r="C77" s="372"/>
      <c r="D77" s="372"/>
      <c r="E77" s="372"/>
      <c r="F77" s="372"/>
      <c r="G77" s="356"/>
      <c r="H77" s="372"/>
      <c r="I77" s="372"/>
      <c r="J77" s="368">
        <v>4</v>
      </c>
      <c r="K77" s="373">
        <v>6</v>
      </c>
      <c r="L77" s="368">
        <v>3</v>
      </c>
      <c r="M77" s="374">
        <v>3</v>
      </c>
      <c r="N77" s="375">
        <f t="shared" si="8"/>
        <v>16</v>
      </c>
      <c r="O77" s="376">
        <f t="shared" si="9"/>
        <v>4</v>
      </c>
      <c r="P77" s="377">
        <f t="shared" si="10"/>
        <v>0.57803468208092479</v>
      </c>
      <c r="Q77" s="2"/>
      <c r="R77" s="187"/>
      <c r="S77" s="187"/>
    </row>
    <row r="78" spans="1:38" ht="24.95" customHeight="1">
      <c r="A78" s="367" t="s">
        <v>256</v>
      </c>
      <c r="B78" s="371"/>
      <c r="C78" s="372"/>
      <c r="D78" s="372"/>
      <c r="E78" s="372"/>
      <c r="F78" s="372"/>
      <c r="G78" s="356"/>
      <c r="H78" s="372"/>
      <c r="I78" s="372"/>
      <c r="J78" s="368">
        <v>2</v>
      </c>
      <c r="K78" s="373">
        <v>0</v>
      </c>
      <c r="L78" s="368">
        <v>1</v>
      </c>
      <c r="M78" s="374">
        <v>0</v>
      </c>
      <c r="N78" s="375">
        <f t="shared" si="8"/>
        <v>3</v>
      </c>
      <c r="O78" s="376">
        <f t="shared" si="9"/>
        <v>0.75</v>
      </c>
      <c r="P78" s="377">
        <f t="shared" si="10"/>
        <v>0.1083815028901734</v>
      </c>
      <c r="Q78" s="2"/>
      <c r="R78" s="187"/>
      <c r="S78" s="187"/>
    </row>
    <row r="79" spans="1:38" ht="24.95" customHeight="1">
      <c r="A79" s="367" t="s">
        <v>257</v>
      </c>
      <c r="B79" s="371"/>
      <c r="C79" s="372"/>
      <c r="D79" s="372"/>
      <c r="E79" s="372"/>
      <c r="F79" s="372"/>
      <c r="G79" s="356"/>
      <c r="H79" s="372"/>
      <c r="I79" s="372"/>
      <c r="J79" s="368">
        <v>7</v>
      </c>
      <c r="K79" s="373">
        <v>6</v>
      </c>
      <c r="L79" s="368">
        <v>7</v>
      </c>
      <c r="M79" s="374">
        <v>7</v>
      </c>
      <c r="N79" s="375">
        <f t="shared" si="8"/>
        <v>27</v>
      </c>
      <c r="O79" s="376">
        <f t="shared" si="9"/>
        <v>6.75</v>
      </c>
      <c r="P79" s="377">
        <f t="shared" si="10"/>
        <v>0.97543352601156075</v>
      </c>
      <c r="Q79" s="2"/>
      <c r="R79" s="187"/>
      <c r="S79" s="187"/>
    </row>
    <row r="80" spans="1:38" ht="24.95" customHeight="1">
      <c r="A80" s="367" t="s">
        <v>258</v>
      </c>
      <c r="B80" s="371"/>
      <c r="C80" s="372"/>
      <c r="D80" s="372"/>
      <c r="E80" s="372"/>
      <c r="F80" s="372"/>
      <c r="G80" s="356"/>
      <c r="H80" s="372"/>
      <c r="I80" s="372"/>
      <c r="J80" s="368">
        <v>0</v>
      </c>
      <c r="K80" s="373">
        <v>3</v>
      </c>
      <c r="L80" s="368">
        <v>3</v>
      </c>
      <c r="M80" s="374">
        <v>5</v>
      </c>
      <c r="N80" s="375">
        <f t="shared" si="8"/>
        <v>11</v>
      </c>
      <c r="O80" s="376">
        <f t="shared" si="9"/>
        <v>2.75</v>
      </c>
      <c r="P80" s="377">
        <f t="shared" si="10"/>
        <v>0.39739884393063579</v>
      </c>
      <c r="Q80" s="2"/>
      <c r="R80" s="187"/>
      <c r="S80" s="187"/>
    </row>
    <row r="81" spans="1:19" ht="24.95" customHeight="1">
      <c r="A81" s="367" t="s">
        <v>259</v>
      </c>
      <c r="B81" s="371"/>
      <c r="C81" s="372"/>
      <c r="D81" s="372"/>
      <c r="E81" s="372"/>
      <c r="F81" s="372"/>
      <c r="G81" s="356"/>
      <c r="H81" s="372"/>
      <c r="I81" s="372"/>
      <c r="J81" s="368">
        <v>2</v>
      </c>
      <c r="K81" s="373">
        <v>3</v>
      </c>
      <c r="L81" s="368">
        <v>3</v>
      </c>
      <c r="M81" s="374">
        <v>1</v>
      </c>
      <c r="N81" s="375">
        <f t="shared" si="8"/>
        <v>9</v>
      </c>
      <c r="O81" s="376">
        <f t="shared" si="9"/>
        <v>2.25</v>
      </c>
      <c r="P81" s="377">
        <f t="shared" si="10"/>
        <v>0.32514450867052025</v>
      </c>
      <c r="Q81" s="2"/>
      <c r="R81" s="187"/>
      <c r="S81" s="187"/>
    </row>
    <row r="82" spans="1:19" ht="24.95" customHeight="1">
      <c r="A82" s="367" t="s">
        <v>260</v>
      </c>
      <c r="B82" s="371"/>
      <c r="C82" s="372"/>
      <c r="D82" s="372"/>
      <c r="E82" s="372"/>
      <c r="F82" s="372"/>
      <c r="G82" s="356"/>
      <c r="H82" s="372"/>
      <c r="I82" s="372"/>
      <c r="J82" s="368">
        <v>3</v>
      </c>
      <c r="K82" s="373">
        <v>4</v>
      </c>
      <c r="L82" s="368">
        <v>4</v>
      </c>
      <c r="M82" s="374">
        <v>3</v>
      </c>
      <c r="N82" s="375">
        <f t="shared" si="8"/>
        <v>14</v>
      </c>
      <c r="O82" s="376">
        <f t="shared" si="9"/>
        <v>3.5</v>
      </c>
      <c r="P82" s="377">
        <f t="shared" si="10"/>
        <v>0.5057803468208093</v>
      </c>
      <c r="Q82" s="2"/>
      <c r="R82" s="187"/>
      <c r="S82" s="187"/>
    </row>
    <row r="83" spans="1:19" ht="24.95" customHeight="1">
      <c r="A83" s="447" t="s">
        <v>393</v>
      </c>
      <c r="B83" s="371"/>
      <c r="C83" s="372"/>
      <c r="D83" s="372"/>
      <c r="E83" s="372"/>
      <c r="F83" s="372"/>
      <c r="G83" s="356"/>
      <c r="H83" s="372"/>
      <c r="I83" s="372"/>
      <c r="J83" s="368">
        <v>1</v>
      </c>
      <c r="K83" s="373">
        <v>1</v>
      </c>
      <c r="L83" s="368">
        <v>3</v>
      </c>
      <c r="M83" s="374">
        <v>3</v>
      </c>
      <c r="N83" s="375">
        <f t="shared" si="8"/>
        <v>8</v>
      </c>
      <c r="O83" s="376">
        <f t="shared" si="9"/>
        <v>2</v>
      </c>
      <c r="P83" s="377">
        <f t="shared" si="10"/>
        <v>0.28901734104046239</v>
      </c>
      <c r="Q83" s="2"/>
      <c r="R83" s="187"/>
      <c r="S83" s="187"/>
    </row>
    <row r="84" spans="1:19" ht="24.95" customHeight="1">
      <c r="A84" s="367" t="s">
        <v>262</v>
      </c>
      <c r="B84" s="371"/>
      <c r="C84" s="372"/>
      <c r="D84" s="372"/>
      <c r="E84" s="372"/>
      <c r="F84" s="372"/>
      <c r="G84" s="356"/>
      <c r="H84" s="372"/>
      <c r="I84" s="372"/>
      <c r="J84" s="368">
        <v>2</v>
      </c>
      <c r="K84" s="373">
        <v>3</v>
      </c>
      <c r="L84" s="368">
        <v>3</v>
      </c>
      <c r="M84" s="374">
        <v>2</v>
      </c>
      <c r="N84" s="375">
        <f t="shared" si="8"/>
        <v>10</v>
      </c>
      <c r="O84" s="376">
        <f t="shared" si="9"/>
        <v>2.5</v>
      </c>
      <c r="P84" s="377">
        <f t="shared" si="10"/>
        <v>0.36127167630057805</v>
      </c>
      <c r="Q84" s="2"/>
      <c r="R84" s="187"/>
      <c r="S84" s="187"/>
    </row>
    <row r="85" spans="1:19" ht="24.95" customHeight="1">
      <c r="A85" s="367" t="s">
        <v>263</v>
      </c>
      <c r="B85" s="371"/>
      <c r="C85" s="372"/>
      <c r="D85" s="372"/>
      <c r="E85" s="372"/>
      <c r="F85" s="372"/>
      <c r="G85" s="356"/>
      <c r="H85" s="372"/>
      <c r="I85" s="372"/>
      <c r="J85" s="368">
        <v>1</v>
      </c>
      <c r="K85" s="373">
        <v>2</v>
      </c>
      <c r="L85" s="368">
        <v>3</v>
      </c>
      <c r="M85" s="374">
        <v>0</v>
      </c>
      <c r="N85" s="375">
        <f t="shared" si="8"/>
        <v>6</v>
      </c>
      <c r="O85" s="376">
        <f t="shared" si="9"/>
        <v>1.5</v>
      </c>
      <c r="P85" s="377">
        <f t="shared" si="10"/>
        <v>0.2167630057803468</v>
      </c>
      <c r="Q85" s="2"/>
      <c r="R85" s="187"/>
      <c r="S85" s="187"/>
    </row>
    <row r="86" spans="1:19" ht="24.95" customHeight="1">
      <c r="A86" s="367" t="s">
        <v>264</v>
      </c>
      <c r="B86" s="371"/>
      <c r="C86" s="372"/>
      <c r="D86" s="372"/>
      <c r="E86" s="372"/>
      <c r="F86" s="372"/>
      <c r="G86" s="356"/>
      <c r="H86" s="372"/>
      <c r="I86" s="372"/>
      <c r="J86" s="368">
        <v>2</v>
      </c>
      <c r="K86" s="373">
        <v>1</v>
      </c>
      <c r="L86" s="368">
        <v>1</v>
      </c>
      <c r="M86" s="374">
        <v>0</v>
      </c>
      <c r="N86" s="375">
        <f t="shared" ref="N86:N99" si="11">SUM(B86:M86)</f>
        <v>4</v>
      </c>
      <c r="O86" s="376">
        <f t="shared" ref="O86:O100" si="12">AVERAGE(B86:M86)</f>
        <v>1</v>
      </c>
      <c r="P86" s="377">
        <f t="shared" si="10"/>
        <v>0.1445086705202312</v>
      </c>
      <c r="Q86" s="2"/>
      <c r="R86" s="187"/>
      <c r="S86" s="187"/>
    </row>
    <row r="87" spans="1:19" ht="24.95" customHeight="1">
      <c r="A87" s="367" t="s">
        <v>265</v>
      </c>
      <c r="B87" s="371"/>
      <c r="C87" s="372"/>
      <c r="D87" s="372"/>
      <c r="E87" s="372"/>
      <c r="F87" s="372"/>
      <c r="G87" s="356"/>
      <c r="H87" s="372"/>
      <c r="I87" s="372"/>
      <c r="J87" s="368">
        <v>2</v>
      </c>
      <c r="K87" s="373">
        <v>0</v>
      </c>
      <c r="L87" s="368">
        <v>2</v>
      </c>
      <c r="M87" s="374">
        <v>3</v>
      </c>
      <c r="N87" s="375">
        <f t="shared" si="11"/>
        <v>7</v>
      </c>
      <c r="O87" s="376">
        <f t="shared" si="12"/>
        <v>1.75</v>
      </c>
      <c r="P87" s="377">
        <f t="shared" si="10"/>
        <v>0.25289017341040465</v>
      </c>
      <c r="Q87" s="2"/>
      <c r="R87" s="187"/>
      <c r="S87" s="187"/>
    </row>
    <row r="88" spans="1:19" ht="24.95" customHeight="1">
      <c r="A88" s="367" t="s">
        <v>266</v>
      </c>
      <c r="B88" s="371"/>
      <c r="C88" s="372"/>
      <c r="D88" s="372"/>
      <c r="E88" s="372"/>
      <c r="F88" s="372"/>
      <c r="G88" s="356"/>
      <c r="H88" s="372"/>
      <c r="I88" s="372"/>
      <c r="J88" s="368">
        <v>5</v>
      </c>
      <c r="K88" s="373">
        <v>12</v>
      </c>
      <c r="L88" s="368">
        <v>12</v>
      </c>
      <c r="M88" s="374">
        <v>6</v>
      </c>
      <c r="N88" s="375">
        <f t="shared" si="11"/>
        <v>35</v>
      </c>
      <c r="O88" s="376">
        <f t="shared" si="12"/>
        <v>8.75</v>
      </c>
      <c r="P88" s="377">
        <f t="shared" ref="P88:P99" si="13">(N88/$N$100)*100</f>
        <v>1.2644508670520231</v>
      </c>
      <c r="Q88" s="2"/>
      <c r="R88" s="187"/>
      <c r="S88" s="187"/>
    </row>
    <row r="89" spans="1:19" ht="24.95" customHeight="1">
      <c r="A89" s="367" t="s">
        <v>267</v>
      </c>
      <c r="B89" s="371"/>
      <c r="C89" s="372"/>
      <c r="D89" s="372"/>
      <c r="E89" s="372"/>
      <c r="F89" s="372"/>
      <c r="G89" s="356"/>
      <c r="H89" s="372"/>
      <c r="I89" s="372"/>
      <c r="J89" s="368">
        <v>1</v>
      </c>
      <c r="K89" s="373">
        <v>0</v>
      </c>
      <c r="L89" s="368">
        <v>2</v>
      </c>
      <c r="M89" s="374">
        <v>10</v>
      </c>
      <c r="N89" s="375">
        <f t="shared" si="11"/>
        <v>13</v>
      </c>
      <c r="O89" s="376">
        <f t="shared" si="12"/>
        <v>3.25</v>
      </c>
      <c r="P89" s="377">
        <f t="shared" si="13"/>
        <v>0.46965317919075145</v>
      </c>
      <c r="Q89" s="2"/>
      <c r="R89" s="187"/>
      <c r="S89" s="187"/>
    </row>
    <row r="90" spans="1:19" ht="24.95" customHeight="1">
      <c r="A90" s="367" t="s">
        <v>268</v>
      </c>
      <c r="B90" s="371"/>
      <c r="C90" s="372"/>
      <c r="D90" s="372"/>
      <c r="E90" s="372"/>
      <c r="F90" s="372"/>
      <c r="G90" s="356"/>
      <c r="H90" s="372"/>
      <c r="I90" s="372"/>
      <c r="J90" s="368">
        <v>2</v>
      </c>
      <c r="K90" s="373">
        <v>3</v>
      </c>
      <c r="L90" s="368">
        <v>5</v>
      </c>
      <c r="M90" s="374">
        <v>3</v>
      </c>
      <c r="N90" s="375">
        <f t="shared" si="11"/>
        <v>13</v>
      </c>
      <c r="O90" s="376">
        <f t="shared" si="12"/>
        <v>3.25</v>
      </c>
      <c r="P90" s="377">
        <f t="shared" si="13"/>
        <v>0.46965317919075145</v>
      </c>
      <c r="Q90" s="2"/>
      <c r="R90" s="187"/>
      <c r="S90" s="187"/>
    </row>
    <row r="91" spans="1:19" ht="24.95" customHeight="1">
      <c r="A91" s="367" t="s">
        <v>269</v>
      </c>
      <c r="B91" s="371"/>
      <c r="C91" s="372"/>
      <c r="D91" s="372"/>
      <c r="E91" s="372"/>
      <c r="F91" s="372"/>
      <c r="G91" s="356"/>
      <c r="H91" s="372"/>
      <c r="I91" s="372"/>
      <c r="J91" s="368">
        <v>3</v>
      </c>
      <c r="K91" s="373">
        <v>8</v>
      </c>
      <c r="L91" s="368">
        <v>5</v>
      </c>
      <c r="M91" s="374">
        <v>5</v>
      </c>
      <c r="N91" s="375">
        <f t="shared" si="11"/>
        <v>21</v>
      </c>
      <c r="O91" s="376">
        <f t="shared" si="12"/>
        <v>5.25</v>
      </c>
      <c r="P91" s="377">
        <f t="shared" si="13"/>
        <v>0.75867052023121384</v>
      </c>
      <c r="Q91" s="2"/>
      <c r="R91" s="187"/>
      <c r="S91" s="187"/>
    </row>
    <row r="92" spans="1:19" ht="24.95" customHeight="1">
      <c r="A92" s="367" t="s">
        <v>270</v>
      </c>
      <c r="B92" s="371"/>
      <c r="C92" s="372"/>
      <c r="D92" s="372"/>
      <c r="E92" s="372"/>
      <c r="F92" s="372"/>
      <c r="G92" s="356"/>
      <c r="H92" s="372"/>
      <c r="I92" s="372"/>
      <c r="J92" s="368">
        <v>3</v>
      </c>
      <c r="K92" s="373">
        <v>2</v>
      </c>
      <c r="L92" s="368">
        <v>3</v>
      </c>
      <c r="M92" s="374">
        <v>3</v>
      </c>
      <c r="N92" s="375">
        <f t="shared" si="11"/>
        <v>11</v>
      </c>
      <c r="O92" s="376">
        <f t="shared" si="12"/>
        <v>2.75</v>
      </c>
      <c r="P92" s="377">
        <f t="shared" si="13"/>
        <v>0.39739884393063579</v>
      </c>
      <c r="Q92" s="2"/>
      <c r="R92" s="187"/>
      <c r="S92" s="187"/>
    </row>
    <row r="93" spans="1:19" ht="24.95" customHeight="1">
      <c r="A93" s="367" t="s">
        <v>271</v>
      </c>
      <c r="B93" s="371"/>
      <c r="C93" s="372"/>
      <c r="D93" s="372"/>
      <c r="E93" s="372"/>
      <c r="F93" s="372"/>
      <c r="G93" s="356"/>
      <c r="H93" s="372"/>
      <c r="I93" s="372"/>
      <c r="J93" s="368">
        <v>6</v>
      </c>
      <c r="K93" s="373">
        <v>1</v>
      </c>
      <c r="L93" s="368">
        <v>2</v>
      </c>
      <c r="M93" s="374">
        <v>2</v>
      </c>
      <c r="N93" s="375">
        <f t="shared" si="11"/>
        <v>11</v>
      </c>
      <c r="O93" s="376">
        <f t="shared" si="12"/>
        <v>2.75</v>
      </c>
      <c r="P93" s="377">
        <f t="shared" si="13"/>
        <v>0.39739884393063579</v>
      </c>
      <c r="Q93" s="2"/>
      <c r="R93" s="187"/>
      <c r="S93" s="187"/>
    </row>
    <row r="94" spans="1:19" ht="24.95" customHeight="1">
      <c r="A94" s="367" t="s">
        <v>272</v>
      </c>
      <c r="B94" s="371"/>
      <c r="C94" s="372"/>
      <c r="D94" s="372"/>
      <c r="E94" s="372"/>
      <c r="F94" s="372"/>
      <c r="G94" s="356"/>
      <c r="H94" s="372"/>
      <c r="I94" s="372"/>
      <c r="J94" s="368">
        <v>0</v>
      </c>
      <c r="K94" s="373">
        <v>2</v>
      </c>
      <c r="L94" s="368">
        <v>2</v>
      </c>
      <c r="M94" s="374">
        <v>0</v>
      </c>
      <c r="N94" s="375">
        <f t="shared" si="11"/>
        <v>4</v>
      </c>
      <c r="O94" s="376">
        <f t="shared" si="12"/>
        <v>1</v>
      </c>
      <c r="P94" s="377">
        <f t="shared" si="13"/>
        <v>0.1445086705202312</v>
      </c>
      <c r="Q94" s="2"/>
      <c r="R94" s="187"/>
      <c r="S94" s="187"/>
    </row>
    <row r="95" spans="1:19" ht="24.95" customHeight="1">
      <c r="A95" s="367" t="s">
        <v>273</v>
      </c>
      <c r="B95" s="371"/>
      <c r="C95" s="372"/>
      <c r="D95" s="372"/>
      <c r="E95" s="372"/>
      <c r="F95" s="372"/>
      <c r="G95" s="356"/>
      <c r="H95" s="372"/>
      <c r="I95" s="372"/>
      <c r="J95" s="368">
        <v>4</v>
      </c>
      <c r="K95" s="373">
        <v>1</v>
      </c>
      <c r="L95" s="368">
        <v>2</v>
      </c>
      <c r="M95" s="374">
        <v>2</v>
      </c>
      <c r="N95" s="375">
        <f t="shared" si="11"/>
        <v>9</v>
      </c>
      <c r="O95" s="376">
        <f t="shared" si="12"/>
        <v>2.25</v>
      </c>
      <c r="P95" s="377">
        <f t="shared" si="13"/>
        <v>0.32514450867052025</v>
      </c>
      <c r="Q95" s="2"/>
      <c r="R95" s="187"/>
      <c r="S95" s="187"/>
    </row>
    <row r="96" spans="1:19" ht="24.95" customHeight="1">
      <c r="A96" s="367" t="s">
        <v>274</v>
      </c>
      <c r="B96" s="371"/>
      <c r="C96" s="372"/>
      <c r="D96" s="372"/>
      <c r="E96" s="372"/>
      <c r="F96" s="372"/>
      <c r="G96" s="356"/>
      <c r="H96" s="372"/>
      <c r="I96" s="372"/>
      <c r="J96" s="368">
        <v>0</v>
      </c>
      <c r="K96" s="373">
        <v>3</v>
      </c>
      <c r="L96" s="368">
        <v>2</v>
      </c>
      <c r="M96" s="374">
        <v>0</v>
      </c>
      <c r="N96" s="375">
        <f t="shared" si="11"/>
        <v>5</v>
      </c>
      <c r="O96" s="376">
        <f t="shared" si="12"/>
        <v>1.25</v>
      </c>
      <c r="P96" s="377">
        <f t="shared" si="13"/>
        <v>0.18063583815028902</v>
      </c>
      <c r="Q96" s="2"/>
      <c r="R96" s="187"/>
      <c r="S96" s="187"/>
    </row>
    <row r="97" spans="1:54" ht="24.95" customHeight="1">
      <c r="A97" s="367" t="s">
        <v>275</v>
      </c>
      <c r="B97" s="371"/>
      <c r="C97" s="372"/>
      <c r="D97" s="372"/>
      <c r="E97" s="372"/>
      <c r="F97" s="372"/>
      <c r="G97" s="356"/>
      <c r="H97" s="372"/>
      <c r="I97" s="372"/>
      <c r="J97" s="368">
        <v>1</v>
      </c>
      <c r="K97" s="373">
        <v>7</v>
      </c>
      <c r="L97" s="368">
        <v>3</v>
      </c>
      <c r="M97" s="374">
        <v>2</v>
      </c>
      <c r="N97" s="375">
        <f t="shared" si="11"/>
        <v>13</v>
      </c>
      <c r="O97" s="376">
        <f t="shared" si="12"/>
        <v>3.25</v>
      </c>
      <c r="P97" s="377">
        <f t="shared" si="13"/>
        <v>0.46965317919075145</v>
      </c>
      <c r="Q97" s="2"/>
      <c r="R97" s="187"/>
      <c r="S97" s="187"/>
    </row>
    <row r="98" spans="1:54" s="71" customFormat="1" ht="24.95" customHeight="1">
      <c r="A98" s="375" t="s">
        <v>276</v>
      </c>
      <c r="B98" s="636"/>
      <c r="C98" s="372"/>
      <c r="D98" s="451"/>
      <c r="E98" s="451"/>
      <c r="F98" s="451"/>
      <c r="G98" s="356"/>
      <c r="H98" s="451"/>
      <c r="I98" s="451"/>
      <c r="J98" s="368">
        <v>0</v>
      </c>
      <c r="K98" s="373">
        <v>2</v>
      </c>
      <c r="L98" s="368">
        <v>3</v>
      </c>
      <c r="M98" s="374">
        <v>1</v>
      </c>
      <c r="N98" s="375">
        <f t="shared" si="11"/>
        <v>6</v>
      </c>
      <c r="O98" s="448">
        <f t="shared" si="12"/>
        <v>1.5</v>
      </c>
      <c r="P98" s="449">
        <f t="shared" si="13"/>
        <v>0.2167630057803468</v>
      </c>
      <c r="Q98" s="363"/>
      <c r="T98" s="128"/>
      <c r="BB98" s="137"/>
    </row>
    <row r="99" spans="1:54" ht="24.95" customHeight="1" thickBot="1">
      <c r="A99" s="450" t="s">
        <v>394</v>
      </c>
      <c r="B99" s="585"/>
      <c r="C99" s="451"/>
      <c r="D99" s="452"/>
      <c r="E99" s="452"/>
      <c r="F99" s="452"/>
      <c r="G99" s="560"/>
      <c r="H99" s="452"/>
      <c r="I99" s="452"/>
      <c r="J99" s="453">
        <v>17</v>
      </c>
      <c r="K99" s="454">
        <v>19</v>
      </c>
      <c r="L99" s="453">
        <v>10</v>
      </c>
      <c r="M99" s="455">
        <v>21</v>
      </c>
      <c r="N99" s="456">
        <f t="shared" si="11"/>
        <v>67</v>
      </c>
      <c r="O99" s="457">
        <f t="shared" si="12"/>
        <v>16.75</v>
      </c>
      <c r="P99" s="458">
        <f t="shared" si="13"/>
        <v>2.4205202312138727</v>
      </c>
      <c r="Q99" s="459"/>
      <c r="R99" s="187"/>
      <c r="S99" s="460"/>
      <c r="T99" s="207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</row>
    <row r="100" spans="1:54" ht="24.95" customHeight="1" thickBot="1">
      <c r="A100" s="461" t="s">
        <v>312</v>
      </c>
      <c r="B100" s="463"/>
      <c r="C100" s="463"/>
      <c r="D100" s="462"/>
      <c r="E100" s="462"/>
      <c r="F100" s="558"/>
      <c r="G100" s="561"/>
      <c r="H100" s="559"/>
      <c r="I100" s="463"/>
      <c r="J100" s="463">
        <f>SUM(J22:J99)</f>
        <v>882</v>
      </c>
      <c r="K100" s="463">
        <f>SUM(K22:K99)</f>
        <v>634</v>
      </c>
      <c r="L100" s="463">
        <f>SUM(L22:L99)</f>
        <v>688</v>
      </c>
      <c r="M100" s="463">
        <f t="shared" ref="M100:N100" si="14">SUM(M22:M99)</f>
        <v>564</v>
      </c>
      <c r="N100" s="462">
        <f t="shared" si="14"/>
        <v>2768</v>
      </c>
      <c r="O100" s="464">
        <f t="shared" si="12"/>
        <v>692</v>
      </c>
      <c r="P100" s="465">
        <f>SUM(P22:P99)</f>
        <v>100.00000000000001</v>
      </c>
      <c r="Q100" s="466"/>
      <c r="R100" s="136"/>
      <c r="S100" s="187"/>
      <c r="T100" s="467"/>
      <c r="U100" s="71"/>
      <c r="V100" s="71"/>
      <c r="W100" s="71"/>
      <c r="X100" s="71"/>
      <c r="Y100" s="71"/>
      <c r="Z100" s="71"/>
      <c r="AA100" s="71"/>
      <c r="AB100" s="71"/>
      <c r="AC100" s="71"/>
      <c r="AD100" s="137"/>
      <c r="AE100" s="137"/>
      <c r="AH100" s="128"/>
    </row>
    <row r="101" spans="1:54" s="564" customFormat="1" ht="24.95" customHeight="1">
      <c r="C101" s="565"/>
      <c r="D101" s="565"/>
      <c r="F101" s="566"/>
      <c r="G101" s="566"/>
      <c r="H101" s="566"/>
      <c r="I101" s="567"/>
      <c r="J101" s="566"/>
      <c r="K101" s="566"/>
      <c r="L101" s="566"/>
      <c r="M101" s="568"/>
      <c r="N101" s="569"/>
      <c r="O101" s="565"/>
      <c r="P101" s="565"/>
      <c r="Q101" s="570"/>
      <c r="T101" s="765"/>
      <c r="U101" s="566"/>
      <c r="V101" s="566"/>
      <c r="W101" s="566"/>
      <c r="X101" s="566"/>
      <c r="Y101" s="566"/>
      <c r="Z101" s="566"/>
      <c r="AA101" s="566"/>
      <c r="AB101" s="566"/>
      <c r="AC101" s="566"/>
      <c r="AD101" s="566"/>
      <c r="AE101" s="566"/>
      <c r="AF101" s="566"/>
      <c r="AG101" s="566"/>
      <c r="AH101" s="568"/>
    </row>
    <row r="102" spans="1:54" s="564" customFormat="1">
      <c r="A102" s="981"/>
      <c r="B102" s="982"/>
      <c r="C102" s="982"/>
      <c r="D102" s="982"/>
      <c r="E102" s="982"/>
      <c r="F102" s="982"/>
      <c r="G102" s="982"/>
      <c r="H102" s="982"/>
      <c r="I102" s="982"/>
      <c r="J102" s="982"/>
      <c r="K102" s="982"/>
      <c r="L102" s="982"/>
      <c r="M102" s="982"/>
      <c r="N102" s="982"/>
      <c r="O102" s="983"/>
      <c r="P102" s="570"/>
      <c r="Q102" s="565"/>
      <c r="R102" s="766"/>
      <c r="S102" s="566"/>
      <c r="T102" s="568"/>
      <c r="U102" s="566"/>
      <c r="V102" s="566"/>
      <c r="W102" s="566"/>
      <c r="X102" s="566"/>
      <c r="Y102" s="566"/>
      <c r="Z102" s="566"/>
      <c r="AA102" s="566"/>
      <c r="AB102" s="566"/>
      <c r="AC102" s="566"/>
      <c r="AD102" s="566"/>
      <c r="AE102" s="566"/>
      <c r="AF102" s="568"/>
      <c r="AG102" s="566"/>
    </row>
    <row r="103" spans="1:54" s="870" customFormat="1">
      <c r="B103" s="871"/>
      <c r="C103" s="871"/>
      <c r="D103" s="871"/>
      <c r="E103" s="872"/>
      <c r="F103" s="872"/>
      <c r="G103" s="872"/>
      <c r="H103" s="872"/>
      <c r="I103" s="872"/>
      <c r="J103" s="872"/>
      <c r="K103" s="872"/>
      <c r="L103" s="872"/>
      <c r="M103" s="872"/>
      <c r="N103" s="873"/>
      <c r="O103" s="874"/>
      <c r="P103" s="543"/>
      <c r="Q103" s="873"/>
      <c r="T103" s="1011"/>
      <c r="U103" s="874"/>
      <c r="V103" s="874"/>
      <c r="W103" s="874"/>
      <c r="X103" s="874"/>
      <c r="Y103" s="874"/>
      <c r="Z103" s="874"/>
      <c r="AA103" s="874"/>
      <c r="AB103" s="874"/>
      <c r="AC103" s="874"/>
      <c r="AD103" s="874"/>
      <c r="AE103" s="874"/>
      <c r="AF103" s="874"/>
      <c r="AG103" s="874"/>
      <c r="AH103" s="883"/>
    </row>
    <row r="104" spans="1:54" s="870" customFormat="1">
      <c r="A104" s="544" t="s">
        <v>330</v>
      </c>
      <c r="B104" s="545">
        <v>45627</v>
      </c>
      <c r="C104" s="545">
        <v>45597</v>
      </c>
      <c r="D104" s="546">
        <v>45566</v>
      </c>
      <c r="E104" s="546">
        <v>45536</v>
      </c>
      <c r="F104" s="546">
        <v>45505</v>
      </c>
      <c r="G104" s="546">
        <v>45474</v>
      </c>
      <c r="H104" s="546">
        <v>45444</v>
      </c>
      <c r="I104" s="546">
        <v>45413</v>
      </c>
      <c r="J104" s="546">
        <v>45383</v>
      </c>
      <c r="K104" s="546">
        <v>45352</v>
      </c>
      <c r="L104" s="547">
        <v>45323</v>
      </c>
      <c r="M104" s="546">
        <v>45292</v>
      </c>
      <c r="N104" s="546" t="s">
        <v>5</v>
      </c>
      <c r="O104" s="548"/>
      <c r="P104" s="984"/>
      <c r="Q104" s="873"/>
      <c r="T104" s="1011"/>
      <c r="U104" s="874"/>
      <c r="V104" s="874"/>
      <c r="W104" s="874"/>
      <c r="X104" s="874"/>
      <c r="Y104" s="874"/>
      <c r="Z104" s="874"/>
      <c r="AA104" s="874"/>
      <c r="AB104" s="874"/>
      <c r="AC104" s="874"/>
      <c r="AD104" s="874"/>
      <c r="AE104" s="874"/>
      <c r="AF104" s="874"/>
      <c r="AG104" s="874"/>
      <c r="AH104" s="883"/>
    </row>
    <row r="105" spans="1:54" s="870" customFormat="1">
      <c r="A105" s="875" t="s">
        <v>395</v>
      </c>
      <c r="B105" s="876"/>
      <c r="C105" s="876"/>
      <c r="D105" s="876"/>
      <c r="E105" s="876"/>
      <c r="F105" s="876"/>
      <c r="G105" s="876"/>
      <c r="H105" s="876"/>
      <c r="I105" s="876"/>
      <c r="J105" s="877">
        <v>158</v>
      </c>
      <c r="K105" s="550">
        <v>113</v>
      </c>
      <c r="L105" s="877">
        <v>116</v>
      </c>
      <c r="M105" s="877">
        <v>82</v>
      </c>
      <c r="N105" s="876">
        <v>469</v>
      </c>
      <c r="O105" s="551">
        <f>N105/$N$115*100</f>
        <v>29.112352576039729</v>
      </c>
      <c r="P105" s="984"/>
      <c r="Q105" s="873"/>
      <c r="T105" s="1011"/>
      <c r="U105" s="874"/>
      <c r="V105" s="874"/>
      <c r="W105" s="874"/>
      <c r="X105" s="874"/>
      <c r="Y105" s="874"/>
      <c r="Z105" s="874"/>
      <c r="AA105" s="874"/>
      <c r="AB105" s="874"/>
      <c r="AC105" s="874"/>
      <c r="AD105" s="874"/>
      <c r="AE105" s="874"/>
      <c r="AF105" s="874"/>
      <c r="AG105" s="874"/>
      <c r="AH105" s="883"/>
    </row>
    <row r="106" spans="1:54" s="870" customFormat="1">
      <c r="A106" s="875" t="s">
        <v>397</v>
      </c>
      <c r="B106" s="876"/>
      <c r="C106" s="876"/>
      <c r="D106" s="876"/>
      <c r="E106" s="876"/>
      <c r="F106" s="876"/>
      <c r="G106" s="876"/>
      <c r="H106" s="876"/>
      <c r="I106" s="876"/>
      <c r="J106" s="877">
        <v>85</v>
      </c>
      <c r="K106" s="550">
        <v>32</v>
      </c>
      <c r="L106" s="877">
        <v>31</v>
      </c>
      <c r="M106" s="877">
        <v>29</v>
      </c>
      <c r="N106" s="876">
        <v>177</v>
      </c>
      <c r="O106" s="551">
        <f t="shared" ref="O106:O114" si="15">N106/$N$115*100</f>
        <v>10.986964618249534</v>
      </c>
      <c r="P106" s="984"/>
      <c r="Q106" s="873"/>
      <c r="T106" s="1011"/>
      <c r="U106" s="874"/>
      <c r="V106" s="874"/>
      <c r="W106" s="874"/>
      <c r="X106" s="874"/>
      <c r="Y106" s="874"/>
      <c r="Z106" s="874"/>
      <c r="AA106" s="874"/>
      <c r="AB106" s="874"/>
      <c r="AC106" s="874"/>
      <c r="AD106" s="874"/>
      <c r="AE106" s="874"/>
      <c r="AF106" s="874"/>
      <c r="AG106" s="874"/>
      <c r="AH106" s="883"/>
    </row>
    <row r="107" spans="1:54" s="870" customFormat="1">
      <c r="A107" s="875" t="s">
        <v>396</v>
      </c>
      <c r="B107" s="876"/>
      <c r="C107" s="876"/>
      <c r="D107" s="876"/>
      <c r="E107" s="876"/>
      <c r="F107" s="876"/>
      <c r="G107" s="876"/>
      <c r="H107" s="876"/>
      <c r="I107" s="876"/>
      <c r="J107" s="877">
        <v>50</v>
      </c>
      <c r="K107" s="550">
        <v>42</v>
      </c>
      <c r="L107" s="877">
        <v>39</v>
      </c>
      <c r="M107" s="877">
        <v>37</v>
      </c>
      <c r="N107" s="876">
        <v>168</v>
      </c>
      <c r="O107" s="551">
        <f t="shared" si="15"/>
        <v>10.428305400372439</v>
      </c>
      <c r="P107" s="984"/>
      <c r="Q107" s="873"/>
      <c r="T107" s="1011"/>
      <c r="U107" s="874"/>
      <c r="V107" s="874"/>
      <c r="W107" s="874"/>
      <c r="X107" s="874"/>
      <c r="Y107" s="874"/>
      <c r="Z107" s="874"/>
      <c r="AA107" s="874"/>
      <c r="AB107" s="874"/>
      <c r="AC107" s="874"/>
      <c r="AD107" s="874"/>
      <c r="AE107" s="874"/>
      <c r="AF107" s="874"/>
      <c r="AG107" s="874"/>
      <c r="AH107" s="883"/>
    </row>
    <row r="108" spans="1:54" s="870" customFormat="1">
      <c r="A108" s="875" t="s">
        <v>399</v>
      </c>
      <c r="B108" s="876"/>
      <c r="C108" s="876"/>
      <c r="D108" s="876"/>
      <c r="E108" s="876"/>
      <c r="F108" s="876"/>
      <c r="G108" s="876"/>
      <c r="H108" s="876"/>
      <c r="I108" s="876"/>
      <c r="J108" s="877">
        <v>33</v>
      </c>
      <c r="K108" s="550">
        <v>40</v>
      </c>
      <c r="L108" s="877">
        <v>43</v>
      </c>
      <c r="M108" s="877">
        <v>48</v>
      </c>
      <c r="N108" s="876">
        <v>164</v>
      </c>
      <c r="O108" s="551">
        <f t="shared" si="15"/>
        <v>10.180012414649287</v>
      </c>
      <c r="P108" s="984"/>
      <c r="Q108" s="873"/>
      <c r="T108" s="1012"/>
      <c r="AF108" s="874"/>
      <c r="AG108" s="874"/>
    </row>
    <row r="109" spans="1:54" s="870" customFormat="1">
      <c r="A109" s="875" t="s">
        <v>398</v>
      </c>
      <c r="B109" s="876"/>
      <c r="C109" s="876"/>
      <c r="D109" s="876"/>
      <c r="E109" s="876"/>
      <c r="F109" s="876"/>
      <c r="G109" s="876"/>
      <c r="H109" s="876"/>
      <c r="I109" s="876"/>
      <c r="J109" s="877">
        <v>54</v>
      </c>
      <c r="K109" s="550">
        <v>34</v>
      </c>
      <c r="L109" s="877">
        <v>30</v>
      </c>
      <c r="M109" s="877">
        <v>45</v>
      </c>
      <c r="N109" s="876">
        <v>163</v>
      </c>
      <c r="O109" s="551">
        <f t="shared" si="15"/>
        <v>10.117939168218498</v>
      </c>
      <c r="P109" s="984"/>
      <c r="Q109" s="873"/>
      <c r="T109" s="1012"/>
      <c r="AF109" s="874"/>
      <c r="AG109" s="874"/>
    </row>
    <row r="110" spans="1:54" s="870" customFormat="1">
      <c r="A110" s="875" t="s">
        <v>400</v>
      </c>
      <c r="B110" s="876"/>
      <c r="C110" s="876"/>
      <c r="D110" s="876"/>
      <c r="E110" s="876"/>
      <c r="F110" s="876"/>
      <c r="G110" s="876"/>
      <c r="H110" s="876"/>
      <c r="I110" s="876"/>
      <c r="J110" s="877">
        <v>45</v>
      </c>
      <c r="K110" s="550">
        <v>28</v>
      </c>
      <c r="L110" s="877">
        <v>60</v>
      </c>
      <c r="M110" s="877">
        <v>23</v>
      </c>
      <c r="N110" s="876">
        <v>156</v>
      </c>
      <c r="O110" s="551">
        <f t="shared" si="15"/>
        <v>9.6834264432029791</v>
      </c>
      <c r="P110" s="984"/>
      <c r="Q110" s="873"/>
      <c r="T110" s="1012"/>
      <c r="AF110" s="874"/>
      <c r="AG110" s="874"/>
    </row>
    <row r="111" spans="1:54" s="870" customFormat="1">
      <c r="A111" s="875" t="s">
        <v>440</v>
      </c>
      <c r="B111" s="876"/>
      <c r="C111" s="876"/>
      <c r="D111" s="876"/>
      <c r="E111" s="876"/>
      <c r="F111" s="876"/>
      <c r="G111" s="876"/>
      <c r="H111" s="876"/>
      <c r="I111" s="876"/>
      <c r="J111" s="877">
        <v>22</v>
      </c>
      <c r="K111" s="550">
        <v>24</v>
      </c>
      <c r="L111" s="877">
        <v>20</v>
      </c>
      <c r="M111" s="877">
        <v>24</v>
      </c>
      <c r="N111" s="876">
        <v>90</v>
      </c>
      <c r="O111" s="551">
        <f t="shared" si="15"/>
        <v>5.5865921787709496</v>
      </c>
      <c r="P111" s="984"/>
      <c r="Q111" s="873"/>
      <c r="T111" s="1012"/>
      <c r="AF111" s="874"/>
      <c r="AG111" s="874"/>
    </row>
    <row r="112" spans="1:54" s="870" customFormat="1">
      <c r="A112" s="877" t="s">
        <v>493</v>
      </c>
      <c r="B112" s="876"/>
      <c r="C112" s="876"/>
      <c r="D112" s="876"/>
      <c r="E112" s="876"/>
      <c r="F112" s="876"/>
      <c r="G112" s="876"/>
      <c r="H112" s="876"/>
      <c r="I112" s="876"/>
      <c r="J112" s="877">
        <v>26</v>
      </c>
      <c r="K112" s="550">
        <v>12</v>
      </c>
      <c r="L112" s="877">
        <v>27</v>
      </c>
      <c r="M112" s="877">
        <v>14</v>
      </c>
      <c r="N112" s="876">
        <v>79</v>
      </c>
      <c r="O112" s="551">
        <f t="shared" si="15"/>
        <v>4.903786468032278</v>
      </c>
      <c r="P112" s="984"/>
      <c r="Q112" s="873"/>
      <c r="T112" s="1012"/>
      <c r="AF112" s="874"/>
      <c r="AG112" s="874"/>
    </row>
    <row r="113" spans="1:33" s="870" customFormat="1">
      <c r="A113" s="875" t="s">
        <v>494</v>
      </c>
      <c r="B113" s="876"/>
      <c r="C113" s="876"/>
      <c r="D113" s="876"/>
      <c r="E113" s="876"/>
      <c r="F113" s="876"/>
      <c r="G113" s="876"/>
      <c r="H113" s="876"/>
      <c r="I113" s="876"/>
      <c r="J113" s="877">
        <v>27</v>
      </c>
      <c r="K113" s="550">
        <v>19</v>
      </c>
      <c r="L113" s="877">
        <v>23</v>
      </c>
      <c r="M113" s="877">
        <v>9</v>
      </c>
      <c r="N113" s="876">
        <v>78</v>
      </c>
      <c r="O113" s="551">
        <f t="shared" si="15"/>
        <v>4.8417132216014895</v>
      </c>
      <c r="P113" s="984"/>
      <c r="Q113" s="873"/>
      <c r="T113" s="1012"/>
      <c r="AF113" s="874"/>
      <c r="AG113" s="874"/>
    </row>
    <row r="114" spans="1:33" s="870" customFormat="1">
      <c r="A114" s="875" t="s">
        <v>488</v>
      </c>
      <c r="B114" s="876"/>
      <c r="C114" s="876"/>
      <c r="D114" s="876"/>
      <c r="E114" s="876"/>
      <c r="F114" s="876"/>
      <c r="G114" s="876"/>
      <c r="H114" s="876"/>
      <c r="I114" s="876"/>
      <c r="J114" s="877">
        <v>17</v>
      </c>
      <c r="K114" s="550">
        <v>19</v>
      </c>
      <c r="L114" s="877">
        <v>10</v>
      </c>
      <c r="M114" s="877">
        <v>21</v>
      </c>
      <c r="N114" s="876">
        <v>67</v>
      </c>
      <c r="O114" s="551">
        <f t="shared" si="15"/>
        <v>4.158907510862818</v>
      </c>
      <c r="P114" s="984"/>
      <c r="Q114" s="543"/>
      <c r="T114" s="1012"/>
      <c r="AF114" s="874"/>
      <c r="AG114" s="874"/>
    </row>
    <row r="115" spans="1:33" s="870" customFormat="1">
      <c r="A115" s="544"/>
      <c r="B115" s="552"/>
      <c r="C115" s="553"/>
      <c r="D115" s="554"/>
      <c r="E115" s="552"/>
      <c r="F115" s="555"/>
      <c r="G115" s="555"/>
      <c r="H115" s="555"/>
      <c r="I115" s="556"/>
      <c r="J115" s="555"/>
      <c r="K115" s="555"/>
      <c r="L115" s="557"/>
      <c r="M115" s="557"/>
      <c r="N115" s="555">
        <f>SUM(N105:N114)</f>
        <v>1611</v>
      </c>
      <c r="O115" s="548"/>
      <c r="P115" s="984"/>
      <c r="Q115" s="543"/>
      <c r="AF115" s="874"/>
      <c r="AG115" s="874"/>
    </row>
    <row r="116" spans="1:33" s="870" customFormat="1">
      <c r="A116" s="557"/>
      <c r="B116" s="552"/>
      <c r="C116" s="553"/>
      <c r="D116" s="554"/>
      <c r="E116" s="552"/>
      <c r="F116" s="555"/>
      <c r="G116" s="555"/>
      <c r="H116" s="555"/>
      <c r="I116" s="556"/>
      <c r="J116" s="555"/>
      <c r="K116" s="555"/>
      <c r="L116" s="557"/>
      <c r="M116" s="557"/>
      <c r="N116" s="555"/>
      <c r="O116" s="548"/>
      <c r="P116" s="984"/>
      <c r="Q116" s="543"/>
      <c r="AF116" s="874"/>
      <c r="AG116" s="874"/>
    </row>
    <row r="117" spans="1:33" s="870" customFormat="1">
      <c r="A117" s="637"/>
      <c r="B117" s="549"/>
      <c r="C117" s="549"/>
      <c r="D117" s="638"/>
      <c r="E117" s="549"/>
      <c r="F117" s="549"/>
      <c r="G117" s="549"/>
      <c r="H117" s="549"/>
      <c r="I117" s="549"/>
      <c r="J117" s="550"/>
      <c r="K117" s="550"/>
      <c r="L117" s="550"/>
      <c r="M117" s="550"/>
      <c r="N117" s="549"/>
      <c r="O117" s="548"/>
      <c r="P117" s="984"/>
      <c r="Q117" s="543"/>
      <c r="AF117" s="874"/>
      <c r="AG117" s="874"/>
    </row>
    <row r="118" spans="1:33" s="870" customFormat="1">
      <c r="A118" s="637" t="s">
        <v>492</v>
      </c>
      <c r="B118" s="549"/>
      <c r="C118" s="549"/>
      <c r="D118" s="638"/>
      <c r="E118" s="549"/>
      <c r="F118" s="549"/>
      <c r="G118" s="549"/>
      <c r="H118" s="549"/>
      <c r="I118" s="549"/>
      <c r="J118" s="550" t="s">
        <v>506</v>
      </c>
      <c r="K118" s="550" t="s">
        <v>506</v>
      </c>
      <c r="L118" s="550" t="s">
        <v>492</v>
      </c>
      <c r="M118" s="550" t="s">
        <v>492</v>
      </c>
      <c r="N118" s="549" t="s">
        <v>492</v>
      </c>
      <c r="O118" s="554"/>
      <c r="P118" s="985"/>
      <c r="Q118" s="543"/>
      <c r="AF118" s="874"/>
      <c r="AG118" s="874"/>
    </row>
    <row r="119" spans="1:33" s="870" customFormat="1" ht="23.25">
      <c r="A119" s="875" t="s">
        <v>377</v>
      </c>
      <c r="B119" s="876"/>
      <c r="C119" s="876"/>
      <c r="D119" s="876"/>
      <c r="E119" s="876"/>
      <c r="F119" s="876"/>
      <c r="G119" s="876"/>
      <c r="H119" s="876"/>
      <c r="I119" s="876"/>
      <c r="J119" s="877">
        <v>158</v>
      </c>
      <c r="K119" s="550">
        <v>113</v>
      </c>
      <c r="L119" s="877">
        <v>116</v>
      </c>
      <c r="M119" s="877">
        <v>82</v>
      </c>
      <c r="N119" s="876">
        <v>469</v>
      </c>
      <c r="O119" s="543"/>
      <c r="P119" s="543"/>
      <c r="Q119" s="543"/>
      <c r="AF119" s="874"/>
      <c r="AG119" s="874"/>
    </row>
    <row r="120" spans="1:33" s="870" customFormat="1" ht="23.25">
      <c r="A120" s="875" t="s">
        <v>372</v>
      </c>
      <c r="B120" s="876"/>
      <c r="C120" s="876"/>
      <c r="D120" s="876"/>
      <c r="E120" s="876"/>
      <c r="F120" s="876"/>
      <c r="G120" s="876"/>
      <c r="H120" s="876"/>
      <c r="I120" s="876"/>
      <c r="J120" s="877">
        <v>85</v>
      </c>
      <c r="K120" s="550">
        <v>32</v>
      </c>
      <c r="L120" s="877">
        <v>31</v>
      </c>
      <c r="M120" s="877">
        <v>29</v>
      </c>
      <c r="N120" s="876">
        <v>177</v>
      </c>
      <c r="O120" s="543"/>
      <c r="P120" s="543"/>
      <c r="Q120" s="543"/>
      <c r="AF120" s="874"/>
      <c r="AG120" s="874"/>
    </row>
    <row r="121" spans="1:33" s="870" customFormat="1" ht="23.25">
      <c r="A121" s="875" t="s">
        <v>335</v>
      </c>
      <c r="B121" s="876"/>
      <c r="C121" s="876"/>
      <c r="D121" s="876"/>
      <c r="E121" s="876"/>
      <c r="F121" s="876"/>
      <c r="G121" s="876"/>
      <c r="H121" s="876"/>
      <c r="I121" s="876"/>
      <c r="J121" s="877">
        <v>50</v>
      </c>
      <c r="K121" s="550">
        <v>42</v>
      </c>
      <c r="L121" s="877">
        <v>39</v>
      </c>
      <c r="M121" s="877">
        <v>37</v>
      </c>
      <c r="N121" s="876">
        <v>168</v>
      </c>
      <c r="O121" s="543"/>
      <c r="P121" s="543"/>
      <c r="Q121" s="543"/>
      <c r="AF121" s="874"/>
      <c r="AG121" s="874"/>
    </row>
    <row r="122" spans="1:33" s="870" customFormat="1" ht="23.25">
      <c r="A122" s="875" t="s">
        <v>360</v>
      </c>
      <c r="B122" s="876"/>
      <c r="C122" s="876"/>
      <c r="D122" s="876"/>
      <c r="E122" s="876"/>
      <c r="F122" s="876"/>
      <c r="G122" s="876"/>
      <c r="H122" s="876"/>
      <c r="I122" s="876"/>
      <c r="J122" s="877">
        <v>33</v>
      </c>
      <c r="K122" s="550">
        <v>40</v>
      </c>
      <c r="L122" s="877">
        <v>43</v>
      </c>
      <c r="M122" s="877">
        <v>48</v>
      </c>
      <c r="N122" s="876">
        <v>164</v>
      </c>
      <c r="O122" s="543"/>
      <c r="P122" s="543"/>
      <c r="Q122" s="543"/>
      <c r="AF122" s="874"/>
      <c r="AG122" s="874"/>
    </row>
    <row r="123" spans="1:33" s="870" customFormat="1" ht="23.25">
      <c r="A123" s="879" t="s">
        <v>351</v>
      </c>
      <c r="B123" s="876"/>
      <c r="C123" s="876"/>
      <c r="D123" s="876"/>
      <c r="E123" s="876"/>
      <c r="F123" s="876"/>
      <c r="G123" s="876"/>
      <c r="H123" s="876"/>
      <c r="I123" s="876"/>
      <c r="J123" s="877">
        <v>54</v>
      </c>
      <c r="K123" s="549">
        <v>34</v>
      </c>
      <c r="L123" s="877">
        <v>30</v>
      </c>
      <c r="M123" s="876">
        <v>45</v>
      </c>
      <c r="N123" s="876">
        <v>163</v>
      </c>
      <c r="O123" s="543"/>
      <c r="P123" s="543"/>
      <c r="Q123" s="543"/>
      <c r="AF123" s="874"/>
      <c r="AG123" s="874"/>
    </row>
    <row r="124" spans="1:33" s="870" customFormat="1" ht="23.25">
      <c r="A124" s="875" t="s">
        <v>379</v>
      </c>
      <c r="B124" s="876"/>
      <c r="C124" s="876"/>
      <c r="D124" s="876"/>
      <c r="E124" s="876"/>
      <c r="F124" s="876"/>
      <c r="G124" s="876"/>
      <c r="H124" s="876"/>
      <c r="I124" s="876"/>
      <c r="J124" s="877">
        <v>45</v>
      </c>
      <c r="K124" s="550">
        <v>28</v>
      </c>
      <c r="L124" s="877">
        <v>60</v>
      </c>
      <c r="M124" s="877">
        <v>23</v>
      </c>
      <c r="N124" s="876">
        <v>156</v>
      </c>
      <c r="O124" s="543"/>
      <c r="P124" s="543"/>
      <c r="Q124" s="543"/>
      <c r="AF124" s="874"/>
      <c r="AG124" s="874"/>
    </row>
    <row r="125" spans="1:33" s="870" customFormat="1" ht="23.25">
      <c r="A125" s="875" t="s">
        <v>381</v>
      </c>
      <c r="B125" s="876"/>
      <c r="C125" s="876"/>
      <c r="D125" s="876"/>
      <c r="E125" s="876"/>
      <c r="F125" s="876"/>
      <c r="G125" s="876"/>
      <c r="H125" s="876"/>
      <c r="I125" s="876"/>
      <c r="J125" s="877">
        <v>22</v>
      </c>
      <c r="K125" s="550">
        <v>24</v>
      </c>
      <c r="L125" s="877">
        <v>20</v>
      </c>
      <c r="M125" s="877">
        <v>24</v>
      </c>
      <c r="N125" s="876">
        <v>90</v>
      </c>
      <c r="O125" s="543"/>
      <c r="P125" s="543"/>
      <c r="Q125" s="543"/>
      <c r="AF125" s="874"/>
      <c r="AG125" s="874"/>
    </row>
    <row r="126" spans="1:33" s="870" customFormat="1" ht="23.25">
      <c r="A126" s="875" t="s">
        <v>354</v>
      </c>
      <c r="B126" s="876"/>
      <c r="C126" s="876"/>
      <c r="D126" s="876"/>
      <c r="E126" s="876"/>
      <c r="F126" s="876"/>
      <c r="G126" s="876"/>
      <c r="H126" s="876"/>
      <c r="I126" s="876"/>
      <c r="J126" s="877">
        <v>26</v>
      </c>
      <c r="K126" s="550">
        <v>12</v>
      </c>
      <c r="L126" s="877">
        <v>27</v>
      </c>
      <c r="M126" s="877">
        <v>14</v>
      </c>
      <c r="N126" s="876">
        <v>79</v>
      </c>
      <c r="O126" s="543"/>
      <c r="P126" s="543"/>
      <c r="Q126" s="543"/>
      <c r="AF126" s="874"/>
      <c r="AG126" s="874"/>
    </row>
    <row r="127" spans="1:33" s="870" customFormat="1" ht="34.5">
      <c r="A127" s="875" t="s">
        <v>366</v>
      </c>
      <c r="B127" s="876"/>
      <c r="C127" s="876"/>
      <c r="D127" s="876"/>
      <c r="E127" s="876"/>
      <c r="F127" s="876"/>
      <c r="G127" s="876"/>
      <c r="H127" s="876"/>
      <c r="I127" s="876"/>
      <c r="J127" s="877">
        <v>27</v>
      </c>
      <c r="K127" s="550">
        <v>19</v>
      </c>
      <c r="L127" s="877">
        <v>23</v>
      </c>
      <c r="M127" s="877">
        <v>9</v>
      </c>
      <c r="N127" s="876">
        <v>78</v>
      </c>
      <c r="O127" s="543"/>
      <c r="P127" s="543"/>
      <c r="Q127" s="543"/>
      <c r="AF127" s="874"/>
      <c r="AG127" s="874"/>
    </row>
    <row r="128" spans="1:33" s="870" customFormat="1" ht="23.25">
      <c r="A128" s="875" t="s">
        <v>394</v>
      </c>
      <c r="B128" s="876"/>
      <c r="C128" s="876"/>
      <c r="D128" s="876"/>
      <c r="E128" s="876"/>
      <c r="F128" s="876"/>
      <c r="G128" s="876"/>
      <c r="H128" s="876"/>
      <c r="I128" s="876"/>
      <c r="J128" s="877">
        <v>17</v>
      </c>
      <c r="K128" s="550">
        <v>19</v>
      </c>
      <c r="L128" s="877">
        <v>10</v>
      </c>
      <c r="M128" s="877">
        <v>21</v>
      </c>
      <c r="N128" s="876">
        <v>67</v>
      </c>
      <c r="O128" s="543"/>
      <c r="P128" s="543"/>
      <c r="Q128" s="543"/>
      <c r="AF128" s="874"/>
      <c r="AG128" s="874"/>
    </row>
    <row r="129" spans="1:33" s="870" customFormat="1" ht="22.5">
      <c r="A129" s="877" t="s">
        <v>367</v>
      </c>
      <c r="B129" s="876"/>
      <c r="C129" s="876"/>
      <c r="D129" s="876"/>
      <c r="E129" s="876"/>
      <c r="F129" s="876"/>
      <c r="G129" s="876"/>
      <c r="H129" s="876"/>
      <c r="I129" s="876"/>
      <c r="J129" s="877">
        <v>25</v>
      </c>
      <c r="K129" s="550">
        <v>14</v>
      </c>
      <c r="L129" s="877">
        <v>13</v>
      </c>
      <c r="M129" s="877">
        <v>13</v>
      </c>
      <c r="N129" s="876">
        <v>65</v>
      </c>
      <c r="O129" s="543"/>
      <c r="P129" s="543"/>
      <c r="Q129" s="543"/>
      <c r="AF129" s="874"/>
      <c r="AG129" s="874"/>
    </row>
    <row r="130" spans="1:33" s="870" customFormat="1" ht="23.25">
      <c r="A130" s="879" t="s">
        <v>338</v>
      </c>
      <c r="B130" s="876"/>
      <c r="C130" s="876"/>
      <c r="D130" s="876"/>
      <c r="E130" s="876"/>
      <c r="F130" s="876"/>
      <c r="G130" s="876"/>
      <c r="H130" s="876"/>
      <c r="I130" s="876"/>
      <c r="J130" s="877">
        <v>17</v>
      </c>
      <c r="K130" s="550">
        <v>13</v>
      </c>
      <c r="L130" s="877">
        <v>10</v>
      </c>
      <c r="M130" s="877">
        <v>18</v>
      </c>
      <c r="N130" s="876">
        <v>58</v>
      </c>
      <c r="O130" s="543"/>
      <c r="P130" s="543"/>
      <c r="Q130" s="543"/>
      <c r="AF130" s="874"/>
      <c r="AG130" s="874"/>
    </row>
    <row r="131" spans="1:33" s="870" customFormat="1" ht="23.25">
      <c r="A131" s="875" t="s">
        <v>487</v>
      </c>
      <c r="B131" s="876"/>
      <c r="C131" s="876"/>
      <c r="D131" s="876"/>
      <c r="E131" s="876"/>
      <c r="F131" s="876"/>
      <c r="G131" s="876"/>
      <c r="H131" s="876"/>
      <c r="I131" s="876"/>
      <c r="J131" s="877">
        <v>18</v>
      </c>
      <c r="K131" s="550">
        <v>11</v>
      </c>
      <c r="L131" s="877">
        <v>18</v>
      </c>
      <c r="M131" s="877">
        <v>11</v>
      </c>
      <c r="N131" s="876">
        <v>58</v>
      </c>
      <c r="O131" s="543"/>
      <c r="P131" s="543"/>
      <c r="Q131" s="543"/>
      <c r="AF131" s="874"/>
      <c r="AG131" s="874"/>
    </row>
    <row r="132" spans="1:33" s="870" customFormat="1" ht="23.25">
      <c r="A132" s="875" t="s">
        <v>355</v>
      </c>
      <c r="B132" s="876"/>
      <c r="C132" s="876"/>
      <c r="D132" s="876"/>
      <c r="E132" s="876"/>
      <c r="F132" s="876"/>
      <c r="G132" s="876"/>
      <c r="H132" s="876"/>
      <c r="I132" s="876"/>
      <c r="J132" s="877">
        <v>17</v>
      </c>
      <c r="K132" s="550">
        <v>12</v>
      </c>
      <c r="L132" s="877">
        <v>14</v>
      </c>
      <c r="M132" s="877">
        <v>14</v>
      </c>
      <c r="N132" s="876">
        <v>57</v>
      </c>
      <c r="O132" s="543"/>
      <c r="P132" s="543"/>
      <c r="Q132" s="543"/>
      <c r="AF132" s="874"/>
      <c r="AG132" s="874"/>
    </row>
    <row r="133" spans="1:33" s="870" customFormat="1" ht="33.75">
      <c r="A133" s="878" t="s">
        <v>370</v>
      </c>
      <c r="B133" s="876"/>
      <c r="C133" s="876"/>
      <c r="D133" s="876"/>
      <c r="E133" s="876"/>
      <c r="F133" s="876"/>
      <c r="G133" s="876"/>
      <c r="H133" s="876"/>
      <c r="I133" s="876"/>
      <c r="J133" s="877">
        <v>26</v>
      </c>
      <c r="K133" s="550">
        <v>7</v>
      </c>
      <c r="L133" s="877">
        <v>14</v>
      </c>
      <c r="M133" s="877">
        <v>4</v>
      </c>
      <c r="N133" s="876">
        <v>51</v>
      </c>
      <c r="O133" s="543"/>
      <c r="P133" s="543"/>
      <c r="Q133" s="543"/>
      <c r="AF133" s="874"/>
      <c r="AG133" s="874"/>
    </row>
    <row r="134" spans="1:33" s="870" customFormat="1" ht="34.5">
      <c r="A134" s="875" t="s">
        <v>385</v>
      </c>
      <c r="B134" s="876"/>
      <c r="C134" s="876"/>
      <c r="D134" s="876"/>
      <c r="E134" s="876"/>
      <c r="F134" s="876"/>
      <c r="G134" s="876"/>
      <c r="H134" s="876"/>
      <c r="I134" s="876"/>
      <c r="J134" s="877">
        <v>18</v>
      </c>
      <c r="K134" s="550">
        <v>14</v>
      </c>
      <c r="L134" s="877">
        <v>14</v>
      </c>
      <c r="M134" s="877">
        <v>5</v>
      </c>
      <c r="N134" s="876">
        <v>51</v>
      </c>
      <c r="O134" s="543"/>
      <c r="P134" s="543"/>
      <c r="Q134" s="543"/>
      <c r="AF134" s="874"/>
      <c r="AG134" s="874"/>
    </row>
    <row r="135" spans="1:33" s="870" customFormat="1">
      <c r="A135" s="875" t="s">
        <v>246</v>
      </c>
      <c r="B135" s="876"/>
      <c r="C135" s="876"/>
      <c r="D135" s="876"/>
      <c r="E135" s="876"/>
      <c r="F135" s="876"/>
      <c r="G135" s="876"/>
      <c r="H135" s="876"/>
      <c r="I135" s="876"/>
      <c r="J135" s="877">
        <v>16</v>
      </c>
      <c r="K135" s="550">
        <v>13</v>
      </c>
      <c r="L135" s="877">
        <v>14</v>
      </c>
      <c r="M135" s="877">
        <v>5</v>
      </c>
      <c r="N135" s="876">
        <v>48</v>
      </c>
      <c r="O135" s="543"/>
      <c r="P135" s="543"/>
      <c r="Q135" s="543"/>
      <c r="AF135" s="874"/>
      <c r="AG135" s="874"/>
    </row>
    <row r="136" spans="1:33" s="870" customFormat="1" ht="23.25">
      <c r="A136" s="875" t="s">
        <v>336</v>
      </c>
      <c r="B136" s="876"/>
      <c r="C136" s="876"/>
      <c r="D136" s="876"/>
      <c r="E136" s="876"/>
      <c r="F136" s="876"/>
      <c r="G136" s="876"/>
      <c r="H136" s="876"/>
      <c r="I136" s="876"/>
      <c r="J136" s="877">
        <v>20</v>
      </c>
      <c r="K136" s="550">
        <v>10</v>
      </c>
      <c r="L136" s="877">
        <v>6</v>
      </c>
      <c r="M136" s="877">
        <v>9</v>
      </c>
      <c r="N136" s="876">
        <v>45</v>
      </c>
      <c r="O136" s="543"/>
      <c r="P136" s="543"/>
      <c r="Q136" s="543"/>
      <c r="AF136" s="874"/>
      <c r="AG136" s="874"/>
    </row>
    <row r="137" spans="1:33" s="870" customFormat="1" ht="23.25">
      <c r="A137" s="875" t="s">
        <v>364</v>
      </c>
      <c r="B137" s="876"/>
      <c r="C137" s="876"/>
      <c r="D137" s="876"/>
      <c r="E137" s="876"/>
      <c r="F137" s="876"/>
      <c r="G137" s="876"/>
      <c r="H137" s="876"/>
      <c r="I137" s="876"/>
      <c r="J137" s="877">
        <v>12</v>
      </c>
      <c r="K137" s="550">
        <v>13</v>
      </c>
      <c r="L137" s="877">
        <v>7</v>
      </c>
      <c r="M137" s="877">
        <v>11</v>
      </c>
      <c r="N137" s="876">
        <v>43</v>
      </c>
      <c r="O137" s="543"/>
      <c r="P137" s="543"/>
      <c r="Q137" s="543"/>
      <c r="AF137" s="874"/>
      <c r="AG137" s="874"/>
    </row>
    <row r="138" spans="1:33" s="870" customFormat="1" ht="23.25">
      <c r="A138" s="879" t="s">
        <v>357</v>
      </c>
      <c r="B138" s="876"/>
      <c r="C138" s="876"/>
      <c r="D138" s="876"/>
      <c r="E138" s="876"/>
      <c r="F138" s="876"/>
      <c r="G138" s="876"/>
      <c r="H138" s="876"/>
      <c r="I138" s="876"/>
      <c r="J138" s="877">
        <v>30</v>
      </c>
      <c r="K138" s="550">
        <v>5</v>
      </c>
      <c r="L138" s="877">
        <v>3</v>
      </c>
      <c r="M138" s="877">
        <v>3</v>
      </c>
      <c r="N138" s="876">
        <v>41</v>
      </c>
      <c r="O138" s="543"/>
      <c r="P138" s="543"/>
      <c r="Q138" s="543"/>
      <c r="AF138" s="874"/>
      <c r="AG138" s="874"/>
    </row>
    <row r="139" spans="1:33" s="870" customFormat="1" ht="23.25">
      <c r="A139" s="879" t="s">
        <v>373</v>
      </c>
      <c r="B139" s="876"/>
      <c r="C139" s="876"/>
      <c r="D139" s="876"/>
      <c r="E139" s="876"/>
      <c r="F139" s="876"/>
      <c r="G139" s="876"/>
      <c r="H139" s="876"/>
      <c r="I139" s="876"/>
      <c r="J139" s="877">
        <v>8</v>
      </c>
      <c r="K139" s="550">
        <v>7</v>
      </c>
      <c r="L139" s="877">
        <v>6</v>
      </c>
      <c r="M139" s="877">
        <v>16</v>
      </c>
      <c r="N139" s="876">
        <v>37</v>
      </c>
      <c r="O139" s="543"/>
      <c r="P139" s="543"/>
      <c r="Q139" s="543"/>
      <c r="AF139" s="874"/>
      <c r="AG139" s="874"/>
    </row>
    <row r="140" spans="1:33" s="870" customFormat="1" ht="23.25">
      <c r="A140" s="875" t="s">
        <v>378</v>
      </c>
      <c r="B140" s="876"/>
      <c r="C140" s="876"/>
      <c r="D140" s="876"/>
      <c r="E140" s="876"/>
      <c r="F140" s="876"/>
      <c r="G140" s="876"/>
      <c r="H140" s="876"/>
      <c r="I140" s="876"/>
      <c r="J140" s="877">
        <v>10</v>
      </c>
      <c r="K140" s="550">
        <v>11</v>
      </c>
      <c r="L140" s="877">
        <v>10</v>
      </c>
      <c r="M140" s="877">
        <v>6</v>
      </c>
      <c r="N140" s="876">
        <v>37</v>
      </c>
      <c r="O140" s="543"/>
      <c r="P140" s="543"/>
      <c r="Q140" s="543"/>
      <c r="AF140" s="874"/>
      <c r="AG140" s="874"/>
    </row>
    <row r="141" spans="1:33" s="870" customFormat="1">
      <c r="A141" s="875" t="s">
        <v>266</v>
      </c>
      <c r="B141" s="876"/>
      <c r="C141" s="876"/>
      <c r="D141" s="876"/>
      <c r="E141" s="876"/>
      <c r="F141" s="876"/>
      <c r="G141" s="876"/>
      <c r="H141" s="876"/>
      <c r="I141" s="876"/>
      <c r="J141" s="877">
        <v>5</v>
      </c>
      <c r="K141" s="550">
        <v>12</v>
      </c>
      <c r="L141" s="877">
        <v>12</v>
      </c>
      <c r="M141" s="877">
        <v>6</v>
      </c>
      <c r="N141" s="876">
        <v>35</v>
      </c>
      <c r="O141" s="543"/>
      <c r="P141" s="543"/>
      <c r="Q141" s="543"/>
      <c r="AF141" s="874"/>
      <c r="AG141" s="874"/>
    </row>
    <row r="142" spans="1:33" s="870" customFormat="1">
      <c r="A142" s="875" t="s">
        <v>213</v>
      </c>
      <c r="B142" s="876"/>
      <c r="C142" s="876"/>
      <c r="D142" s="876"/>
      <c r="E142" s="876"/>
      <c r="F142" s="876"/>
      <c r="G142" s="876"/>
      <c r="H142" s="876"/>
      <c r="I142" s="876"/>
      <c r="J142" s="877">
        <v>9</v>
      </c>
      <c r="K142" s="550">
        <v>2</v>
      </c>
      <c r="L142" s="877">
        <v>17</v>
      </c>
      <c r="M142" s="877">
        <v>5</v>
      </c>
      <c r="N142" s="876">
        <v>33</v>
      </c>
      <c r="O142" s="543"/>
      <c r="P142" s="543"/>
      <c r="Q142" s="543"/>
      <c r="AF142" s="874"/>
      <c r="AG142" s="874"/>
    </row>
    <row r="143" spans="1:33" s="870" customFormat="1" ht="23.25">
      <c r="A143" s="875" t="s">
        <v>347</v>
      </c>
      <c r="B143" s="876"/>
      <c r="C143" s="876"/>
      <c r="D143" s="876"/>
      <c r="E143" s="876"/>
      <c r="F143" s="876"/>
      <c r="G143" s="876"/>
      <c r="H143" s="876"/>
      <c r="I143" s="876"/>
      <c r="J143" s="877">
        <v>5</v>
      </c>
      <c r="K143" s="550">
        <v>9</v>
      </c>
      <c r="L143" s="877">
        <v>10</v>
      </c>
      <c r="M143" s="877">
        <v>9</v>
      </c>
      <c r="N143" s="876">
        <v>33</v>
      </c>
      <c r="O143" s="543"/>
      <c r="P143" s="543"/>
      <c r="Q143" s="543"/>
      <c r="AF143" s="874"/>
      <c r="AG143" s="874"/>
    </row>
    <row r="144" spans="1:33" s="870" customFormat="1">
      <c r="A144" s="875" t="s">
        <v>383</v>
      </c>
      <c r="B144" s="876"/>
      <c r="C144" s="876"/>
      <c r="D144" s="876"/>
      <c r="E144" s="876"/>
      <c r="F144" s="876"/>
      <c r="G144" s="876"/>
      <c r="H144" s="876"/>
      <c r="I144" s="876"/>
      <c r="J144" s="877">
        <v>7</v>
      </c>
      <c r="K144" s="550">
        <v>9</v>
      </c>
      <c r="L144" s="877">
        <v>7</v>
      </c>
      <c r="M144" s="877">
        <v>9</v>
      </c>
      <c r="N144" s="876">
        <v>32</v>
      </c>
      <c r="O144" s="543"/>
      <c r="P144" s="543"/>
      <c r="Q144" s="543"/>
      <c r="AF144" s="874"/>
      <c r="AG144" s="874"/>
    </row>
    <row r="145" spans="1:33" s="870" customFormat="1">
      <c r="A145" s="880" t="s">
        <v>257</v>
      </c>
      <c r="B145" s="876"/>
      <c r="C145" s="876"/>
      <c r="D145" s="876"/>
      <c r="E145" s="876"/>
      <c r="F145" s="876"/>
      <c r="G145" s="876"/>
      <c r="H145" s="876"/>
      <c r="I145" s="876"/>
      <c r="J145" s="877">
        <v>7</v>
      </c>
      <c r="K145" s="550">
        <v>6</v>
      </c>
      <c r="L145" s="877">
        <v>7</v>
      </c>
      <c r="M145" s="877">
        <v>7</v>
      </c>
      <c r="N145" s="876">
        <v>27</v>
      </c>
      <c r="O145" s="543"/>
      <c r="P145" s="543"/>
      <c r="Q145" s="543"/>
      <c r="AF145" s="874"/>
      <c r="AG145" s="874"/>
    </row>
    <row r="146" spans="1:33" s="870" customFormat="1">
      <c r="A146" s="875" t="s">
        <v>269</v>
      </c>
      <c r="B146" s="876"/>
      <c r="C146" s="876"/>
      <c r="D146" s="876"/>
      <c r="E146" s="876"/>
      <c r="F146" s="876"/>
      <c r="G146" s="876"/>
      <c r="H146" s="876"/>
      <c r="I146" s="876"/>
      <c r="J146" s="877">
        <v>3</v>
      </c>
      <c r="K146" s="550">
        <v>8</v>
      </c>
      <c r="L146" s="877">
        <v>5</v>
      </c>
      <c r="M146" s="877">
        <v>5</v>
      </c>
      <c r="N146" s="876">
        <v>21</v>
      </c>
      <c r="O146" s="543"/>
      <c r="P146" s="543"/>
      <c r="Q146" s="543"/>
      <c r="AF146" s="874"/>
      <c r="AG146" s="874"/>
    </row>
    <row r="147" spans="1:33" s="870" customFormat="1">
      <c r="A147" s="876" t="s">
        <v>362</v>
      </c>
      <c r="B147" s="876"/>
      <c r="C147" s="876"/>
      <c r="D147" s="876"/>
      <c r="E147" s="876"/>
      <c r="F147" s="876"/>
      <c r="G147" s="876"/>
      <c r="H147" s="876"/>
      <c r="I147" s="876"/>
      <c r="J147" s="877">
        <v>7</v>
      </c>
      <c r="K147" s="550">
        <v>6</v>
      </c>
      <c r="L147" s="877">
        <v>4</v>
      </c>
      <c r="M147" s="877">
        <v>2</v>
      </c>
      <c r="N147" s="876">
        <v>19</v>
      </c>
      <c r="O147" s="543"/>
      <c r="P147" s="543"/>
      <c r="Q147" s="543"/>
      <c r="AF147" s="874"/>
      <c r="AG147" s="874"/>
    </row>
    <row r="148" spans="1:33" s="870" customFormat="1">
      <c r="A148" s="875" t="s">
        <v>255</v>
      </c>
      <c r="B148" s="876"/>
      <c r="C148" s="876"/>
      <c r="D148" s="876"/>
      <c r="E148" s="876"/>
      <c r="F148" s="876"/>
      <c r="G148" s="876"/>
      <c r="H148" s="876"/>
      <c r="I148" s="876"/>
      <c r="J148" s="877">
        <v>4</v>
      </c>
      <c r="K148" s="550">
        <v>6</v>
      </c>
      <c r="L148" s="877">
        <v>3</v>
      </c>
      <c r="M148" s="877">
        <v>3</v>
      </c>
      <c r="N148" s="876">
        <v>16</v>
      </c>
      <c r="O148" s="543"/>
      <c r="P148" s="543"/>
      <c r="Q148" s="543"/>
      <c r="AF148" s="874"/>
      <c r="AG148" s="874"/>
    </row>
    <row r="149" spans="1:33" s="870" customFormat="1" ht="23.25">
      <c r="A149" s="875" t="s">
        <v>252</v>
      </c>
      <c r="B149" s="876"/>
      <c r="C149" s="876"/>
      <c r="D149" s="876"/>
      <c r="E149" s="876"/>
      <c r="F149" s="876"/>
      <c r="G149" s="876"/>
      <c r="H149" s="876"/>
      <c r="I149" s="876"/>
      <c r="J149" s="877">
        <v>4</v>
      </c>
      <c r="K149" s="550">
        <v>6</v>
      </c>
      <c r="L149" s="877">
        <v>3</v>
      </c>
      <c r="M149" s="877">
        <v>2</v>
      </c>
      <c r="N149" s="876">
        <v>15</v>
      </c>
      <c r="O149" s="543"/>
      <c r="P149" s="543"/>
      <c r="Q149" s="543"/>
      <c r="AF149" s="874"/>
      <c r="AG149" s="874"/>
    </row>
    <row r="150" spans="1:33" s="870" customFormat="1">
      <c r="A150" s="875" t="s">
        <v>260</v>
      </c>
      <c r="B150" s="876"/>
      <c r="C150" s="876"/>
      <c r="D150" s="876"/>
      <c r="E150" s="876"/>
      <c r="F150" s="876"/>
      <c r="G150" s="876"/>
      <c r="H150" s="876"/>
      <c r="I150" s="876"/>
      <c r="J150" s="877">
        <v>3</v>
      </c>
      <c r="K150" s="550">
        <v>4</v>
      </c>
      <c r="L150" s="877">
        <v>4</v>
      </c>
      <c r="M150" s="877">
        <v>3</v>
      </c>
      <c r="N150" s="876">
        <v>14</v>
      </c>
      <c r="O150" s="543"/>
      <c r="P150" s="543"/>
      <c r="Q150" s="543"/>
      <c r="AF150" s="874"/>
      <c r="AG150" s="874"/>
    </row>
    <row r="151" spans="1:33" s="870" customFormat="1">
      <c r="A151" s="875" t="s">
        <v>267</v>
      </c>
      <c r="B151" s="876"/>
      <c r="C151" s="876"/>
      <c r="D151" s="876"/>
      <c r="E151" s="876"/>
      <c r="F151" s="876"/>
      <c r="G151" s="876"/>
      <c r="H151" s="876"/>
      <c r="I151" s="876"/>
      <c r="J151" s="877">
        <v>1</v>
      </c>
      <c r="K151" s="550">
        <v>0</v>
      </c>
      <c r="L151" s="877">
        <v>2</v>
      </c>
      <c r="M151" s="877">
        <v>10</v>
      </c>
      <c r="N151" s="876">
        <v>13</v>
      </c>
      <c r="O151" s="543"/>
      <c r="P151" s="543"/>
      <c r="Q151" s="543"/>
      <c r="AF151" s="874"/>
      <c r="AG151" s="874"/>
    </row>
    <row r="152" spans="1:33" s="870" customFormat="1" ht="23.25">
      <c r="A152" s="875" t="s">
        <v>268</v>
      </c>
      <c r="B152" s="876"/>
      <c r="C152" s="876"/>
      <c r="D152" s="876"/>
      <c r="E152" s="876"/>
      <c r="F152" s="876"/>
      <c r="G152" s="876"/>
      <c r="H152" s="876"/>
      <c r="I152" s="876"/>
      <c r="J152" s="877">
        <v>2</v>
      </c>
      <c r="K152" s="550">
        <v>3</v>
      </c>
      <c r="L152" s="877">
        <v>5</v>
      </c>
      <c r="M152" s="877">
        <v>3</v>
      </c>
      <c r="N152" s="876">
        <v>13</v>
      </c>
      <c r="O152" s="543"/>
      <c r="P152" s="543"/>
      <c r="Q152" s="543"/>
      <c r="AF152" s="874"/>
      <c r="AG152" s="874"/>
    </row>
    <row r="153" spans="1:33" s="870" customFormat="1">
      <c r="A153" s="878" t="s">
        <v>275</v>
      </c>
      <c r="B153" s="876"/>
      <c r="C153" s="876"/>
      <c r="D153" s="876"/>
      <c r="E153" s="876"/>
      <c r="F153" s="876"/>
      <c r="G153" s="876"/>
      <c r="H153" s="876"/>
      <c r="I153" s="876"/>
      <c r="J153" s="877">
        <v>1</v>
      </c>
      <c r="K153" s="550">
        <v>7</v>
      </c>
      <c r="L153" s="877">
        <v>3</v>
      </c>
      <c r="M153" s="877">
        <v>2</v>
      </c>
      <c r="N153" s="876">
        <v>13</v>
      </c>
      <c r="O153" s="543"/>
      <c r="P153" s="543"/>
      <c r="Q153" s="543"/>
      <c r="AF153" s="874"/>
      <c r="AG153" s="874"/>
    </row>
    <row r="154" spans="1:33" s="870" customFormat="1" ht="34.5">
      <c r="A154" s="875" t="s">
        <v>349</v>
      </c>
      <c r="B154" s="876"/>
      <c r="C154" s="876"/>
      <c r="D154" s="876"/>
      <c r="E154" s="876"/>
      <c r="F154" s="876"/>
      <c r="G154" s="876"/>
      <c r="H154" s="876"/>
      <c r="I154" s="876"/>
      <c r="J154" s="877">
        <v>7</v>
      </c>
      <c r="K154" s="550">
        <v>2</v>
      </c>
      <c r="L154" s="877">
        <v>2</v>
      </c>
      <c r="M154" s="877">
        <v>1</v>
      </c>
      <c r="N154" s="876">
        <v>12</v>
      </c>
      <c r="O154" s="543"/>
      <c r="P154" s="543"/>
      <c r="Q154" s="543"/>
      <c r="AF154" s="874"/>
      <c r="AG154" s="874"/>
    </row>
    <row r="155" spans="1:33" s="870" customFormat="1" ht="34.5">
      <c r="A155" s="875" t="s">
        <v>369</v>
      </c>
      <c r="B155" s="876"/>
      <c r="C155" s="876"/>
      <c r="D155" s="876"/>
      <c r="E155" s="876"/>
      <c r="F155" s="876"/>
      <c r="G155" s="876"/>
      <c r="H155" s="876"/>
      <c r="I155" s="876"/>
      <c r="J155" s="877">
        <v>8</v>
      </c>
      <c r="K155" s="550">
        <v>2</v>
      </c>
      <c r="L155" s="877">
        <v>0</v>
      </c>
      <c r="M155" s="877">
        <v>2</v>
      </c>
      <c r="N155" s="876">
        <v>12</v>
      </c>
      <c r="O155" s="543"/>
      <c r="P155" s="543"/>
      <c r="Q155" s="543"/>
      <c r="AF155" s="874"/>
      <c r="AG155" s="874"/>
    </row>
    <row r="156" spans="1:33" s="870" customFormat="1" ht="23.25">
      <c r="A156" s="875" t="s">
        <v>374</v>
      </c>
      <c r="B156" s="876"/>
      <c r="C156" s="876"/>
      <c r="D156" s="876"/>
      <c r="E156" s="876"/>
      <c r="F156" s="876"/>
      <c r="G156" s="876"/>
      <c r="H156" s="876"/>
      <c r="I156" s="876"/>
      <c r="J156" s="877">
        <v>11</v>
      </c>
      <c r="K156" s="550">
        <v>1</v>
      </c>
      <c r="L156" s="877">
        <v>0</v>
      </c>
      <c r="M156" s="877">
        <v>0</v>
      </c>
      <c r="N156" s="876">
        <v>12</v>
      </c>
      <c r="O156" s="543"/>
      <c r="P156" s="543"/>
      <c r="Q156" s="543"/>
      <c r="AF156" s="874"/>
      <c r="AG156" s="874"/>
    </row>
    <row r="157" spans="1:33" s="870" customFormat="1" ht="23.25">
      <c r="A157" s="875" t="s">
        <v>345</v>
      </c>
      <c r="B157" s="876"/>
      <c r="C157" s="876"/>
      <c r="D157" s="876"/>
      <c r="E157" s="876"/>
      <c r="F157" s="876"/>
      <c r="G157" s="876"/>
      <c r="H157" s="876"/>
      <c r="I157" s="876"/>
      <c r="J157" s="877">
        <v>1</v>
      </c>
      <c r="K157" s="550">
        <v>2</v>
      </c>
      <c r="L157" s="877">
        <v>2</v>
      </c>
      <c r="M157" s="877">
        <v>6</v>
      </c>
      <c r="N157" s="876">
        <v>11</v>
      </c>
      <c r="O157" s="543"/>
      <c r="P157" s="543"/>
      <c r="Q157" s="543"/>
      <c r="AF157" s="874"/>
      <c r="AG157" s="874"/>
    </row>
    <row r="158" spans="1:33" s="870" customFormat="1" ht="22.5">
      <c r="A158" s="877" t="s">
        <v>375</v>
      </c>
      <c r="B158" s="876"/>
      <c r="C158" s="876"/>
      <c r="D158" s="876"/>
      <c r="E158" s="876"/>
      <c r="F158" s="876"/>
      <c r="G158" s="876"/>
      <c r="H158" s="876"/>
      <c r="I158" s="876"/>
      <c r="J158" s="877">
        <v>5</v>
      </c>
      <c r="K158" s="550">
        <v>2</v>
      </c>
      <c r="L158" s="877">
        <v>3</v>
      </c>
      <c r="M158" s="877">
        <v>1</v>
      </c>
      <c r="N158" s="876">
        <v>11</v>
      </c>
      <c r="O158" s="543"/>
      <c r="P158" s="543"/>
      <c r="Q158" s="543"/>
      <c r="AF158" s="874"/>
      <c r="AG158" s="874"/>
    </row>
    <row r="159" spans="1:33" s="870" customFormat="1">
      <c r="A159" s="875" t="s">
        <v>258</v>
      </c>
      <c r="B159" s="876"/>
      <c r="C159" s="876"/>
      <c r="D159" s="876"/>
      <c r="E159" s="876"/>
      <c r="F159" s="876"/>
      <c r="G159" s="876"/>
      <c r="H159" s="876"/>
      <c r="I159" s="876"/>
      <c r="J159" s="877">
        <v>0</v>
      </c>
      <c r="K159" s="550">
        <v>3</v>
      </c>
      <c r="L159" s="877">
        <v>3</v>
      </c>
      <c r="M159" s="877">
        <v>5</v>
      </c>
      <c r="N159" s="876">
        <v>11</v>
      </c>
      <c r="O159" s="543"/>
      <c r="P159" s="543"/>
      <c r="Q159" s="543"/>
      <c r="AF159" s="874"/>
      <c r="AG159" s="874"/>
    </row>
    <row r="160" spans="1:33" s="870" customFormat="1">
      <c r="A160" s="875" t="s">
        <v>270</v>
      </c>
      <c r="B160" s="876"/>
      <c r="C160" s="876"/>
      <c r="D160" s="876"/>
      <c r="E160" s="876"/>
      <c r="F160" s="876"/>
      <c r="G160" s="876"/>
      <c r="H160" s="876"/>
      <c r="I160" s="876"/>
      <c r="J160" s="877">
        <v>3</v>
      </c>
      <c r="K160" s="550">
        <v>2</v>
      </c>
      <c r="L160" s="877">
        <v>3</v>
      </c>
      <c r="M160" s="877">
        <v>3</v>
      </c>
      <c r="N160" s="876">
        <v>11</v>
      </c>
      <c r="O160" s="543"/>
      <c r="P160" s="543"/>
      <c r="Q160" s="543"/>
      <c r="AF160" s="874"/>
      <c r="AG160" s="874"/>
    </row>
    <row r="161" spans="1:33" s="870" customFormat="1" ht="23.25">
      <c r="A161" s="875" t="s">
        <v>271</v>
      </c>
      <c r="B161" s="876"/>
      <c r="C161" s="876"/>
      <c r="D161" s="876"/>
      <c r="E161" s="876"/>
      <c r="F161" s="876"/>
      <c r="G161" s="876"/>
      <c r="H161" s="876"/>
      <c r="I161" s="876"/>
      <c r="J161" s="877">
        <v>6</v>
      </c>
      <c r="K161" s="550">
        <v>1</v>
      </c>
      <c r="L161" s="877">
        <v>2</v>
      </c>
      <c r="M161" s="877">
        <v>2</v>
      </c>
      <c r="N161" s="876">
        <v>11</v>
      </c>
      <c r="O161" s="543"/>
      <c r="P161" s="543"/>
      <c r="Q161" s="543"/>
      <c r="AF161" s="874"/>
      <c r="AG161" s="874"/>
    </row>
    <row r="162" spans="1:33" s="870" customFormat="1">
      <c r="A162" s="875" t="s">
        <v>262</v>
      </c>
      <c r="B162" s="876"/>
      <c r="C162" s="876"/>
      <c r="D162" s="876"/>
      <c r="E162" s="876"/>
      <c r="F162" s="876"/>
      <c r="G162" s="876"/>
      <c r="H162" s="876"/>
      <c r="I162" s="876"/>
      <c r="J162" s="877">
        <v>2</v>
      </c>
      <c r="K162" s="550">
        <v>3</v>
      </c>
      <c r="L162" s="877">
        <v>3</v>
      </c>
      <c r="M162" s="877">
        <v>2</v>
      </c>
      <c r="N162" s="876">
        <v>10</v>
      </c>
      <c r="O162" s="543"/>
      <c r="P162" s="543"/>
      <c r="Q162" s="543"/>
      <c r="AF162" s="874"/>
      <c r="AG162" s="874"/>
    </row>
    <row r="163" spans="1:33" s="870" customFormat="1">
      <c r="A163" s="875" t="s">
        <v>389</v>
      </c>
      <c r="B163" s="876"/>
      <c r="C163" s="876"/>
      <c r="D163" s="876"/>
      <c r="E163" s="876"/>
      <c r="F163" s="876"/>
      <c r="G163" s="876"/>
      <c r="H163" s="876"/>
      <c r="I163" s="876"/>
      <c r="J163" s="877">
        <v>3</v>
      </c>
      <c r="K163" s="550">
        <v>3</v>
      </c>
      <c r="L163" s="877">
        <v>3</v>
      </c>
      <c r="M163" s="877">
        <v>0</v>
      </c>
      <c r="N163" s="876">
        <v>9</v>
      </c>
      <c r="O163" s="543"/>
      <c r="P163" s="543"/>
      <c r="Q163" s="543"/>
      <c r="AF163" s="874"/>
      <c r="AG163" s="874"/>
    </row>
    <row r="164" spans="1:33" s="870" customFormat="1" ht="23.25">
      <c r="A164" s="875" t="s">
        <v>259</v>
      </c>
      <c r="B164" s="876"/>
      <c r="C164" s="876"/>
      <c r="D164" s="876"/>
      <c r="E164" s="876"/>
      <c r="F164" s="876"/>
      <c r="G164" s="876"/>
      <c r="H164" s="876"/>
      <c r="I164" s="876"/>
      <c r="J164" s="877">
        <v>2</v>
      </c>
      <c r="K164" s="550">
        <v>3</v>
      </c>
      <c r="L164" s="877">
        <v>3</v>
      </c>
      <c r="M164" s="877">
        <v>1</v>
      </c>
      <c r="N164" s="876">
        <v>9</v>
      </c>
      <c r="O164" s="543"/>
      <c r="P164" s="543"/>
      <c r="Q164" s="543"/>
      <c r="AF164" s="874"/>
      <c r="AG164" s="874"/>
    </row>
    <row r="165" spans="1:33" s="870" customFormat="1">
      <c r="A165" s="875" t="s">
        <v>273</v>
      </c>
      <c r="B165" s="876"/>
      <c r="C165" s="876"/>
      <c r="D165" s="876"/>
      <c r="E165" s="876"/>
      <c r="F165" s="876"/>
      <c r="G165" s="876"/>
      <c r="H165" s="876"/>
      <c r="I165" s="876"/>
      <c r="J165" s="877">
        <v>4</v>
      </c>
      <c r="K165" s="550">
        <v>1</v>
      </c>
      <c r="L165" s="877">
        <v>2</v>
      </c>
      <c r="M165" s="877">
        <v>2</v>
      </c>
      <c r="N165" s="876">
        <v>9</v>
      </c>
      <c r="O165" s="543"/>
      <c r="P165" s="543"/>
      <c r="Q165" s="543"/>
      <c r="AF165" s="874"/>
      <c r="AG165" s="874"/>
    </row>
    <row r="166" spans="1:33" s="870" customFormat="1" ht="23.25">
      <c r="A166" s="875" t="s">
        <v>386</v>
      </c>
      <c r="B166" s="876"/>
      <c r="C166" s="876"/>
      <c r="D166" s="876"/>
      <c r="E166" s="876"/>
      <c r="F166" s="876"/>
      <c r="G166" s="876"/>
      <c r="H166" s="876"/>
      <c r="I166" s="876"/>
      <c r="J166" s="877">
        <v>3</v>
      </c>
      <c r="K166" s="550">
        <v>3</v>
      </c>
      <c r="L166" s="877">
        <v>2</v>
      </c>
      <c r="M166" s="877">
        <v>0</v>
      </c>
      <c r="N166" s="876">
        <v>8</v>
      </c>
      <c r="O166" s="543"/>
      <c r="P166" s="543"/>
      <c r="Q166" s="543"/>
      <c r="AF166" s="874"/>
      <c r="AG166" s="874"/>
    </row>
    <row r="167" spans="1:33" s="870" customFormat="1" ht="23.25">
      <c r="A167" s="875" t="s">
        <v>390</v>
      </c>
      <c r="B167" s="876"/>
      <c r="C167" s="876"/>
      <c r="D167" s="876"/>
      <c r="E167" s="876"/>
      <c r="F167" s="876"/>
      <c r="G167" s="876"/>
      <c r="H167" s="876"/>
      <c r="I167" s="876"/>
      <c r="J167" s="877">
        <v>4</v>
      </c>
      <c r="K167" s="550">
        <v>0</v>
      </c>
      <c r="L167" s="877">
        <v>3</v>
      </c>
      <c r="M167" s="877">
        <v>1</v>
      </c>
      <c r="N167" s="876">
        <v>8</v>
      </c>
      <c r="O167" s="543"/>
      <c r="P167" s="543"/>
      <c r="Q167" s="543"/>
      <c r="AF167" s="874"/>
      <c r="AG167" s="874"/>
    </row>
    <row r="168" spans="1:33" s="870" customFormat="1">
      <c r="A168" s="875" t="s">
        <v>247</v>
      </c>
      <c r="B168" s="876"/>
      <c r="C168" s="876"/>
      <c r="D168" s="876"/>
      <c r="E168" s="876"/>
      <c r="F168" s="876"/>
      <c r="G168" s="876"/>
      <c r="H168" s="876"/>
      <c r="I168" s="876"/>
      <c r="J168" s="877">
        <v>2</v>
      </c>
      <c r="K168" s="550">
        <v>4</v>
      </c>
      <c r="L168" s="877">
        <v>2</v>
      </c>
      <c r="M168" s="877">
        <v>0</v>
      </c>
      <c r="N168" s="876">
        <v>8</v>
      </c>
      <c r="O168" s="543"/>
      <c r="P168" s="543"/>
      <c r="Q168" s="543"/>
      <c r="AF168" s="874"/>
      <c r="AG168" s="874"/>
    </row>
    <row r="169" spans="1:33" s="870" customFormat="1" ht="23.25">
      <c r="A169" s="875" t="s">
        <v>391</v>
      </c>
      <c r="B169" s="876"/>
      <c r="C169" s="876"/>
      <c r="D169" s="876"/>
      <c r="E169" s="876"/>
      <c r="F169" s="876"/>
      <c r="G169" s="876"/>
      <c r="H169" s="876"/>
      <c r="I169" s="876"/>
      <c r="J169" s="877">
        <v>1</v>
      </c>
      <c r="K169" s="550">
        <v>0</v>
      </c>
      <c r="L169" s="877">
        <v>5</v>
      </c>
      <c r="M169" s="877">
        <v>2</v>
      </c>
      <c r="N169" s="876">
        <v>8</v>
      </c>
      <c r="O169" s="543"/>
      <c r="P169" s="543"/>
      <c r="Q169" s="543"/>
      <c r="AF169" s="874"/>
      <c r="AG169" s="874"/>
    </row>
    <row r="170" spans="1:33" s="870" customFormat="1">
      <c r="A170" s="879" t="s">
        <v>393</v>
      </c>
      <c r="B170" s="876"/>
      <c r="C170" s="876"/>
      <c r="D170" s="876"/>
      <c r="E170" s="876"/>
      <c r="F170" s="876"/>
      <c r="G170" s="876"/>
      <c r="H170" s="876"/>
      <c r="I170" s="876"/>
      <c r="J170" s="877">
        <v>1</v>
      </c>
      <c r="K170" s="550">
        <v>1</v>
      </c>
      <c r="L170" s="877">
        <v>3</v>
      </c>
      <c r="M170" s="877">
        <v>3</v>
      </c>
      <c r="N170" s="876">
        <v>8</v>
      </c>
      <c r="O170" s="543"/>
      <c r="P170" s="543"/>
      <c r="Q170" s="543"/>
      <c r="AF170" s="874"/>
      <c r="AG170" s="874"/>
    </row>
    <row r="171" spans="1:33" s="870" customFormat="1" ht="23.25">
      <c r="A171" s="875" t="s">
        <v>342</v>
      </c>
      <c r="B171" s="876"/>
      <c r="C171" s="876"/>
      <c r="D171" s="876"/>
      <c r="E171" s="876"/>
      <c r="F171" s="876"/>
      <c r="G171" s="876"/>
      <c r="H171" s="876"/>
      <c r="I171" s="876"/>
      <c r="J171" s="877">
        <v>3</v>
      </c>
      <c r="K171" s="550">
        <v>3</v>
      </c>
      <c r="L171" s="877">
        <v>0</v>
      </c>
      <c r="M171" s="877">
        <v>1</v>
      </c>
      <c r="N171" s="876">
        <v>7</v>
      </c>
      <c r="O171" s="543"/>
      <c r="P171" s="543"/>
      <c r="Q171" s="543"/>
      <c r="AF171" s="874"/>
      <c r="AG171" s="874"/>
    </row>
    <row r="172" spans="1:33" s="870" customFormat="1" ht="23.25">
      <c r="A172" s="875" t="s">
        <v>344</v>
      </c>
      <c r="B172" s="876"/>
      <c r="C172" s="876"/>
      <c r="D172" s="876"/>
      <c r="E172" s="876"/>
      <c r="F172" s="876"/>
      <c r="G172" s="876"/>
      <c r="H172" s="876"/>
      <c r="I172" s="876"/>
      <c r="J172" s="877">
        <v>1</v>
      </c>
      <c r="K172" s="550">
        <v>3</v>
      </c>
      <c r="L172" s="877">
        <v>2</v>
      </c>
      <c r="M172" s="877">
        <v>1</v>
      </c>
      <c r="N172" s="876">
        <v>7</v>
      </c>
      <c r="O172" s="543"/>
      <c r="P172" s="543"/>
      <c r="Q172" s="543"/>
      <c r="AF172" s="874"/>
      <c r="AG172" s="874"/>
    </row>
    <row r="173" spans="1:33" s="870" customFormat="1" ht="23.25">
      <c r="A173" s="875" t="s">
        <v>380</v>
      </c>
      <c r="B173" s="876"/>
      <c r="C173" s="876"/>
      <c r="D173" s="876"/>
      <c r="E173" s="876"/>
      <c r="F173" s="876"/>
      <c r="G173" s="876"/>
      <c r="H173" s="876"/>
      <c r="I173" s="876"/>
      <c r="J173" s="877">
        <v>3</v>
      </c>
      <c r="K173" s="550">
        <v>1</v>
      </c>
      <c r="L173" s="877">
        <v>3</v>
      </c>
      <c r="M173" s="877">
        <v>0</v>
      </c>
      <c r="N173" s="876">
        <v>7</v>
      </c>
      <c r="O173" s="543"/>
      <c r="P173" s="543"/>
      <c r="Q173" s="543"/>
      <c r="AF173" s="874"/>
      <c r="AG173" s="874"/>
    </row>
    <row r="174" spans="1:33" s="870" customFormat="1" ht="23.25">
      <c r="A174" s="875" t="s">
        <v>248</v>
      </c>
      <c r="B174" s="876"/>
      <c r="C174" s="876"/>
      <c r="D174" s="876"/>
      <c r="E174" s="876"/>
      <c r="F174" s="876"/>
      <c r="G174" s="876"/>
      <c r="H174" s="876"/>
      <c r="I174" s="876"/>
      <c r="J174" s="877">
        <v>0</v>
      </c>
      <c r="K174" s="550">
        <v>4</v>
      </c>
      <c r="L174" s="877">
        <v>2</v>
      </c>
      <c r="M174" s="877">
        <v>1</v>
      </c>
      <c r="N174" s="876">
        <v>7</v>
      </c>
      <c r="O174" s="543"/>
      <c r="P174" s="543"/>
      <c r="Q174" s="543"/>
      <c r="AF174" s="874"/>
      <c r="AG174" s="874"/>
    </row>
    <row r="175" spans="1:33" s="870" customFormat="1">
      <c r="A175" s="875" t="s">
        <v>265</v>
      </c>
      <c r="B175" s="876"/>
      <c r="C175" s="876"/>
      <c r="D175" s="876"/>
      <c r="E175" s="876"/>
      <c r="F175" s="876"/>
      <c r="G175" s="876"/>
      <c r="H175" s="876"/>
      <c r="I175" s="876"/>
      <c r="J175" s="877">
        <v>2</v>
      </c>
      <c r="K175" s="550">
        <v>0</v>
      </c>
      <c r="L175" s="877">
        <v>2</v>
      </c>
      <c r="M175" s="877">
        <v>3</v>
      </c>
      <c r="N175" s="876">
        <v>7</v>
      </c>
      <c r="O175" s="543"/>
      <c r="P175" s="543"/>
      <c r="Q175" s="543"/>
      <c r="AF175" s="874"/>
      <c r="AG175" s="874"/>
    </row>
    <row r="176" spans="1:33" s="870" customFormat="1" ht="23.25">
      <c r="A176" s="875" t="s">
        <v>332</v>
      </c>
      <c r="B176" s="876"/>
      <c r="C176" s="876"/>
      <c r="D176" s="876"/>
      <c r="E176" s="876"/>
      <c r="F176" s="876"/>
      <c r="G176" s="876"/>
      <c r="H176" s="876"/>
      <c r="I176" s="876"/>
      <c r="J176" s="877">
        <v>2</v>
      </c>
      <c r="K176" s="550">
        <v>0</v>
      </c>
      <c r="L176" s="877">
        <v>2</v>
      </c>
      <c r="M176" s="877">
        <v>2</v>
      </c>
      <c r="N176" s="876">
        <v>6</v>
      </c>
      <c r="O176" s="543"/>
      <c r="P176" s="543"/>
      <c r="Q176" s="543"/>
      <c r="AF176" s="874"/>
      <c r="AG176" s="874"/>
    </row>
    <row r="177" spans="1:33" s="870" customFormat="1" ht="23.25">
      <c r="A177" s="875" t="s">
        <v>353</v>
      </c>
      <c r="B177" s="876"/>
      <c r="C177" s="876"/>
      <c r="D177" s="876"/>
      <c r="E177" s="876"/>
      <c r="F177" s="876"/>
      <c r="G177" s="876"/>
      <c r="H177" s="876"/>
      <c r="I177" s="876"/>
      <c r="J177" s="877">
        <v>2</v>
      </c>
      <c r="K177" s="550">
        <v>1</v>
      </c>
      <c r="L177" s="877">
        <v>2</v>
      </c>
      <c r="M177" s="877">
        <v>1</v>
      </c>
      <c r="N177" s="876">
        <v>6</v>
      </c>
      <c r="O177" s="543"/>
      <c r="P177" s="543"/>
      <c r="Q177" s="543"/>
      <c r="AF177" s="874"/>
      <c r="AG177" s="874"/>
    </row>
    <row r="178" spans="1:33" s="870" customFormat="1" ht="23.25">
      <c r="A178" s="875" t="s">
        <v>382</v>
      </c>
      <c r="B178" s="876"/>
      <c r="C178" s="876"/>
      <c r="D178" s="876"/>
      <c r="E178" s="876"/>
      <c r="F178" s="876"/>
      <c r="G178" s="876"/>
      <c r="H178" s="876"/>
      <c r="I178" s="876"/>
      <c r="J178" s="877">
        <v>1</v>
      </c>
      <c r="K178" s="550">
        <v>3</v>
      </c>
      <c r="L178" s="877">
        <v>1</v>
      </c>
      <c r="M178" s="877">
        <v>1</v>
      </c>
      <c r="N178" s="876">
        <v>6</v>
      </c>
      <c r="O178" s="543"/>
      <c r="P178" s="543"/>
      <c r="Q178" s="543"/>
      <c r="AF178" s="874"/>
      <c r="AG178" s="874"/>
    </row>
    <row r="179" spans="1:33" s="870" customFormat="1" ht="34.5">
      <c r="A179" s="875" t="s">
        <v>387</v>
      </c>
      <c r="B179" s="876"/>
      <c r="C179" s="876"/>
      <c r="D179" s="876"/>
      <c r="E179" s="876"/>
      <c r="F179" s="876"/>
      <c r="G179" s="876"/>
      <c r="H179" s="876"/>
      <c r="I179" s="876"/>
      <c r="J179" s="877">
        <v>3</v>
      </c>
      <c r="K179" s="550">
        <v>2</v>
      </c>
      <c r="L179" s="877">
        <v>0</v>
      </c>
      <c r="M179" s="877">
        <v>1</v>
      </c>
      <c r="N179" s="876">
        <v>6</v>
      </c>
      <c r="O179" s="543"/>
      <c r="P179" s="543"/>
      <c r="Q179" s="543"/>
      <c r="AF179" s="874"/>
      <c r="AG179" s="874"/>
    </row>
    <row r="180" spans="1:33" s="870" customFormat="1">
      <c r="A180" s="875" t="s">
        <v>263</v>
      </c>
      <c r="B180" s="876"/>
      <c r="C180" s="876"/>
      <c r="D180" s="876"/>
      <c r="E180" s="876"/>
      <c r="F180" s="876"/>
      <c r="G180" s="876"/>
      <c r="H180" s="876"/>
      <c r="I180" s="876"/>
      <c r="J180" s="877">
        <v>1</v>
      </c>
      <c r="K180" s="550">
        <v>2</v>
      </c>
      <c r="L180" s="877">
        <v>3</v>
      </c>
      <c r="M180" s="877">
        <v>0</v>
      </c>
      <c r="N180" s="876">
        <v>6</v>
      </c>
      <c r="O180" s="543"/>
      <c r="P180" s="543"/>
      <c r="Q180" s="543"/>
      <c r="AF180" s="874"/>
      <c r="AG180" s="874"/>
    </row>
    <row r="181" spans="1:33" s="870" customFormat="1">
      <c r="A181" s="875" t="s">
        <v>276</v>
      </c>
      <c r="B181" s="876"/>
      <c r="C181" s="876"/>
      <c r="D181" s="876"/>
      <c r="E181" s="876"/>
      <c r="F181" s="876"/>
      <c r="G181" s="876"/>
      <c r="H181" s="876"/>
      <c r="I181" s="876"/>
      <c r="J181" s="877">
        <v>0</v>
      </c>
      <c r="K181" s="550">
        <v>2</v>
      </c>
      <c r="L181" s="877">
        <v>3</v>
      </c>
      <c r="M181" s="877">
        <v>1</v>
      </c>
      <c r="N181" s="876">
        <v>6</v>
      </c>
      <c r="O181" s="543"/>
      <c r="P181" s="543"/>
      <c r="Q181" s="543"/>
      <c r="AF181" s="874"/>
      <c r="AG181" s="874"/>
    </row>
    <row r="182" spans="1:33" s="870" customFormat="1" ht="23.25">
      <c r="A182" s="875" t="s">
        <v>340</v>
      </c>
      <c r="B182" s="876"/>
      <c r="C182" s="876"/>
      <c r="D182" s="876"/>
      <c r="E182" s="876"/>
      <c r="F182" s="876"/>
      <c r="G182" s="876"/>
      <c r="H182" s="876"/>
      <c r="I182" s="876"/>
      <c r="J182" s="877">
        <v>2</v>
      </c>
      <c r="K182" s="549">
        <v>1</v>
      </c>
      <c r="L182" s="877">
        <v>0</v>
      </c>
      <c r="M182" s="876">
        <v>2</v>
      </c>
      <c r="N182" s="876">
        <v>5</v>
      </c>
      <c r="O182" s="543"/>
      <c r="P182" s="543"/>
      <c r="Q182" s="543"/>
      <c r="AF182" s="874"/>
      <c r="AG182" s="874"/>
    </row>
    <row r="183" spans="1:33" s="870" customFormat="1">
      <c r="A183" s="875" t="s">
        <v>384</v>
      </c>
      <c r="B183" s="876"/>
      <c r="C183" s="876"/>
      <c r="D183" s="876"/>
      <c r="E183" s="876"/>
      <c r="F183" s="876"/>
      <c r="G183" s="876"/>
      <c r="H183" s="876"/>
      <c r="I183" s="876"/>
      <c r="J183" s="877">
        <v>2</v>
      </c>
      <c r="K183" s="550">
        <v>0</v>
      </c>
      <c r="L183" s="877">
        <v>0</v>
      </c>
      <c r="M183" s="877">
        <v>3</v>
      </c>
      <c r="N183" s="876">
        <v>5</v>
      </c>
      <c r="O183" s="543"/>
      <c r="P183" s="543"/>
      <c r="Q183" s="543"/>
      <c r="AF183" s="874"/>
      <c r="AG183" s="874"/>
    </row>
    <row r="184" spans="1:33" s="870" customFormat="1">
      <c r="A184" s="877" t="s">
        <v>250</v>
      </c>
      <c r="B184" s="876"/>
      <c r="C184" s="876"/>
      <c r="D184" s="876"/>
      <c r="E184" s="876"/>
      <c r="F184" s="876"/>
      <c r="G184" s="876"/>
      <c r="H184" s="876"/>
      <c r="I184" s="876"/>
      <c r="J184" s="877">
        <v>0</v>
      </c>
      <c r="K184" s="550">
        <v>0</v>
      </c>
      <c r="L184" s="877">
        <v>5</v>
      </c>
      <c r="M184" s="877">
        <v>0</v>
      </c>
      <c r="N184" s="876">
        <v>5</v>
      </c>
      <c r="O184" s="543"/>
      <c r="P184" s="543"/>
      <c r="Q184" s="543"/>
      <c r="AF184" s="874"/>
      <c r="AG184" s="874"/>
    </row>
    <row r="185" spans="1:33" s="870" customFormat="1" ht="23.25">
      <c r="A185" s="875" t="s">
        <v>274</v>
      </c>
      <c r="B185" s="876"/>
      <c r="C185" s="876"/>
      <c r="D185" s="876"/>
      <c r="E185" s="876"/>
      <c r="F185" s="876"/>
      <c r="G185" s="876"/>
      <c r="H185" s="876"/>
      <c r="I185" s="876"/>
      <c r="J185" s="877">
        <v>0</v>
      </c>
      <c r="K185" s="550">
        <v>3</v>
      </c>
      <c r="L185" s="877">
        <v>2</v>
      </c>
      <c r="M185" s="877">
        <v>0</v>
      </c>
      <c r="N185" s="876">
        <v>5</v>
      </c>
      <c r="O185" s="543"/>
      <c r="P185" s="543"/>
      <c r="Q185" s="543"/>
      <c r="AF185" s="874"/>
      <c r="AG185" s="874"/>
    </row>
    <row r="186" spans="1:33" s="870" customFormat="1" ht="23.25">
      <c r="A186" s="875" t="s">
        <v>251</v>
      </c>
      <c r="B186" s="876"/>
      <c r="C186" s="876"/>
      <c r="D186" s="876"/>
      <c r="E186" s="876"/>
      <c r="F186" s="876"/>
      <c r="G186" s="876"/>
      <c r="H186" s="876"/>
      <c r="I186" s="876"/>
      <c r="J186" s="877">
        <v>0</v>
      </c>
      <c r="K186" s="550">
        <v>1</v>
      </c>
      <c r="L186" s="877">
        <v>1</v>
      </c>
      <c r="M186" s="877">
        <v>2</v>
      </c>
      <c r="N186" s="876">
        <v>4</v>
      </c>
      <c r="O186" s="543"/>
      <c r="P186" s="543"/>
      <c r="Q186" s="543"/>
      <c r="AF186" s="874"/>
      <c r="AG186" s="874"/>
    </row>
    <row r="187" spans="1:33" s="870" customFormat="1" ht="23.25">
      <c r="A187" s="875" t="s">
        <v>392</v>
      </c>
      <c r="B187" s="876"/>
      <c r="C187" s="876"/>
      <c r="D187" s="876"/>
      <c r="E187" s="876"/>
      <c r="F187" s="876"/>
      <c r="G187" s="876"/>
      <c r="H187" s="876"/>
      <c r="I187" s="876"/>
      <c r="J187" s="877">
        <v>0</v>
      </c>
      <c r="K187" s="550">
        <v>1</v>
      </c>
      <c r="L187" s="877">
        <v>2</v>
      </c>
      <c r="M187" s="877">
        <v>1</v>
      </c>
      <c r="N187" s="876">
        <v>4</v>
      </c>
      <c r="O187" s="543"/>
      <c r="P187" s="543"/>
      <c r="Q187" s="543"/>
      <c r="AF187" s="874"/>
      <c r="AG187" s="874"/>
    </row>
    <row r="188" spans="1:33" s="870" customFormat="1">
      <c r="A188" s="875" t="s">
        <v>264</v>
      </c>
      <c r="B188" s="876"/>
      <c r="C188" s="876"/>
      <c r="D188" s="876"/>
      <c r="E188" s="876"/>
      <c r="F188" s="876"/>
      <c r="G188" s="876"/>
      <c r="H188" s="876"/>
      <c r="I188" s="876"/>
      <c r="J188" s="877">
        <v>2</v>
      </c>
      <c r="K188" s="550">
        <v>1</v>
      </c>
      <c r="L188" s="877">
        <v>1</v>
      </c>
      <c r="M188" s="877">
        <v>0</v>
      </c>
      <c r="N188" s="876">
        <v>4</v>
      </c>
      <c r="O188" s="543"/>
      <c r="P188" s="543"/>
      <c r="Q188" s="543"/>
      <c r="AF188" s="874"/>
      <c r="AG188" s="874"/>
    </row>
    <row r="189" spans="1:33" s="870" customFormat="1">
      <c r="A189" s="877" t="s">
        <v>272</v>
      </c>
      <c r="B189" s="876"/>
      <c r="C189" s="876"/>
      <c r="D189" s="876"/>
      <c r="E189" s="876"/>
      <c r="F189" s="876"/>
      <c r="G189" s="876"/>
      <c r="H189" s="876"/>
      <c r="I189" s="876"/>
      <c r="J189" s="877">
        <v>0</v>
      </c>
      <c r="K189" s="549">
        <v>2</v>
      </c>
      <c r="L189" s="877">
        <v>2</v>
      </c>
      <c r="M189" s="877">
        <v>0</v>
      </c>
      <c r="N189" s="876">
        <v>4</v>
      </c>
      <c r="O189" s="543"/>
      <c r="P189" s="543"/>
      <c r="Q189" s="543"/>
      <c r="AF189" s="874"/>
      <c r="AG189" s="874"/>
    </row>
    <row r="190" spans="1:33" s="870" customFormat="1">
      <c r="A190" s="875" t="s">
        <v>256</v>
      </c>
      <c r="B190" s="876"/>
      <c r="C190" s="876"/>
      <c r="D190" s="876"/>
      <c r="E190" s="876"/>
      <c r="F190" s="876"/>
      <c r="G190" s="876"/>
      <c r="H190" s="876"/>
      <c r="I190" s="876"/>
      <c r="J190" s="877">
        <v>2</v>
      </c>
      <c r="K190" s="550">
        <v>0</v>
      </c>
      <c r="L190" s="877">
        <v>1</v>
      </c>
      <c r="M190" s="877">
        <v>0</v>
      </c>
      <c r="N190" s="876">
        <v>3</v>
      </c>
      <c r="O190" s="543"/>
      <c r="P190" s="543"/>
      <c r="Q190" s="543"/>
      <c r="AF190" s="874"/>
      <c r="AG190" s="874"/>
    </row>
    <row r="191" spans="1:33" s="870" customFormat="1">
      <c r="A191" s="875" t="s">
        <v>254</v>
      </c>
      <c r="B191" s="876"/>
      <c r="C191" s="876"/>
      <c r="D191" s="876"/>
      <c r="E191" s="876"/>
      <c r="F191" s="876"/>
      <c r="G191" s="876"/>
      <c r="H191" s="876"/>
      <c r="I191" s="876"/>
      <c r="J191" s="877">
        <v>1</v>
      </c>
      <c r="K191" s="550">
        <v>0</v>
      </c>
      <c r="L191" s="877">
        <v>1</v>
      </c>
      <c r="M191" s="877">
        <v>0</v>
      </c>
      <c r="N191" s="876">
        <v>2</v>
      </c>
      <c r="O191" s="543"/>
      <c r="P191" s="543"/>
      <c r="Q191" s="543"/>
      <c r="AF191" s="874"/>
      <c r="AG191" s="874"/>
    </row>
    <row r="192" spans="1:33" s="870" customFormat="1" ht="23.25">
      <c r="A192" s="875" t="s">
        <v>358</v>
      </c>
      <c r="B192" s="876"/>
      <c r="C192" s="876"/>
      <c r="D192" s="876"/>
      <c r="E192" s="876"/>
      <c r="F192" s="876"/>
      <c r="G192" s="876"/>
      <c r="H192" s="876"/>
      <c r="I192" s="876"/>
      <c r="J192" s="877">
        <v>0</v>
      </c>
      <c r="K192" s="550">
        <v>0</v>
      </c>
      <c r="L192" s="877">
        <v>1</v>
      </c>
      <c r="M192" s="877">
        <v>0</v>
      </c>
      <c r="N192" s="876">
        <v>1</v>
      </c>
      <c r="O192" s="543"/>
      <c r="P192" s="543"/>
      <c r="Q192" s="543"/>
      <c r="AF192" s="874"/>
      <c r="AG192" s="874"/>
    </row>
    <row r="193" spans="1:33" s="870" customFormat="1" ht="23.25">
      <c r="A193" s="875" t="s">
        <v>376</v>
      </c>
      <c r="B193" s="876"/>
      <c r="C193" s="876"/>
      <c r="D193" s="876"/>
      <c r="E193" s="876"/>
      <c r="F193" s="876"/>
      <c r="G193" s="876"/>
      <c r="H193" s="876"/>
      <c r="I193" s="876"/>
      <c r="J193" s="877">
        <v>0</v>
      </c>
      <c r="K193" s="550">
        <v>0</v>
      </c>
      <c r="L193" s="877">
        <v>1</v>
      </c>
      <c r="M193" s="877">
        <v>0</v>
      </c>
      <c r="N193" s="876">
        <v>1</v>
      </c>
      <c r="O193" s="543"/>
      <c r="P193" s="543"/>
      <c r="Q193" s="543"/>
      <c r="AF193" s="874"/>
      <c r="AG193" s="874"/>
    </row>
    <row r="194" spans="1:33" s="870" customFormat="1" ht="23.25">
      <c r="A194" s="875" t="s">
        <v>333</v>
      </c>
      <c r="B194" s="876"/>
      <c r="C194" s="876"/>
      <c r="D194" s="876"/>
      <c r="E194" s="876"/>
      <c r="F194" s="876"/>
      <c r="G194" s="876"/>
      <c r="H194" s="876"/>
      <c r="I194" s="876"/>
      <c r="J194" s="877">
        <v>0</v>
      </c>
      <c r="K194" s="550">
        <v>0</v>
      </c>
      <c r="L194" s="877">
        <v>0</v>
      </c>
      <c r="M194" s="877">
        <v>0</v>
      </c>
      <c r="N194" s="876">
        <v>0</v>
      </c>
      <c r="O194" s="543"/>
      <c r="P194" s="543"/>
      <c r="Q194" s="543"/>
      <c r="AF194" s="874"/>
      <c r="AG194" s="874"/>
    </row>
    <row r="195" spans="1:33" s="870" customFormat="1">
      <c r="A195" s="881" t="s">
        <v>361</v>
      </c>
      <c r="B195" s="876"/>
      <c r="C195" s="876"/>
      <c r="D195" s="876"/>
      <c r="E195" s="876"/>
      <c r="F195" s="876"/>
      <c r="G195" s="876"/>
      <c r="H195" s="876"/>
      <c r="I195" s="876"/>
      <c r="J195" s="877">
        <v>0</v>
      </c>
      <c r="K195" s="550">
        <v>0</v>
      </c>
      <c r="L195" s="877">
        <v>0</v>
      </c>
      <c r="M195" s="877">
        <v>0</v>
      </c>
      <c r="N195" s="876">
        <v>0</v>
      </c>
      <c r="O195" s="543"/>
      <c r="P195" s="543"/>
      <c r="Q195" s="543"/>
      <c r="AF195" s="874"/>
      <c r="AG195" s="874"/>
    </row>
    <row r="196" spans="1:33" s="870" customFormat="1" ht="23.25">
      <c r="A196" s="875" t="s">
        <v>388</v>
      </c>
      <c r="B196" s="876"/>
      <c r="C196" s="876"/>
      <c r="D196" s="876"/>
      <c r="E196" s="876"/>
      <c r="F196" s="876"/>
      <c r="G196" s="876"/>
      <c r="H196" s="876"/>
      <c r="I196" s="876"/>
      <c r="J196" s="877">
        <v>0</v>
      </c>
      <c r="K196" s="550">
        <v>0</v>
      </c>
      <c r="L196" s="877">
        <v>0</v>
      </c>
      <c r="M196" s="877">
        <v>0</v>
      </c>
      <c r="N196" s="876">
        <v>0</v>
      </c>
      <c r="O196" s="543"/>
      <c r="P196" s="543"/>
      <c r="Q196" s="543"/>
      <c r="AF196" s="874"/>
      <c r="AG196" s="874"/>
    </row>
    <row r="197" spans="1:33" s="870" customFormat="1">
      <c r="A197" s="870" t="s">
        <v>312</v>
      </c>
      <c r="C197" s="543"/>
      <c r="D197" s="543"/>
      <c r="F197" s="874"/>
      <c r="G197" s="874"/>
      <c r="H197" s="874"/>
      <c r="I197" s="882"/>
      <c r="J197" s="874">
        <f>SUM(J119:J196)</f>
        <v>882</v>
      </c>
      <c r="K197" s="874">
        <v>634</v>
      </c>
      <c r="L197" s="874">
        <v>688</v>
      </c>
      <c r="M197" s="883">
        <v>564</v>
      </c>
      <c r="N197" s="873">
        <v>1886</v>
      </c>
      <c r="O197" s="543"/>
      <c r="P197" s="543"/>
      <c r="Q197" s="543"/>
      <c r="AF197" s="874"/>
      <c r="AG197" s="874"/>
    </row>
    <row r="198" spans="1:33" s="571" customFormat="1">
      <c r="C198" s="574"/>
      <c r="D198" s="574"/>
      <c r="F198" s="573"/>
      <c r="G198" s="573"/>
      <c r="H198" s="573"/>
      <c r="I198" s="932"/>
      <c r="J198" s="573"/>
      <c r="K198" s="573"/>
      <c r="L198" s="573"/>
      <c r="M198" s="575"/>
      <c r="N198" s="572"/>
      <c r="O198" s="574"/>
      <c r="P198" s="574"/>
      <c r="Q198" s="574"/>
      <c r="AF198" s="573"/>
      <c r="AG198" s="573"/>
    </row>
    <row r="199" spans="1:33" s="571" customFormat="1">
      <c r="C199" s="574"/>
      <c r="D199" s="574"/>
      <c r="F199" s="573"/>
      <c r="G199" s="573"/>
      <c r="H199" s="573"/>
      <c r="I199" s="932"/>
      <c r="J199" s="573"/>
      <c r="K199" s="573"/>
      <c r="L199" s="573"/>
      <c r="M199" s="575"/>
      <c r="N199" s="572"/>
      <c r="O199" s="574"/>
      <c r="P199" s="574"/>
      <c r="Q199" s="574"/>
      <c r="AF199" s="573"/>
      <c r="AG199" s="573"/>
    </row>
    <row r="200" spans="1:33" s="571" customFormat="1">
      <c r="C200" s="574"/>
      <c r="D200" s="574"/>
      <c r="F200" s="573"/>
      <c r="G200" s="573"/>
      <c r="H200" s="573"/>
      <c r="I200" s="932"/>
      <c r="J200" s="573"/>
      <c r="K200" s="573"/>
      <c r="L200" s="573"/>
      <c r="M200" s="575"/>
      <c r="N200" s="572"/>
      <c r="O200" s="574"/>
      <c r="P200" s="574"/>
      <c r="Q200" s="574"/>
      <c r="AF200" s="573"/>
      <c r="AG200" s="573"/>
    </row>
    <row r="201" spans="1:33" s="571" customFormat="1">
      <c r="C201" s="574"/>
      <c r="D201" s="574"/>
      <c r="F201" s="573"/>
      <c r="G201" s="573"/>
      <c r="H201" s="573"/>
      <c r="I201" s="932"/>
      <c r="J201" s="573"/>
      <c r="K201" s="573"/>
      <c r="L201" s="573"/>
      <c r="M201" s="575"/>
      <c r="N201" s="572"/>
      <c r="O201" s="574"/>
      <c r="P201" s="574"/>
      <c r="Q201" s="574"/>
      <c r="AF201" s="573"/>
      <c r="AG201" s="573"/>
    </row>
    <row r="202" spans="1:33" s="571" customFormat="1">
      <c r="C202" s="574"/>
      <c r="D202" s="574"/>
      <c r="F202" s="573"/>
      <c r="G202" s="573"/>
      <c r="H202" s="573"/>
      <c r="I202" s="932"/>
      <c r="J202" s="573"/>
      <c r="K202" s="573"/>
      <c r="L202" s="573"/>
      <c r="M202" s="575"/>
      <c r="N202" s="572"/>
      <c r="O202" s="574"/>
      <c r="P202" s="574"/>
      <c r="Q202" s="574"/>
      <c r="AF202" s="573"/>
      <c r="AG202" s="573"/>
    </row>
    <row r="203" spans="1:33" s="571" customFormat="1">
      <c r="C203" s="574"/>
      <c r="D203" s="574"/>
      <c r="F203" s="573"/>
      <c r="G203" s="573"/>
      <c r="H203" s="573"/>
      <c r="I203" s="932"/>
      <c r="J203" s="573"/>
      <c r="K203" s="573"/>
      <c r="L203" s="573"/>
      <c r="M203" s="575"/>
      <c r="N203" s="572"/>
      <c r="O203" s="574"/>
      <c r="P203" s="574"/>
      <c r="Q203" s="574"/>
      <c r="AF203" s="573"/>
      <c r="AG203" s="573"/>
    </row>
    <row r="204" spans="1:33" s="571" customFormat="1">
      <c r="C204" s="574"/>
      <c r="D204" s="574"/>
      <c r="F204" s="573"/>
      <c r="G204" s="573"/>
      <c r="H204" s="573"/>
      <c r="I204" s="932"/>
      <c r="J204" s="573"/>
      <c r="K204" s="573"/>
      <c r="L204" s="573"/>
      <c r="M204" s="575"/>
      <c r="N204" s="572"/>
      <c r="O204" s="574"/>
      <c r="P204" s="574"/>
      <c r="Q204" s="574"/>
      <c r="AF204" s="573"/>
      <c r="AG204" s="573"/>
    </row>
    <row r="205" spans="1:33" s="571" customFormat="1">
      <c r="C205" s="574"/>
      <c r="D205" s="574"/>
      <c r="F205" s="573"/>
      <c r="G205" s="573"/>
      <c r="H205" s="573"/>
      <c r="I205" s="932"/>
      <c r="J205" s="573"/>
      <c r="K205" s="573"/>
      <c r="L205" s="573"/>
      <c r="M205" s="575"/>
      <c r="N205" s="572"/>
      <c r="O205" s="574"/>
      <c r="P205" s="574"/>
      <c r="Q205" s="574"/>
      <c r="AF205" s="573"/>
      <c r="AG205" s="573"/>
    </row>
    <row r="206" spans="1:33" s="571" customFormat="1">
      <c r="C206" s="574"/>
      <c r="D206" s="574"/>
      <c r="F206" s="573"/>
      <c r="G206" s="573"/>
      <c r="H206" s="573"/>
      <c r="I206" s="932"/>
      <c r="J206" s="573"/>
      <c r="K206" s="573"/>
      <c r="L206" s="573"/>
      <c r="M206" s="575"/>
      <c r="N206" s="572"/>
      <c r="O206" s="574"/>
      <c r="P206" s="574"/>
      <c r="Q206" s="574"/>
      <c r="AF206" s="573"/>
      <c r="AG206" s="573"/>
    </row>
    <row r="207" spans="1:33" s="571" customFormat="1">
      <c r="C207" s="574"/>
      <c r="D207" s="574"/>
      <c r="F207" s="573"/>
      <c r="G207" s="573"/>
      <c r="H207" s="573"/>
      <c r="I207" s="932"/>
      <c r="J207" s="573"/>
      <c r="K207" s="573"/>
      <c r="L207" s="573"/>
      <c r="M207" s="575"/>
      <c r="N207" s="572"/>
      <c r="O207" s="574"/>
      <c r="P207" s="574"/>
      <c r="Q207" s="574"/>
      <c r="AF207" s="573"/>
      <c r="AG207" s="573"/>
    </row>
    <row r="208" spans="1:33" s="571" customFormat="1">
      <c r="C208" s="574"/>
      <c r="D208" s="574"/>
      <c r="F208" s="573"/>
      <c r="G208" s="573"/>
      <c r="H208" s="573"/>
      <c r="I208" s="932"/>
      <c r="J208" s="573"/>
      <c r="K208" s="573"/>
      <c r="L208" s="573"/>
      <c r="M208" s="575"/>
      <c r="N208" s="572"/>
      <c r="O208" s="574"/>
      <c r="P208" s="574"/>
      <c r="Q208" s="574"/>
      <c r="AF208" s="573"/>
      <c r="AG208" s="573"/>
    </row>
    <row r="209" spans="1:33" s="571" customFormat="1">
      <c r="C209" s="574"/>
      <c r="D209" s="574"/>
      <c r="F209" s="573"/>
      <c r="G209" s="573"/>
      <c r="H209" s="573"/>
      <c r="I209" s="932"/>
      <c r="J209" s="573"/>
      <c r="K209" s="573"/>
      <c r="L209" s="573"/>
      <c r="M209" s="575"/>
      <c r="N209" s="572"/>
      <c r="O209" s="574"/>
      <c r="P209" s="574"/>
      <c r="Q209" s="574"/>
      <c r="AF209" s="573"/>
      <c r="AG209" s="573"/>
    </row>
    <row r="210" spans="1:33" s="571" customFormat="1">
      <c r="C210" s="574"/>
      <c r="D210" s="574"/>
      <c r="F210" s="573"/>
      <c r="G210" s="573"/>
      <c r="H210" s="573"/>
      <c r="I210" s="932"/>
      <c r="J210" s="573"/>
      <c r="K210" s="573"/>
      <c r="L210" s="573"/>
      <c r="M210" s="575"/>
      <c r="N210" s="572"/>
      <c r="O210" s="574"/>
      <c r="P210" s="574"/>
      <c r="Q210" s="574"/>
      <c r="AF210" s="573"/>
      <c r="AG210" s="573"/>
    </row>
    <row r="211" spans="1:33" s="564" customFormat="1">
      <c r="A211" s="576"/>
      <c r="B211" s="576"/>
      <c r="C211" s="577"/>
      <c r="D211" s="577"/>
      <c r="E211" s="576"/>
      <c r="F211" s="933"/>
      <c r="G211" s="933"/>
      <c r="H211" s="933"/>
      <c r="I211" s="934"/>
      <c r="J211" s="933"/>
      <c r="K211" s="573"/>
      <c r="L211" s="933"/>
      <c r="M211" s="935"/>
      <c r="N211" s="936"/>
      <c r="O211" s="577"/>
      <c r="P211" s="577"/>
      <c r="Q211" s="577"/>
      <c r="R211" s="576"/>
      <c r="S211" s="576"/>
      <c r="T211" s="576"/>
      <c r="U211" s="576"/>
      <c r="AF211" s="566"/>
      <c r="AG211" s="566"/>
    </row>
    <row r="212" spans="1:33" s="564" customFormat="1">
      <c r="A212" s="576"/>
      <c r="B212" s="576"/>
      <c r="C212" s="577"/>
      <c r="D212" s="577"/>
      <c r="E212" s="576"/>
      <c r="F212" s="933"/>
      <c r="G212" s="933"/>
      <c r="H212" s="933"/>
      <c r="I212" s="934"/>
      <c r="J212" s="933"/>
      <c r="K212" s="573"/>
      <c r="L212" s="933"/>
      <c r="M212" s="935"/>
      <c r="N212" s="936"/>
      <c r="O212" s="577"/>
      <c r="P212" s="577"/>
      <c r="Q212" s="577"/>
      <c r="R212" s="576"/>
      <c r="S212" s="576"/>
      <c r="T212" s="576"/>
      <c r="U212" s="576"/>
      <c r="AF212" s="566"/>
      <c r="AG212" s="566"/>
    </row>
    <row r="213" spans="1:33" s="564" customFormat="1">
      <c r="A213" s="576"/>
      <c r="B213" s="576"/>
      <c r="C213" s="577"/>
      <c r="D213" s="577"/>
      <c r="E213" s="576"/>
      <c r="F213" s="933"/>
      <c r="G213" s="933"/>
      <c r="H213" s="933"/>
      <c r="I213" s="934"/>
      <c r="J213" s="933"/>
      <c r="K213" s="573"/>
      <c r="L213" s="933"/>
      <c r="M213" s="935"/>
      <c r="N213" s="936"/>
      <c r="O213" s="577"/>
      <c r="P213" s="577"/>
      <c r="Q213" s="577"/>
      <c r="R213" s="576"/>
      <c r="S213" s="576"/>
      <c r="T213" s="576"/>
      <c r="U213" s="576"/>
      <c r="AF213" s="566"/>
      <c r="AG213" s="566"/>
    </row>
    <row r="214" spans="1:33" s="564" customFormat="1">
      <c r="A214" s="576"/>
      <c r="B214" s="576"/>
      <c r="C214" s="577"/>
      <c r="D214" s="577"/>
      <c r="E214" s="576"/>
      <c r="F214" s="933"/>
      <c r="G214" s="933"/>
      <c r="H214" s="933"/>
      <c r="I214" s="934"/>
      <c r="J214" s="933"/>
      <c r="K214" s="573"/>
      <c r="L214" s="933"/>
      <c r="M214" s="935"/>
      <c r="N214" s="936"/>
      <c r="O214" s="577"/>
      <c r="P214" s="577"/>
      <c r="Q214" s="577"/>
      <c r="R214" s="576"/>
      <c r="S214" s="576"/>
      <c r="T214" s="576"/>
      <c r="U214" s="576"/>
      <c r="AF214" s="566"/>
      <c r="AG214" s="566"/>
    </row>
    <row r="215" spans="1:33" s="564" customFormat="1">
      <c r="A215" s="576"/>
      <c r="B215" s="576"/>
      <c r="C215" s="577"/>
      <c r="D215" s="577"/>
      <c r="E215" s="576"/>
      <c r="F215" s="933"/>
      <c r="G215" s="933"/>
      <c r="H215" s="933"/>
      <c r="I215" s="934"/>
      <c r="J215" s="933"/>
      <c r="K215" s="573"/>
      <c r="L215" s="933"/>
      <c r="M215" s="935"/>
      <c r="N215" s="936"/>
      <c r="O215" s="577"/>
      <c r="P215" s="577"/>
      <c r="Q215" s="577"/>
      <c r="R215" s="576"/>
      <c r="S215" s="576"/>
      <c r="T215" s="576"/>
      <c r="U215" s="576"/>
      <c r="AF215" s="566"/>
      <c r="AG215" s="566"/>
    </row>
    <row r="216" spans="1:33" s="564" customFormat="1">
      <c r="A216" s="576"/>
      <c r="B216" s="576"/>
      <c r="C216" s="577"/>
      <c r="D216" s="577"/>
      <c r="E216" s="576"/>
      <c r="F216" s="933"/>
      <c r="G216" s="933"/>
      <c r="H216" s="933"/>
      <c r="I216" s="934"/>
      <c r="J216" s="933"/>
      <c r="K216" s="573"/>
      <c r="L216" s="933"/>
      <c r="M216" s="935"/>
      <c r="N216" s="936"/>
      <c r="O216" s="577"/>
      <c r="P216" s="577"/>
      <c r="Q216" s="577"/>
      <c r="R216" s="576"/>
      <c r="S216" s="576"/>
      <c r="T216" s="576"/>
      <c r="U216" s="576"/>
      <c r="AF216" s="566"/>
      <c r="AG216" s="566"/>
    </row>
    <row r="217" spans="1:33" s="564" customFormat="1">
      <c r="A217" s="576"/>
      <c r="B217" s="576"/>
      <c r="C217" s="577"/>
      <c r="D217" s="577"/>
      <c r="E217" s="576"/>
      <c r="F217" s="933"/>
      <c r="G217" s="933"/>
      <c r="H217" s="933"/>
      <c r="I217" s="934"/>
      <c r="J217" s="933"/>
      <c r="K217" s="573"/>
      <c r="L217" s="933"/>
      <c r="M217" s="935"/>
      <c r="N217" s="936"/>
      <c r="O217" s="577"/>
      <c r="P217" s="577"/>
      <c r="Q217" s="577"/>
      <c r="R217" s="576"/>
      <c r="S217" s="576"/>
      <c r="T217" s="576"/>
      <c r="U217" s="576"/>
      <c r="AF217" s="566"/>
      <c r="AG217" s="566"/>
    </row>
    <row r="218" spans="1:33" s="564" customFormat="1">
      <c r="A218" s="576"/>
      <c r="B218" s="576"/>
      <c r="C218" s="577"/>
      <c r="D218" s="577"/>
      <c r="E218" s="576"/>
      <c r="F218" s="933"/>
      <c r="G218" s="933"/>
      <c r="H218" s="933"/>
      <c r="I218" s="934"/>
      <c r="J218" s="933"/>
      <c r="K218" s="573"/>
      <c r="L218" s="933"/>
      <c r="M218" s="935"/>
      <c r="N218" s="936"/>
      <c r="O218" s="577"/>
      <c r="P218" s="577"/>
      <c r="Q218" s="577"/>
      <c r="R218" s="576"/>
      <c r="S218" s="576"/>
      <c r="T218" s="576"/>
      <c r="U218" s="576"/>
      <c r="AF218" s="566"/>
      <c r="AG218" s="566"/>
    </row>
    <row r="219" spans="1:33" s="564" customFormat="1">
      <c r="A219" s="576"/>
      <c r="B219" s="576"/>
      <c r="C219" s="577"/>
      <c r="D219" s="577"/>
      <c r="E219" s="576"/>
      <c r="F219" s="933"/>
      <c r="G219" s="933"/>
      <c r="H219" s="933"/>
      <c r="I219" s="934"/>
      <c r="J219" s="933"/>
      <c r="K219" s="933"/>
      <c r="L219" s="933"/>
      <c r="M219" s="935"/>
      <c r="N219" s="936"/>
      <c r="O219" s="577"/>
      <c r="P219" s="577"/>
      <c r="Q219" s="577"/>
      <c r="R219" s="576"/>
      <c r="S219" s="576"/>
      <c r="T219" s="576"/>
      <c r="U219" s="576"/>
      <c r="AF219" s="566"/>
      <c r="AG219" s="566"/>
    </row>
    <row r="220" spans="1:33" s="564" customFormat="1">
      <c r="A220" s="576"/>
      <c r="B220" s="576"/>
      <c r="C220" s="577"/>
      <c r="D220" s="577"/>
      <c r="E220" s="576"/>
      <c r="F220" s="933"/>
      <c r="G220" s="933"/>
      <c r="H220" s="933"/>
      <c r="I220" s="934"/>
      <c r="J220" s="933"/>
      <c r="K220" s="933"/>
      <c r="L220" s="933"/>
      <c r="M220" s="935"/>
      <c r="N220" s="936"/>
      <c r="O220" s="577"/>
      <c r="P220" s="577"/>
      <c r="Q220" s="577"/>
      <c r="R220" s="576"/>
      <c r="S220" s="576"/>
      <c r="T220" s="576"/>
      <c r="U220" s="576"/>
      <c r="AF220" s="566"/>
      <c r="AG220" s="566"/>
    </row>
    <row r="221" spans="1:33" s="564" customFormat="1">
      <c r="C221" s="565"/>
      <c r="D221" s="565"/>
      <c r="F221" s="566"/>
      <c r="G221" s="566"/>
      <c r="H221" s="566"/>
      <c r="I221" s="567"/>
      <c r="J221" s="566"/>
      <c r="K221" s="566"/>
      <c r="L221" s="566"/>
      <c r="M221" s="568"/>
      <c r="N221" s="569"/>
      <c r="O221" s="565"/>
      <c r="P221" s="565"/>
      <c r="Q221" s="565"/>
      <c r="AF221" s="566"/>
      <c r="AG221" s="566"/>
    </row>
    <row r="222" spans="1:33" s="564" customFormat="1">
      <c r="C222" s="565"/>
      <c r="D222" s="565"/>
      <c r="F222" s="566"/>
      <c r="G222" s="566"/>
      <c r="H222" s="566"/>
      <c r="I222" s="567"/>
      <c r="J222" s="566"/>
      <c r="K222" s="566"/>
      <c r="L222" s="566"/>
      <c r="M222" s="568"/>
      <c r="N222" s="569"/>
      <c r="O222" s="565"/>
      <c r="P222" s="565"/>
      <c r="Q222" s="565"/>
      <c r="AF222" s="566"/>
      <c r="AG222" s="566"/>
    </row>
    <row r="223" spans="1:33" s="564" customFormat="1">
      <c r="C223" s="565"/>
      <c r="D223" s="565"/>
      <c r="F223" s="566"/>
      <c r="G223" s="566"/>
      <c r="H223" s="566"/>
      <c r="I223" s="567"/>
      <c r="J223" s="566"/>
      <c r="K223" s="566"/>
      <c r="L223" s="566"/>
      <c r="M223" s="568"/>
      <c r="N223" s="569"/>
      <c r="O223" s="565"/>
      <c r="P223" s="565"/>
      <c r="Q223" s="565"/>
      <c r="AF223" s="566"/>
      <c r="AG223" s="566"/>
    </row>
    <row r="224" spans="1:33" s="564" customFormat="1">
      <c r="C224" s="565"/>
      <c r="D224" s="565"/>
      <c r="F224" s="566"/>
      <c r="G224" s="566"/>
      <c r="H224" s="566"/>
      <c r="I224" s="567"/>
      <c r="J224" s="566"/>
      <c r="K224" s="566"/>
      <c r="L224" s="566"/>
      <c r="M224" s="568"/>
      <c r="N224" s="569"/>
      <c r="O224" s="565"/>
      <c r="P224" s="565"/>
      <c r="Q224" s="565"/>
      <c r="AF224" s="566"/>
      <c r="AG224" s="566"/>
    </row>
    <row r="225" spans="3:33" s="564" customFormat="1">
      <c r="C225" s="565"/>
      <c r="D225" s="565"/>
      <c r="F225" s="566"/>
      <c r="G225" s="566"/>
      <c r="H225" s="566"/>
      <c r="I225" s="567"/>
      <c r="J225" s="566"/>
      <c r="K225" s="566"/>
      <c r="L225" s="566"/>
      <c r="M225" s="568"/>
      <c r="N225" s="569"/>
      <c r="O225" s="565"/>
      <c r="P225" s="565"/>
      <c r="Q225" s="565"/>
      <c r="AF225" s="566"/>
      <c r="AG225" s="566"/>
    </row>
    <row r="226" spans="3:33" s="564" customFormat="1">
      <c r="C226" s="565"/>
      <c r="D226" s="565"/>
      <c r="F226" s="566"/>
      <c r="G226" s="566"/>
      <c r="H226" s="566"/>
      <c r="I226" s="567"/>
      <c r="J226" s="566"/>
      <c r="K226" s="566"/>
      <c r="L226" s="566"/>
      <c r="M226" s="568"/>
      <c r="N226" s="569"/>
      <c r="O226" s="565"/>
      <c r="P226" s="565"/>
      <c r="Q226" s="565"/>
      <c r="AF226" s="566"/>
      <c r="AG226" s="566"/>
    </row>
    <row r="227" spans="3:33" s="564" customFormat="1">
      <c r="C227" s="565"/>
      <c r="D227" s="565"/>
      <c r="F227" s="566"/>
      <c r="G227" s="566"/>
      <c r="H227" s="566"/>
      <c r="I227" s="567"/>
      <c r="J227" s="566"/>
      <c r="K227" s="566"/>
      <c r="L227" s="566"/>
      <c r="M227" s="568"/>
      <c r="N227" s="569"/>
      <c r="O227" s="565"/>
      <c r="P227" s="565"/>
      <c r="Q227" s="565"/>
      <c r="AF227" s="566"/>
      <c r="AG227" s="566"/>
    </row>
    <row r="228" spans="3:33" s="564" customFormat="1">
      <c r="C228" s="565"/>
      <c r="D228" s="565"/>
      <c r="F228" s="566"/>
      <c r="G228" s="566"/>
      <c r="H228" s="566"/>
      <c r="I228" s="567"/>
      <c r="J228" s="566"/>
      <c r="K228" s="566"/>
      <c r="L228" s="566"/>
      <c r="M228" s="568"/>
      <c r="N228" s="569"/>
      <c r="O228" s="565"/>
      <c r="P228" s="565"/>
      <c r="Q228" s="565"/>
      <c r="AF228" s="566"/>
      <c r="AG228" s="566"/>
    </row>
    <row r="229" spans="3:33" s="564" customFormat="1">
      <c r="C229" s="565"/>
      <c r="D229" s="565"/>
      <c r="F229" s="566"/>
      <c r="G229" s="566"/>
      <c r="H229" s="566"/>
      <c r="I229" s="567"/>
      <c r="J229" s="566"/>
      <c r="K229" s="566"/>
      <c r="L229" s="566"/>
      <c r="M229" s="568"/>
      <c r="N229" s="569"/>
      <c r="O229" s="565"/>
      <c r="P229" s="565"/>
      <c r="Q229" s="565"/>
      <c r="AF229" s="566"/>
      <c r="AG229" s="566"/>
    </row>
    <row r="230" spans="3:33" s="564" customFormat="1">
      <c r="C230" s="565"/>
      <c r="D230" s="565"/>
      <c r="F230" s="566"/>
      <c r="G230" s="566"/>
      <c r="H230" s="566"/>
      <c r="I230" s="567"/>
      <c r="J230" s="566"/>
      <c r="K230" s="566"/>
      <c r="L230" s="566"/>
      <c r="M230" s="568"/>
      <c r="N230" s="569"/>
      <c r="O230" s="565"/>
      <c r="P230" s="565"/>
      <c r="Q230" s="565"/>
      <c r="AF230" s="566"/>
      <c r="AG230" s="566"/>
    </row>
    <row r="231" spans="3:33" s="564" customFormat="1">
      <c r="C231" s="565"/>
      <c r="D231" s="565"/>
      <c r="F231" s="566"/>
      <c r="G231" s="566"/>
      <c r="H231" s="566"/>
      <c r="I231" s="567"/>
      <c r="J231" s="566"/>
      <c r="K231" s="566"/>
      <c r="L231" s="566"/>
      <c r="M231" s="568"/>
      <c r="N231" s="569"/>
      <c r="O231" s="565"/>
      <c r="P231" s="565"/>
      <c r="Q231" s="565"/>
      <c r="AF231" s="566"/>
      <c r="AG231" s="566"/>
    </row>
    <row r="232" spans="3:33" s="564" customFormat="1">
      <c r="C232" s="565"/>
      <c r="D232" s="565"/>
      <c r="F232" s="566"/>
      <c r="G232" s="566"/>
      <c r="H232" s="566"/>
      <c r="I232" s="567"/>
      <c r="J232" s="566"/>
      <c r="K232" s="566"/>
      <c r="L232" s="566"/>
      <c r="M232" s="568"/>
      <c r="N232" s="569"/>
      <c r="O232" s="565"/>
      <c r="P232" s="565"/>
      <c r="Q232" s="565"/>
      <c r="AF232" s="566"/>
      <c r="AG232" s="566"/>
    </row>
  </sheetData>
  <sortState ref="A118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31" stopIfTrue="1">
      <formula>AND(COUNTIF($A$115:$A$116, A115)&gt;1,NOT(ISBLANK(A115)))</formula>
    </cfRule>
  </conditionalFormatting>
  <conditionalFormatting sqref="A23:A33 A35:A94">
    <cfRule type="expression" dxfId="7" priority="29" stopIfTrue="1">
      <formula>AND(COUNTIF($A$23:$A$33, A23)+COUNTIF($A$35:$A$94, A23)&gt;1,NOT(ISBLANK(A23)))</formula>
    </cfRule>
  </conditionalFormatting>
  <conditionalFormatting sqref="A23:A99">
    <cfRule type="expression" dxfId="6" priority="30" stopIfTrue="1">
      <formula>AND(COUNTIF($A$23:$A$99, A23)&gt;1,NOT(ISBLANK(A23)))</formula>
    </cfRule>
  </conditionalFormatting>
  <conditionalFormatting sqref="A118">
    <cfRule type="expression" dxfId="5" priority="21" stopIfTrue="1">
      <formula>AND(COUNTIF($A$23:$A$33, A118)+COUNTIF($A$35:$A$94, A118)&gt;1,NOT(ISBLANK(A118)))</formula>
    </cfRule>
  </conditionalFormatting>
  <conditionalFormatting sqref="A118">
    <cfRule type="expression" dxfId="4" priority="22" stopIfTrue="1">
      <formula>AND(COUNTIF($A$23:$A$99, A118)&gt;1,NOT(ISBLANK(A118)))</formula>
    </cfRule>
  </conditionalFormatting>
  <conditionalFormatting sqref="A120:A130 A132:A191">
    <cfRule type="expression" dxfId="3" priority="3" stopIfTrue="1">
      <formula>AND(COUNTIF($A$23:$A$33, A120)+COUNTIF($A$35:$A$94, A120)&gt;1,NOT(ISBLANK(A120)))</formula>
    </cfRule>
  </conditionalFormatting>
  <conditionalFormatting sqref="A120:A196">
    <cfRule type="expression" dxfId="2" priority="4" stopIfTrue="1">
      <formula>AND(COUNTIF($A$23:$A$99, A120)&gt;1,NOT(ISBLANK(A120)))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00:M100 T39:Y39 AB39:AC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"/>
  <sheetViews>
    <sheetView workbookViewId="0">
      <selection activeCell="J1" sqref="J1"/>
    </sheetView>
  </sheetViews>
  <sheetFormatPr defaultRowHeight="15"/>
  <cols>
    <col min="1" max="16384" width="9.140625" style="505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0</xdr:rowOff>
              </from>
              <to>
                <xdr:col>9</xdr:col>
                <xdr:colOff>304800</xdr:colOff>
                <xdr:row>35</xdr:row>
                <xdr:rowOff>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F38"/>
  <sheetViews>
    <sheetView zoomScaleNormal="100" workbookViewId="0"/>
  </sheetViews>
  <sheetFormatPr defaultRowHeight="15"/>
  <cols>
    <col min="1" max="1" width="9.140625" style="564" customWidth="1"/>
    <col min="2" max="2" width="12.28515625" style="564" customWidth="1"/>
    <col min="3" max="3" width="10.7109375" style="564" customWidth="1"/>
    <col min="4" max="4" width="11.7109375" style="564" customWidth="1"/>
    <col min="5" max="16384" width="9.140625" style="564"/>
  </cols>
  <sheetData>
    <row r="1" spans="1:6" ht="15.75" thickBot="1">
      <c r="A1" s="761" t="s">
        <v>2</v>
      </c>
      <c r="B1" s="761" t="s">
        <v>3</v>
      </c>
      <c r="C1" s="761" t="s">
        <v>4</v>
      </c>
    </row>
    <row r="2" spans="1:6" ht="15.75" thickBot="1">
      <c r="A2" s="762">
        <v>45292</v>
      </c>
      <c r="B2" s="763">
        <v>28</v>
      </c>
      <c r="C2" s="764">
        <f>((B2-27)/27)*100</f>
        <v>3.7037037037037033</v>
      </c>
    </row>
    <row r="3" spans="1:6" ht="15.75" thickBot="1">
      <c r="A3" s="762">
        <v>45323</v>
      </c>
      <c r="B3" s="763">
        <v>16</v>
      </c>
      <c r="C3" s="764">
        <f>((B3-B2)/B2)*100</f>
        <v>-42.857142857142854</v>
      </c>
    </row>
    <row r="4" spans="1:6" ht="15.75" thickBot="1">
      <c r="A4" s="762">
        <v>45352</v>
      </c>
      <c r="B4" s="975">
        <v>23</v>
      </c>
      <c r="C4" s="976">
        <f t="shared" ref="C4:C13" si="0">((B4-B3)/B3)*100</f>
        <v>43.75</v>
      </c>
    </row>
    <row r="5" spans="1:6" ht="15.75" thickBot="1">
      <c r="A5" s="762">
        <v>45383</v>
      </c>
      <c r="B5" s="763">
        <v>16</v>
      </c>
      <c r="C5" s="764">
        <f t="shared" si="0"/>
        <v>-30.434782608695656</v>
      </c>
    </row>
    <row r="6" spans="1:6" ht="15.75" thickBot="1">
      <c r="A6" s="762">
        <v>45413</v>
      </c>
      <c r="B6" s="892">
        <v>0</v>
      </c>
      <c r="C6" s="893">
        <f t="shared" si="0"/>
        <v>-100</v>
      </c>
    </row>
    <row r="7" spans="1:6" ht="15.75" thickBot="1">
      <c r="A7" s="762">
        <v>45444</v>
      </c>
      <c r="B7" s="892">
        <v>0</v>
      </c>
      <c r="C7" s="893" t="e">
        <f t="shared" si="0"/>
        <v>#DIV/0!</v>
      </c>
    </row>
    <row r="8" spans="1:6" ht="15.75" thickBot="1">
      <c r="A8" s="762">
        <v>45474</v>
      </c>
      <c r="B8" s="892">
        <v>0</v>
      </c>
      <c r="C8" s="893" t="e">
        <f t="shared" si="0"/>
        <v>#DIV/0!</v>
      </c>
    </row>
    <row r="9" spans="1:6" ht="15.75" thickBot="1">
      <c r="A9" s="762">
        <v>45505</v>
      </c>
      <c r="B9" s="892">
        <v>0</v>
      </c>
      <c r="C9" s="893" t="e">
        <f t="shared" si="0"/>
        <v>#DIV/0!</v>
      </c>
    </row>
    <row r="10" spans="1:6" ht="15.75" thickBot="1">
      <c r="A10" s="762">
        <v>45536</v>
      </c>
      <c r="B10" s="892">
        <v>0</v>
      </c>
      <c r="C10" s="893" t="e">
        <f t="shared" si="0"/>
        <v>#DIV/0!</v>
      </c>
    </row>
    <row r="11" spans="1:6" ht="15.75" thickBot="1">
      <c r="A11" s="762">
        <v>45566</v>
      </c>
      <c r="B11" s="892">
        <v>0</v>
      </c>
      <c r="C11" s="893" t="e">
        <f t="shared" si="0"/>
        <v>#DIV/0!</v>
      </c>
    </row>
    <row r="12" spans="1:6" ht="15.75" thickBot="1">
      <c r="A12" s="762">
        <v>45597</v>
      </c>
      <c r="B12" s="892">
        <v>0</v>
      </c>
      <c r="C12" s="893" t="e">
        <f t="shared" si="0"/>
        <v>#DIV/0!</v>
      </c>
    </row>
    <row r="13" spans="1:6" ht="15.75" thickBot="1">
      <c r="A13" s="762">
        <v>45627</v>
      </c>
      <c r="B13" s="892">
        <v>0</v>
      </c>
      <c r="C13" s="893" t="e">
        <f t="shared" si="0"/>
        <v>#DIV/0!</v>
      </c>
    </row>
    <row r="14" spans="1:6" ht="15.75" thickBot="1">
      <c r="A14" s="894" t="s">
        <v>5</v>
      </c>
      <c r="B14" s="894">
        <f>SUM(B2:B13)</f>
        <v>83</v>
      </c>
      <c r="C14" s="894"/>
    </row>
    <row r="15" spans="1:6">
      <c r="C15" s="966"/>
      <c r="D15" s="966"/>
      <c r="E15" s="966"/>
      <c r="F15" s="966"/>
    </row>
    <row r="16" spans="1:6">
      <c r="A16" s="921"/>
      <c r="B16" s="921"/>
      <c r="C16" s="921"/>
      <c r="D16" s="921"/>
      <c r="E16" s="921"/>
      <c r="F16" s="500"/>
    </row>
    <row r="17" spans="1:6">
      <c r="A17" s="998" t="s">
        <v>411</v>
      </c>
      <c r="B17" s="999">
        <v>28</v>
      </c>
      <c r="C17" s="921"/>
      <c r="D17" s="921" t="s">
        <v>413</v>
      </c>
      <c r="E17" s="921">
        <v>0</v>
      </c>
      <c r="F17" s="500"/>
    </row>
    <row r="18" spans="1:6">
      <c r="A18" s="1000" t="s">
        <v>490</v>
      </c>
      <c r="B18" s="1000">
        <v>16</v>
      </c>
      <c r="C18" s="921"/>
      <c r="D18" s="921" t="s">
        <v>423</v>
      </c>
      <c r="E18" s="921">
        <v>6</v>
      </c>
      <c r="F18" s="500"/>
    </row>
    <row r="19" spans="1:6">
      <c r="A19" s="1000" t="s">
        <v>505</v>
      </c>
      <c r="B19" s="1000">
        <v>23</v>
      </c>
      <c r="C19" s="921"/>
      <c r="D19" s="921" t="s">
        <v>412</v>
      </c>
      <c r="E19" s="921">
        <v>10</v>
      </c>
      <c r="F19" s="500"/>
    </row>
    <row r="20" spans="1:6">
      <c r="A20" s="1001" t="s">
        <v>521</v>
      </c>
      <c r="B20" s="1001">
        <v>16</v>
      </c>
      <c r="C20" s="921"/>
      <c r="D20" s="921" t="s">
        <v>414</v>
      </c>
      <c r="E20" s="921">
        <v>16</v>
      </c>
      <c r="F20" s="500"/>
    </row>
    <row r="21" spans="1:6">
      <c r="A21" s="1002" t="s">
        <v>23</v>
      </c>
      <c r="B21" s="1002">
        <f>SUM(B17:B20)</f>
        <v>83</v>
      </c>
      <c r="C21" s="500"/>
      <c r="D21" s="500"/>
      <c r="E21" s="500"/>
      <c r="F21" s="500"/>
    </row>
    <row r="22" spans="1:6">
      <c r="A22" s="500"/>
      <c r="B22" s="500"/>
      <c r="C22" s="500"/>
      <c r="D22" s="500"/>
      <c r="E22" s="500"/>
      <c r="F22" s="500"/>
    </row>
    <row r="23" spans="1:6">
      <c r="A23" s="500"/>
      <c r="B23" s="500"/>
      <c r="C23" s="500"/>
      <c r="D23" s="500"/>
      <c r="E23" s="500"/>
      <c r="F23" s="500"/>
    </row>
    <row r="24" spans="1:6">
      <c r="A24" s="500"/>
      <c r="B24" s="500"/>
      <c r="C24" s="500"/>
      <c r="D24" s="500"/>
      <c r="E24" s="500"/>
      <c r="F24" s="500"/>
    </row>
    <row r="25" spans="1:6">
      <c r="A25" s="500"/>
      <c r="B25" s="500"/>
      <c r="C25" s="500"/>
      <c r="D25" s="500"/>
      <c r="E25" s="500"/>
      <c r="F25" s="500"/>
    </row>
    <row r="26" spans="1:6">
      <c r="A26" s="500"/>
      <c r="B26" s="500"/>
      <c r="C26" s="500"/>
      <c r="D26" s="500"/>
      <c r="E26" s="500"/>
      <c r="F26" s="500"/>
    </row>
    <row r="27" spans="1:6">
      <c r="A27" s="500"/>
      <c r="B27" s="500"/>
      <c r="C27" s="500"/>
      <c r="D27" s="500"/>
      <c r="E27" s="500"/>
      <c r="F27" s="500"/>
    </row>
    <row r="28" spans="1:6">
      <c r="A28" s="500"/>
      <c r="B28" s="500"/>
      <c r="C28" s="500"/>
      <c r="D28" s="500"/>
      <c r="E28" s="500"/>
      <c r="F28" s="500"/>
    </row>
    <row r="29" spans="1:6">
      <c r="A29" s="500"/>
      <c r="B29" s="500"/>
      <c r="C29" s="500"/>
      <c r="D29" s="500"/>
      <c r="E29" s="500"/>
      <c r="F29" s="500"/>
    </row>
    <row r="30" spans="1:6">
      <c r="A30" s="500"/>
      <c r="B30" s="500"/>
      <c r="C30" s="500"/>
      <c r="D30" s="500"/>
      <c r="E30" s="500"/>
      <c r="F30" s="500"/>
    </row>
    <row r="31" spans="1:6">
      <c r="A31" s="500"/>
      <c r="B31" s="500"/>
      <c r="C31" s="500"/>
      <c r="D31" s="500"/>
      <c r="E31" s="500"/>
      <c r="F31" s="500"/>
    </row>
    <row r="32" spans="1:6">
      <c r="A32" s="500"/>
      <c r="B32" s="500"/>
      <c r="C32" s="500"/>
      <c r="D32" s="500"/>
      <c r="E32" s="500"/>
      <c r="F32" s="500"/>
    </row>
    <row r="33" spans="1:6">
      <c r="A33" s="500"/>
      <c r="B33" s="500"/>
      <c r="C33" s="500"/>
      <c r="D33" s="500"/>
      <c r="E33" s="500"/>
      <c r="F33" s="500"/>
    </row>
    <row r="34" spans="1:6">
      <c r="A34" s="500"/>
      <c r="B34" s="500"/>
      <c r="C34" s="500"/>
      <c r="D34" s="500"/>
      <c r="E34" s="500"/>
      <c r="F34" s="500"/>
    </row>
    <row r="35" spans="1:6">
      <c r="A35" s="500"/>
      <c r="B35" s="500"/>
      <c r="C35" s="500"/>
      <c r="D35" s="500"/>
      <c r="E35" s="500"/>
      <c r="F35" s="500"/>
    </row>
    <row r="36" spans="1:6">
      <c r="A36" s="500"/>
      <c r="B36" s="500"/>
      <c r="C36" s="500"/>
      <c r="D36" s="500"/>
      <c r="E36" s="500"/>
      <c r="F36" s="500"/>
    </row>
    <row r="37" spans="1:6">
      <c r="A37" s="500"/>
      <c r="B37" s="500"/>
      <c r="C37" s="500"/>
      <c r="D37" s="500"/>
      <c r="E37" s="500"/>
      <c r="F37" s="500"/>
    </row>
    <row r="38" spans="1:6">
      <c r="A38" s="500"/>
      <c r="B38" s="500"/>
      <c r="C38" s="500"/>
      <c r="D38" s="500"/>
      <c r="E38" s="500"/>
      <c r="F38" s="500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C13" evalErro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91" t="s">
        <v>0</v>
      </c>
    </row>
    <row r="2" spans="1:2">
      <c r="A2" s="1" t="s">
        <v>1</v>
      </c>
    </row>
    <row r="3" spans="1:2">
      <c r="A3" s="89"/>
    </row>
    <row r="4" spans="1:2">
      <c r="A4" s="468" t="s">
        <v>401</v>
      </c>
      <c r="B4" s="469" t="s">
        <v>402</v>
      </c>
    </row>
    <row r="5" spans="1:2" ht="15.75" thickBot="1">
      <c r="A5" s="470" t="s">
        <v>403</v>
      </c>
      <c r="B5" s="471">
        <v>135</v>
      </c>
    </row>
    <row r="6" spans="1:2" ht="45">
      <c r="A6" s="470" t="s">
        <v>404</v>
      </c>
      <c r="B6" s="471">
        <v>58</v>
      </c>
    </row>
    <row r="7" spans="1:2" ht="45">
      <c r="A7" s="472" t="s">
        <v>405</v>
      </c>
      <c r="B7" s="471">
        <v>281</v>
      </c>
    </row>
    <row r="8" spans="1:2" ht="15.75" thickBot="1">
      <c r="A8" s="470" t="s">
        <v>406</v>
      </c>
      <c r="B8" s="471">
        <v>106</v>
      </c>
    </row>
    <row r="9" spans="1:2" ht="15.75" thickBot="1">
      <c r="A9" s="470" t="s">
        <v>407</v>
      </c>
      <c r="B9" s="471">
        <v>4</v>
      </c>
    </row>
    <row r="10" spans="1:2" ht="15.75" thickBot="1">
      <c r="A10" s="470" t="s">
        <v>408</v>
      </c>
      <c r="B10" s="471">
        <v>257</v>
      </c>
    </row>
    <row r="11" spans="1:2" ht="15.75" thickBot="1">
      <c r="A11" s="470" t="s">
        <v>409</v>
      </c>
      <c r="B11" s="471">
        <v>72</v>
      </c>
    </row>
    <row r="12" spans="1:2" ht="30">
      <c r="A12" s="473" t="s">
        <v>410</v>
      </c>
      <c r="B12" s="471">
        <v>42</v>
      </c>
    </row>
    <row r="13" spans="1:2">
      <c r="A13" s="474" t="s">
        <v>15</v>
      </c>
      <c r="B13" s="475">
        <f>SUM(B5:B12)</f>
        <v>955</v>
      </c>
    </row>
    <row r="16" spans="1:2">
      <c r="A16" s="89"/>
    </row>
    <row r="17" spans="1:1">
      <c r="A17" s="89"/>
    </row>
    <row r="18" spans="1:1">
      <c r="A18" s="89"/>
    </row>
    <row r="19" spans="1:1">
      <c r="A19" s="89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F38"/>
  <sheetViews>
    <sheetView zoomScale="80" zoomScaleNormal="80" workbookViewId="0">
      <selection activeCell="J7" sqref="J7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500"/>
      <c r="S1" s="500"/>
      <c r="T1" s="500"/>
      <c r="U1" s="500"/>
      <c r="V1" s="500"/>
      <c r="W1" s="500"/>
    </row>
    <row r="2" spans="1:32">
      <c r="A2" s="1" t="s">
        <v>1</v>
      </c>
      <c r="B2" s="1"/>
      <c r="C2" s="1"/>
      <c r="R2" s="500"/>
      <c r="S2" s="500"/>
      <c r="T2" s="500"/>
      <c r="U2" s="500"/>
      <c r="V2" s="500"/>
      <c r="W2" s="500"/>
    </row>
    <row r="3" spans="1:32" ht="15.75" thickBot="1">
      <c r="R3" s="500"/>
      <c r="S3" s="500"/>
      <c r="T3" s="500"/>
      <c r="U3" s="500"/>
      <c r="V3" s="500"/>
      <c r="W3" s="500"/>
    </row>
    <row r="4" spans="1:32" ht="50.25" customHeight="1" thickBot="1">
      <c r="A4" s="775" t="s">
        <v>16</v>
      </c>
      <c r="B4" s="728">
        <v>45627</v>
      </c>
      <c r="C4" s="602">
        <v>45597</v>
      </c>
      <c r="D4" s="604">
        <v>45566</v>
      </c>
      <c r="E4" s="776">
        <v>45536</v>
      </c>
      <c r="F4" s="776">
        <v>45505</v>
      </c>
      <c r="G4" s="776">
        <v>45474</v>
      </c>
      <c r="H4" s="776">
        <v>45444</v>
      </c>
      <c r="I4" s="777">
        <v>45413</v>
      </c>
      <c r="J4" s="601">
        <v>45383</v>
      </c>
      <c r="K4" s="601">
        <v>45352</v>
      </c>
      <c r="L4" s="601">
        <v>45323</v>
      </c>
      <c r="M4" s="604">
        <v>45292</v>
      </c>
      <c r="N4" s="776" t="s">
        <v>5</v>
      </c>
      <c r="O4" s="778" t="s">
        <v>6</v>
      </c>
      <c r="P4" s="778" t="s">
        <v>8</v>
      </c>
      <c r="Q4" s="779" t="s">
        <v>520</v>
      </c>
      <c r="R4" s="500"/>
      <c r="S4" s="500"/>
      <c r="T4" s="500"/>
      <c r="U4" s="500"/>
      <c r="V4" s="500"/>
      <c r="W4" s="500"/>
    </row>
    <row r="5" spans="1:32" ht="15.75" thickBot="1">
      <c r="A5" s="960" t="s">
        <v>17</v>
      </c>
      <c r="B5" s="957"/>
      <c r="C5" s="26"/>
      <c r="D5" s="26"/>
      <c r="E5" s="26"/>
      <c r="F5" s="26"/>
      <c r="G5" s="56"/>
      <c r="H5" s="56"/>
      <c r="I5" s="513"/>
      <c r="J5" s="165">
        <v>12</v>
      </c>
      <c r="K5" s="61">
        <v>13</v>
      </c>
      <c r="L5" s="165">
        <v>19</v>
      </c>
      <c r="M5" s="57">
        <v>11</v>
      </c>
      <c r="N5" s="58">
        <f t="shared" ref="N5:N6" si="0">SUM(B5:M5)</f>
        <v>55</v>
      </c>
      <c r="O5" s="59">
        <f t="shared" ref="O5:O6" si="1">AVERAGE(B5:M5)</f>
        <v>13.75</v>
      </c>
      <c r="P5" s="60">
        <f t="shared" ref="P5:P12" si="2">N5/N$12*100</f>
        <v>0.22733848633902368</v>
      </c>
      <c r="Q5" s="780">
        <f>(J5*100)/$J$12</f>
        <v>0.18214936247723132</v>
      </c>
      <c r="R5" s="500"/>
      <c r="S5" s="500"/>
      <c r="T5" s="500"/>
      <c r="U5" s="500"/>
      <c r="V5" s="500"/>
      <c r="W5" s="500"/>
    </row>
    <row r="6" spans="1:32" ht="15.75" thickBot="1">
      <c r="A6" s="961" t="s">
        <v>18</v>
      </c>
      <c r="B6" s="958"/>
      <c r="C6" s="38"/>
      <c r="D6" s="38"/>
      <c r="E6" s="38"/>
      <c r="F6" s="38"/>
      <c r="G6" s="61"/>
      <c r="H6" s="61"/>
      <c r="I6" s="514"/>
      <c r="J6" s="167">
        <v>1898</v>
      </c>
      <c r="K6" s="61">
        <v>2041</v>
      </c>
      <c r="L6" s="167">
        <v>1889</v>
      </c>
      <c r="M6" s="62">
        <v>1913</v>
      </c>
      <c r="N6" s="58">
        <f t="shared" si="0"/>
        <v>7741</v>
      </c>
      <c r="O6" s="59">
        <f t="shared" si="1"/>
        <v>1935.25</v>
      </c>
      <c r="P6" s="60">
        <f t="shared" si="2"/>
        <v>31.996858595461497</v>
      </c>
      <c r="Q6" s="780">
        <f t="shared" ref="Q6:Q12" si="3">(J6*100)/$J$12</f>
        <v>28.809957498482088</v>
      </c>
      <c r="R6" s="500"/>
      <c r="S6" s="500"/>
      <c r="T6" s="500"/>
      <c r="U6" s="500"/>
      <c r="V6" s="500"/>
      <c r="W6" s="500"/>
    </row>
    <row r="7" spans="1:32" s="635" customFormat="1" ht="15.75" thickBot="1">
      <c r="A7" s="996" t="s">
        <v>507</v>
      </c>
      <c r="B7" s="987"/>
      <c r="C7" s="988"/>
      <c r="D7" s="988"/>
      <c r="E7" s="988"/>
      <c r="F7" s="988"/>
      <c r="G7" s="989"/>
      <c r="H7" s="989"/>
      <c r="I7" s="990"/>
      <c r="J7" s="991">
        <v>415</v>
      </c>
      <c r="K7" s="989">
        <v>117</v>
      </c>
      <c r="L7" s="991">
        <v>0</v>
      </c>
      <c r="M7" s="992">
        <v>0</v>
      </c>
      <c r="N7" s="993">
        <f>SUM(B7:M7)</f>
        <v>532</v>
      </c>
      <c r="O7" s="994">
        <f t="shared" ref="O7:O12" si="4">AVERAGE(B7:M7)</f>
        <v>133</v>
      </c>
      <c r="P7" s="995">
        <f t="shared" si="2"/>
        <v>2.198983176952011</v>
      </c>
      <c r="Q7" s="780">
        <f t="shared" si="3"/>
        <v>6.2993321190042497</v>
      </c>
      <c r="R7" s="921"/>
      <c r="S7" s="921"/>
      <c r="T7" s="921"/>
      <c r="U7" s="921"/>
      <c r="V7" s="921"/>
      <c r="W7" s="921"/>
    </row>
    <row r="8" spans="1:32" ht="15.75" thickBot="1">
      <c r="A8" s="961" t="s">
        <v>19</v>
      </c>
      <c r="B8" s="958"/>
      <c r="C8" s="38"/>
      <c r="D8" s="38"/>
      <c r="E8" s="38"/>
      <c r="F8" s="38"/>
      <c r="G8" s="61"/>
      <c r="H8" s="61"/>
      <c r="I8" s="514"/>
      <c r="J8" s="167">
        <v>1552</v>
      </c>
      <c r="K8" s="61">
        <v>1249</v>
      </c>
      <c r="L8" s="167">
        <v>1205</v>
      </c>
      <c r="M8" s="62">
        <v>1219</v>
      </c>
      <c r="N8" s="58">
        <f>SUM(B8:M8)</f>
        <v>5225</v>
      </c>
      <c r="O8" s="59">
        <f t="shared" si="4"/>
        <v>1306.25</v>
      </c>
      <c r="P8" s="60">
        <f t="shared" si="2"/>
        <v>21.597156202207248</v>
      </c>
      <c r="Q8" s="780">
        <f t="shared" si="3"/>
        <v>23.55798421372192</v>
      </c>
      <c r="R8" s="582"/>
      <c r="S8" s="500"/>
      <c r="T8" s="500"/>
      <c r="U8" s="500"/>
      <c r="V8" s="500"/>
      <c r="W8" s="500"/>
    </row>
    <row r="9" spans="1:32" ht="15.75" thickBot="1">
      <c r="A9" s="962" t="s">
        <v>20</v>
      </c>
      <c r="B9" s="959"/>
      <c r="C9" s="45"/>
      <c r="D9" s="45"/>
      <c r="E9" s="45"/>
      <c r="F9" s="45"/>
      <c r="G9" s="942"/>
      <c r="H9" s="942"/>
      <c r="I9" s="943"/>
      <c r="J9" s="168">
        <v>280</v>
      </c>
      <c r="K9" s="942">
        <v>175</v>
      </c>
      <c r="L9" s="168">
        <v>249</v>
      </c>
      <c r="M9" s="944">
        <v>158</v>
      </c>
      <c r="N9" s="941">
        <f>SUM(B9:M9)</f>
        <v>862</v>
      </c>
      <c r="O9" s="59">
        <f t="shared" si="4"/>
        <v>215.5</v>
      </c>
      <c r="P9" s="60">
        <f t="shared" si="2"/>
        <v>3.5630140949861526</v>
      </c>
      <c r="Q9" s="780">
        <f t="shared" si="3"/>
        <v>4.2501517911353979</v>
      </c>
      <c r="R9" s="582"/>
      <c r="S9" s="500"/>
      <c r="T9" s="500"/>
      <c r="U9" s="500"/>
      <c r="V9" s="500"/>
      <c r="W9" s="500"/>
    </row>
    <row r="10" spans="1:32" ht="15.75" thickBot="1">
      <c r="A10" s="963" t="s">
        <v>21</v>
      </c>
      <c r="B10" s="958"/>
      <c r="C10" s="476"/>
      <c r="D10" s="476"/>
      <c r="E10" s="476"/>
      <c r="F10" s="476"/>
      <c r="G10" s="945"/>
      <c r="H10" s="945"/>
      <c r="I10" s="945"/>
      <c r="J10" s="946">
        <v>2192</v>
      </c>
      <c r="K10" s="945">
        <v>2373</v>
      </c>
      <c r="L10" s="946">
        <v>2283</v>
      </c>
      <c r="M10" s="951">
        <v>2038</v>
      </c>
      <c r="N10" s="952">
        <f>SUM(B10:M10)</f>
        <v>8886</v>
      </c>
      <c r="O10" s="59">
        <f t="shared" si="4"/>
        <v>2221.5</v>
      </c>
      <c r="P10" s="60">
        <f t="shared" si="2"/>
        <v>36.729632538337533</v>
      </c>
      <c r="Q10" s="780">
        <f t="shared" si="3"/>
        <v>33.272616879174258</v>
      </c>
      <c r="R10" s="582"/>
      <c r="S10" s="583"/>
      <c r="T10" s="500"/>
      <c r="U10" s="500"/>
      <c r="V10" s="500"/>
      <c r="W10" s="500"/>
    </row>
    <row r="11" spans="1:32" ht="15.75" thickBot="1">
      <c r="A11" s="964" t="s">
        <v>22</v>
      </c>
      <c r="B11" s="959"/>
      <c r="C11" s="947"/>
      <c r="D11" s="947"/>
      <c r="E11" s="947"/>
      <c r="F11" s="947"/>
      <c r="G11" s="948"/>
      <c r="H11" s="948"/>
      <c r="I11" s="948"/>
      <c r="J11" s="949">
        <v>239</v>
      </c>
      <c r="K11" s="948">
        <v>203</v>
      </c>
      <c r="L11" s="949">
        <v>202</v>
      </c>
      <c r="M11" s="954">
        <v>248</v>
      </c>
      <c r="N11" s="953">
        <f>SUM(B11:M11)</f>
        <v>892</v>
      </c>
      <c r="O11" s="59">
        <f t="shared" si="4"/>
        <v>223</v>
      </c>
      <c r="P11" s="60">
        <f t="shared" si="2"/>
        <v>3.6870169057165296</v>
      </c>
      <c r="Q11" s="1013">
        <f t="shared" si="3"/>
        <v>3.6278081360048575</v>
      </c>
      <c r="R11" s="582"/>
      <c r="S11" s="583"/>
      <c r="T11" s="500"/>
      <c r="U11" s="500"/>
      <c r="V11" s="500"/>
      <c r="W11" s="500"/>
    </row>
    <row r="12" spans="1:32" ht="16.5" thickBot="1">
      <c r="A12" s="955" t="s">
        <v>23</v>
      </c>
      <c r="B12" s="950">
        <f t="shared" ref="B12:I12" si="5">SUM(B5:B11)</f>
        <v>0</v>
      </c>
      <c r="C12" s="950">
        <f t="shared" si="5"/>
        <v>0</v>
      </c>
      <c r="D12" s="950">
        <f t="shared" si="5"/>
        <v>0</v>
      </c>
      <c r="E12" s="950">
        <f t="shared" si="5"/>
        <v>0</v>
      </c>
      <c r="F12" s="950">
        <f t="shared" si="5"/>
        <v>0</v>
      </c>
      <c r="G12" s="950">
        <f t="shared" si="5"/>
        <v>0</v>
      </c>
      <c r="H12" s="950">
        <f t="shared" si="5"/>
        <v>0</v>
      </c>
      <c r="I12" s="950">
        <f t="shared" si="5"/>
        <v>0</v>
      </c>
      <c r="J12" s="950">
        <f>SUM(J5:J11)</f>
        <v>6588</v>
      </c>
      <c r="K12" s="950">
        <f>SUM(K5:K11)</f>
        <v>6171</v>
      </c>
      <c r="L12" s="950">
        <f>SUM(L5:L11)</f>
        <v>5847</v>
      </c>
      <c r="M12" s="956">
        <f>SUM(M5:M11)</f>
        <v>5587</v>
      </c>
      <c r="N12" s="781">
        <f>SUM(N5:N11)</f>
        <v>24193</v>
      </c>
      <c r="O12" s="782">
        <f t="shared" si="4"/>
        <v>2016.0833333333333</v>
      </c>
      <c r="P12" s="783">
        <f t="shared" si="2"/>
        <v>100</v>
      </c>
      <c r="Q12" s="1014">
        <f t="shared" si="3"/>
        <v>100</v>
      </c>
      <c r="R12" s="582"/>
      <c r="S12" s="584"/>
      <c r="T12" s="500"/>
      <c r="U12" s="500"/>
      <c r="V12" s="500"/>
      <c r="W12" s="500"/>
      <c r="AD12" s="65"/>
      <c r="AE12" s="2"/>
      <c r="AF12" s="65"/>
    </row>
    <row r="13" spans="1:32">
      <c r="M13" s="66"/>
      <c r="N13" s="64"/>
      <c r="U13" s="65"/>
      <c r="V13" s="2"/>
      <c r="W13" s="65"/>
    </row>
    <row r="14" spans="1:32">
      <c r="A14" s="1046"/>
      <c r="B14" s="1046"/>
      <c r="C14" s="1046"/>
      <c r="D14" s="1046"/>
      <c r="E14" s="63"/>
      <c r="I14" s="64"/>
      <c r="J14" s="64"/>
      <c r="U14" s="65"/>
      <c r="V14" s="2"/>
      <c r="W14" s="65"/>
    </row>
    <row r="15" spans="1:32">
      <c r="A15" s="1046"/>
      <c r="B15" s="1046"/>
      <c r="C15" s="1046"/>
      <c r="D15" s="1046"/>
      <c r="I15" s="64"/>
      <c r="U15" s="65"/>
      <c r="V15" s="2"/>
      <c r="W15" s="65"/>
    </row>
    <row r="16" spans="1:32">
      <c r="A16" s="1046"/>
      <c r="B16" s="1046"/>
      <c r="C16" s="1046"/>
      <c r="D16" s="1046"/>
      <c r="U16" s="67"/>
      <c r="V16" s="2"/>
      <c r="W16" s="68"/>
    </row>
    <row r="21" spans="1:5">
      <c r="A21" s="1"/>
      <c r="B21" s="1"/>
      <c r="C21" s="1"/>
      <c r="D21" s="6"/>
    </row>
    <row r="22" spans="1:5">
      <c r="A22" s="65"/>
      <c r="B22" s="65"/>
      <c r="C22" s="65"/>
      <c r="D22" s="69"/>
    </row>
    <row r="23" spans="1:5">
      <c r="A23" s="65"/>
      <c r="B23" s="65"/>
      <c r="C23" s="65"/>
      <c r="D23" s="69"/>
    </row>
    <row r="24" spans="1:5">
      <c r="A24" s="65"/>
      <c r="B24" s="65"/>
      <c r="C24" s="65"/>
      <c r="D24" s="69"/>
    </row>
    <row r="25" spans="1:5">
      <c r="A25" s="65"/>
      <c r="B25" s="65"/>
      <c r="C25" s="65"/>
      <c r="D25" s="69"/>
    </row>
    <row r="26" spans="1:5">
      <c r="A26" s="67"/>
      <c r="B26" s="67"/>
      <c r="C26" s="67"/>
      <c r="D26" s="69"/>
    </row>
    <row r="27" spans="1:5">
      <c r="E27" s="64"/>
    </row>
    <row r="38" spans="1:1" ht="45">
      <c r="A38" s="997" t="s">
        <v>508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2:M12 B12:J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47"/>
  <sheetViews>
    <sheetView zoomScaleNormal="100" workbookViewId="0"/>
  </sheetViews>
  <sheetFormatPr defaultRowHeight="15"/>
  <cols>
    <col min="1" max="1" width="68" customWidth="1"/>
    <col min="2" max="2" width="7.5703125" style="71" bestFit="1" customWidth="1"/>
    <col min="3" max="3" width="7.7109375" style="71" bestFit="1" customWidth="1"/>
    <col min="4" max="4" width="7.140625" style="71" bestFit="1" customWidth="1"/>
    <col min="5" max="5" width="7" style="71" bestFit="1" customWidth="1"/>
    <col min="6" max="6" width="7.7109375" style="71" bestFit="1" customWidth="1"/>
    <col min="7" max="7" width="6.42578125" style="71" bestFit="1" customWidth="1"/>
    <col min="8" max="8" width="7.140625" style="71" bestFit="1" customWidth="1"/>
    <col min="9" max="9" width="7.42578125" style="71" bestFit="1" customWidth="1"/>
    <col min="10" max="10" width="7.28515625" style="71" bestFit="1" customWidth="1"/>
    <col min="11" max="11" width="7.7109375" style="71" bestFit="1" customWidth="1"/>
    <col min="12" max="12" width="7.28515625" style="71" bestFit="1" customWidth="1"/>
    <col min="13" max="14" width="7" style="71" bestFit="1" customWidth="1"/>
    <col min="15" max="15" width="8.85546875" style="71" customWidth="1"/>
    <col min="16" max="16" width="8.7109375" style="72" bestFit="1" customWidth="1"/>
    <col min="17" max="17" width="9.140625" customWidth="1"/>
  </cols>
  <sheetData>
    <row r="1" spans="1:16">
      <c r="A1" s="1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6">
      <c r="A2" s="1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6" ht="15.75" thickBot="1"/>
    <row r="4" spans="1:16" ht="15.75" thickBot="1">
      <c r="A4" s="680" t="s">
        <v>24</v>
      </c>
      <c r="B4" s="74">
        <v>45627</v>
      </c>
      <c r="C4" s="75">
        <v>45597</v>
      </c>
      <c r="D4" s="76">
        <v>45566</v>
      </c>
      <c r="E4" s="75">
        <v>45536</v>
      </c>
      <c r="F4" s="75">
        <v>45505</v>
      </c>
      <c r="G4" s="75">
        <v>45474</v>
      </c>
      <c r="H4" s="75">
        <v>45444</v>
      </c>
      <c r="I4" s="77">
        <v>45413</v>
      </c>
      <c r="J4" s="75">
        <v>45383</v>
      </c>
      <c r="K4" s="74">
        <v>45352</v>
      </c>
      <c r="L4" s="17">
        <v>45323</v>
      </c>
      <c r="M4" s="78">
        <v>45292</v>
      </c>
      <c r="N4" s="17" t="s">
        <v>5</v>
      </c>
      <c r="O4" s="79" t="s">
        <v>6</v>
      </c>
      <c r="P4" s="478" t="s">
        <v>25</v>
      </c>
    </row>
    <row r="5" spans="1:16" s="670" customFormat="1">
      <c r="A5" s="681" t="s">
        <v>26</v>
      </c>
      <c r="B5" s="704"/>
      <c r="C5" s="705"/>
      <c r="D5" s="706"/>
      <c r="E5" s="706"/>
      <c r="F5" s="706"/>
      <c r="G5" s="706"/>
      <c r="H5" s="706"/>
      <c r="I5" s="706"/>
      <c r="J5" s="706">
        <v>0</v>
      </c>
      <c r="K5" s="581">
        <v>0</v>
      </c>
      <c r="L5" s="705">
        <v>0</v>
      </c>
      <c r="M5" s="581">
        <v>0</v>
      </c>
      <c r="N5" s="707">
        <f t="shared" ref="N5:N69" si="0">SUM(B5:M5)</f>
        <v>0</v>
      </c>
      <c r="O5" s="708">
        <f t="shared" ref="O5:O69" si="1">AVERAGE(B5:M5)</f>
        <v>0</v>
      </c>
      <c r="P5" s="709">
        <f t="shared" ref="P5:P69" si="2">(N5/$N$238)*100</f>
        <v>0</v>
      </c>
    </row>
    <row r="6" spans="1:16" s="670" customFormat="1">
      <c r="A6" s="682" t="s">
        <v>27</v>
      </c>
      <c r="B6" s="669"/>
      <c r="C6" s="581"/>
      <c r="D6" s="631"/>
      <c r="E6" s="631"/>
      <c r="F6" s="631"/>
      <c r="G6" s="631"/>
      <c r="H6" s="706"/>
      <c r="I6" s="706"/>
      <c r="J6" s="706">
        <v>0</v>
      </c>
      <c r="K6" s="581">
        <v>0</v>
      </c>
      <c r="L6" s="581">
        <v>0</v>
      </c>
      <c r="M6" s="581">
        <v>0</v>
      </c>
      <c r="N6" s="632">
        <f t="shared" si="0"/>
        <v>0</v>
      </c>
      <c r="O6" s="633">
        <f t="shared" si="1"/>
        <v>0</v>
      </c>
      <c r="P6" s="634">
        <f t="shared" si="2"/>
        <v>0</v>
      </c>
    </row>
    <row r="7" spans="1:16" s="670" customFormat="1">
      <c r="A7" s="682" t="s">
        <v>28</v>
      </c>
      <c r="B7" s="669"/>
      <c r="C7" s="581"/>
      <c r="D7" s="631"/>
      <c r="E7" s="631"/>
      <c r="F7" s="631"/>
      <c r="G7" s="631"/>
      <c r="H7" s="631"/>
      <c r="I7" s="631"/>
      <c r="J7" s="631">
        <v>5</v>
      </c>
      <c r="K7" s="581">
        <v>4</v>
      </c>
      <c r="L7" s="581">
        <v>1</v>
      </c>
      <c r="M7" s="581">
        <v>4</v>
      </c>
      <c r="N7" s="632">
        <f t="shared" si="0"/>
        <v>14</v>
      </c>
      <c r="O7" s="633">
        <f t="shared" si="1"/>
        <v>3.5</v>
      </c>
      <c r="P7" s="634">
        <f t="shared" si="2"/>
        <v>6.0872211835297188E-2</v>
      </c>
    </row>
    <row r="8" spans="1:16" s="670" customFormat="1">
      <c r="A8" s="682" t="s">
        <v>419</v>
      </c>
      <c r="B8" s="669"/>
      <c r="C8" s="581"/>
      <c r="D8" s="631"/>
      <c r="E8" s="631"/>
      <c r="F8" s="631"/>
      <c r="G8" s="631"/>
      <c r="H8" s="631"/>
      <c r="I8" s="631"/>
      <c r="J8" s="631">
        <v>5</v>
      </c>
      <c r="K8" s="581">
        <v>4</v>
      </c>
      <c r="L8" s="581">
        <v>2</v>
      </c>
      <c r="M8" s="581">
        <v>6</v>
      </c>
      <c r="N8" s="632">
        <f t="shared" si="0"/>
        <v>17</v>
      </c>
      <c r="O8" s="633">
        <f t="shared" si="1"/>
        <v>4.25</v>
      </c>
      <c r="P8" s="634">
        <f t="shared" si="2"/>
        <v>7.3916257228575158E-2</v>
      </c>
    </row>
    <row r="9" spans="1:16" s="670" customFormat="1">
      <c r="A9" s="682" t="s">
        <v>29</v>
      </c>
      <c r="B9" s="669"/>
      <c r="C9" s="581"/>
      <c r="D9" s="631"/>
      <c r="E9" s="631"/>
      <c r="F9" s="631"/>
      <c r="G9" s="631"/>
      <c r="H9" s="631"/>
      <c r="I9" s="631"/>
      <c r="J9" s="631">
        <v>1</v>
      </c>
      <c r="K9" s="581">
        <v>0</v>
      </c>
      <c r="L9" s="581">
        <v>0</v>
      </c>
      <c r="M9" s="581">
        <v>0</v>
      </c>
      <c r="N9" s="632">
        <f t="shared" si="0"/>
        <v>1</v>
      </c>
      <c r="O9" s="633">
        <f t="shared" si="1"/>
        <v>0.25</v>
      </c>
      <c r="P9" s="634">
        <f t="shared" si="2"/>
        <v>4.348015131092656E-3</v>
      </c>
    </row>
    <row r="10" spans="1:16" s="670" customFormat="1">
      <c r="A10" s="683" t="s">
        <v>30</v>
      </c>
      <c r="B10" s="669"/>
      <c r="C10" s="581"/>
      <c r="D10" s="631"/>
      <c r="E10" s="631"/>
      <c r="F10" s="631"/>
      <c r="G10" s="631"/>
      <c r="H10" s="631"/>
      <c r="I10" s="631"/>
      <c r="J10" s="631">
        <v>5</v>
      </c>
      <c r="K10" s="581">
        <v>20</v>
      </c>
      <c r="L10" s="581">
        <v>20</v>
      </c>
      <c r="M10" s="581">
        <v>2</v>
      </c>
      <c r="N10" s="632">
        <f t="shared" si="0"/>
        <v>47</v>
      </c>
      <c r="O10" s="633">
        <f t="shared" si="1"/>
        <v>11.75</v>
      </c>
      <c r="P10" s="634">
        <f t="shared" si="2"/>
        <v>0.20435671116135484</v>
      </c>
    </row>
    <row r="11" spans="1:16" s="670" customFormat="1">
      <c r="A11" s="682" t="s">
        <v>31</v>
      </c>
      <c r="B11" s="669"/>
      <c r="C11" s="581"/>
      <c r="D11" s="631"/>
      <c r="E11" s="631"/>
      <c r="F11" s="631"/>
      <c r="G11" s="631"/>
      <c r="H11" s="631"/>
      <c r="I11" s="631"/>
      <c r="J11" s="631">
        <v>0</v>
      </c>
      <c r="K11" s="581">
        <v>1</v>
      </c>
      <c r="L11" s="581">
        <v>0</v>
      </c>
      <c r="M11" s="581">
        <v>0</v>
      </c>
      <c r="N11" s="632">
        <f t="shared" si="0"/>
        <v>1</v>
      </c>
      <c r="O11" s="633">
        <f t="shared" si="1"/>
        <v>0.25</v>
      </c>
      <c r="P11" s="634">
        <f t="shared" si="2"/>
        <v>4.348015131092656E-3</v>
      </c>
    </row>
    <row r="12" spans="1:16" s="670" customFormat="1">
      <c r="A12" s="682" t="s">
        <v>452</v>
      </c>
      <c r="B12" s="669"/>
      <c r="C12" s="581"/>
      <c r="D12" s="631"/>
      <c r="E12" s="631"/>
      <c r="F12" s="631"/>
      <c r="G12" s="631"/>
      <c r="H12" s="631"/>
      <c r="I12" s="631"/>
      <c r="J12" s="631">
        <v>7</v>
      </c>
      <c r="K12" s="581">
        <v>2</v>
      </c>
      <c r="L12" s="581">
        <v>0</v>
      </c>
      <c r="M12" s="581">
        <v>2</v>
      </c>
      <c r="N12" s="632">
        <f t="shared" si="0"/>
        <v>11</v>
      </c>
      <c r="O12" s="633">
        <f t="shared" si="1"/>
        <v>2.75</v>
      </c>
      <c r="P12" s="634">
        <f t="shared" si="2"/>
        <v>4.7828166442019218E-2</v>
      </c>
    </row>
    <row r="13" spans="1:16" s="670" customFormat="1">
      <c r="A13" s="682" t="s">
        <v>32</v>
      </c>
      <c r="B13" s="669"/>
      <c r="C13" s="581"/>
      <c r="D13" s="631"/>
      <c r="E13" s="631"/>
      <c r="F13" s="631"/>
      <c r="G13" s="631"/>
      <c r="H13" s="631"/>
      <c r="I13" s="631"/>
      <c r="J13" s="631">
        <v>0</v>
      </c>
      <c r="K13" s="581">
        <v>2</v>
      </c>
      <c r="L13" s="581">
        <v>0</v>
      </c>
      <c r="M13" s="581">
        <v>0</v>
      </c>
      <c r="N13" s="632">
        <f t="shared" si="0"/>
        <v>2</v>
      </c>
      <c r="O13" s="633">
        <f t="shared" si="1"/>
        <v>0.5</v>
      </c>
      <c r="P13" s="634">
        <f t="shared" si="2"/>
        <v>8.6960302621853121E-3</v>
      </c>
    </row>
    <row r="14" spans="1:16" s="670" customFormat="1">
      <c r="A14" s="682" t="s">
        <v>33</v>
      </c>
      <c r="B14" s="669"/>
      <c r="C14" s="581"/>
      <c r="D14" s="631"/>
      <c r="E14" s="631"/>
      <c r="F14" s="631"/>
      <c r="G14" s="631"/>
      <c r="H14" s="631"/>
      <c r="I14" s="631"/>
      <c r="J14" s="631">
        <v>0</v>
      </c>
      <c r="K14" s="581">
        <v>0</v>
      </c>
      <c r="L14" s="581">
        <v>1</v>
      </c>
      <c r="M14" s="581">
        <v>1</v>
      </c>
      <c r="N14" s="632">
        <f t="shared" si="0"/>
        <v>2</v>
      </c>
      <c r="O14" s="633">
        <f t="shared" si="1"/>
        <v>0.5</v>
      </c>
      <c r="P14" s="634">
        <f t="shared" si="2"/>
        <v>8.6960302621853121E-3</v>
      </c>
    </row>
    <row r="15" spans="1:16" s="635" customFormat="1">
      <c r="A15" s="683" t="s">
        <v>34</v>
      </c>
      <c r="B15" s="629"/>
      <c r="C15" s="581"/>
      <c r="D15" s="630"/>
      <c r="E15" s="630"/>
      <c r="F15" s="630"/>
      <c r="G15" s="631"/>
      <c r="H15" s="631"/>
      <c r="I15" s="631"/>
      <c r="J15" s="630">
        <v>18</v>
      </c>
      <c r="K15" s="581">
        <v>13</v>
      </c>
      <c r="L15" s="581">
        <v>10</v>
      </c>
      <c r="M15" s="581">
        <v>7</v>
      </c>
      <c r="N15" s="632">
        <f t="shared" si="0"/>
        <v>48</v>
      </c>
      <c r="O15" s="633">
        <f t="shared" si="1"/>
        <v>12</v>
      </c>
      <c r="P15" s="634">
        <f t="shared" si="2"/>
        <v>0.20870472629244749</v>
      </c>
    </row>
    <row r="16" spans="1:16" s="635" customFormat="1">
      <c r="A16" s="684" t="s">
        <v>35</v>
      </c>
      <c r="B16" s="629"/>
      <c r="C16" s="581"/>
      <c r="D16" s="630"/>
      <c r="E16" s="630"/>
      <c r="F16" s="630"/>
      <c r="G16" s="631"/>
      <c r="H16" s="631"/>
      <c r="I16" s="631"/>
      <c r="J16" s="630">
        <v>34</v>
      </c>
      <c r="K16" s="581">
        <v>31</v>
      </c>
      <c r="L16" s="581">
        <v>46</v>
      </c>
      <c r="M16" s="581">
        <v>31</v>
      </c>
      <c r="N16" s="632">
        <f t="shared" si="0"/>
        <v>142</v>
      </c>
      <c r="O16" s="633">
        <f t="shared" si="1"/>
        <v>35.5</v>
      </c>
      <c r="P16" s="634">
        <f t="shared" si="2"/>
        <v>0.6174181486151572</v>
      </c>
    </row>
    <row r="17" spans="1:16" s="635" customFormat="1">
      <c r="A17" s="684" t="s">
        <v>36</v>
      </c>
      <c r="B17" s="629"/>
      <c r="C17" s="581"/>
      <c r="D17" s="630"/>
      <c r="E17" s="630"/>
      <c r="F17" s="630"/>
      <c r="G17" s="631"/>
      <c r="H17" s="631"/>
      <c r="I17" s="631"/>
      <c r="J17" s="630">
        <v>0</v>
      </c>
      <c r="K17" s="581">
        <v>0</v>
      </c>
      <c r="L17" s="581">
        <v>0</v>
      </c>
      <c r="M17" s="581">
        <v>1</v>
      </c>
      <c r="N17" s="632">
        <f t="shared" si="0"/>
        <v>1</v>
      </c>
      <c r="O17" s="633">
        <f t="shared" si="1"/>
        <v>0.25</v>
      </c>
      <c r="P17" s="634">
        <f t="shared" si="2"/>
        <v>4.348015131092656E-3</v>
      </c>
    </row>
    <row r="18" spans="1:16" s="635" customFormat="1">
      <c r="A18" s="684" t="s">
        <v>37</v>
      </c>
      <c r="B18" s="629"/>
      <c r="C18" s="581"/>
      <c r="D18" s="630"/>
      <c r="E18" s="630"/>
      <c r="F18" s="630"/>
      <c r="G18" s="631"/>
      <c r="H18" s="631"/>
      <c r="I18" s="631"/>
      <c r="J18" s="630">
        <v>4</v>
      </c>
      <c r="K18" s="581">
        <v>2</v>
      </c>
      <c r="L18" s="581">
        <v>1</v>
      </c>
      <c r="M18" s="581">
        <v>5</v>
      </c>
      <c r="N18" s="632">
        <f t="shared" si="0"/>
        <v>12</v>
      </c>
      <c r="O18" s="633">
        <f t="shared" si="1"/>
        <v>3</v>
      </c>
      <c r="P18" s="634">
        <f t="shared" si="2"/>
        <v>5.2176181573111872E-2</v>
      </c>
    </row>
    <row r="19" spans="1:16" s="635" customFormat="1">
      <c r="A19" s="684" t="s">
        <v>38</v>
      </c>
      <c r="B19" s="629"/>
      <c r="C19" s="581"/>
      <c r="D19" s="630"/>
      <c r="E19" s="630"/>
      <c r="F19" s="630"/>
      <c r="G19" s="631"/>
      <c r="H19" s="631"/>
      <c r="I19" s="631"/>
      <c r="J19" s="630">
        <v>9</v>
      </c>
      <c r="K19" s="581">
        <v>3</v>
      </c>
      <c r="L19" s="581">
        <v>6</v>
      </c>
      <c r="M19" s="581">
        <v>2</v>
      </c>
      <c r="N19" s="632">
        <f t="shared" si="0"/>
        <v>20</v>
      </c>
      <c r="O19" s="633">
        <f t="shared" si="1"/>
        <v>5</v>
      </c>
      <c r="P19" s="634">
        <f t="shared" si="2"/>
        <v>8.6960302621853114E-2</v>
      </c>
    </row>
    <row r="20" spans="1:16" s="635" customFormat="1">
      <c r="A20" s="684" t="s">
        <v>39</v>
      </c>
      <c r="B20" s="629"/>
      <c r="C20" s="581"/>
      <c r="D20" s="630"/>
      <c r="E20" s="630"/>
      <c r="F20" s="630"/>
      <c r="G20" s="631"/>
      <c r="H20" s="631"/>
      <c r="I20" s="631"/>
      <c r="J20" s="630">
        <v>7</v>
      </c>
      <c r="K20" s="581">
        <v>12</v>
      </c>
      <c r="L20" s="581">
        <v>4</v>
      </c>
      <c r="M20" s="581">
        <v>0</v>
      </c>
      <c r="N20" s="632">
        <f t="shared" si="0"/>
        <v>23</v>
      </c>
      <c r="O20" s="633">
        <f t="shared" si="1"/>
        <v>5.75</v>
      </c>
      <c r="P20" s="634">
        <f t="shared" si="2"/>
        <v>0.1000043480151311</v>
      </c>
    </row>
    <row r="21" spans="1:16" s="635" customFormat="1">
      <c r="A21" s="684" t="s">
        <v>40</v>
      </c>
      <c r="B21" s="629"/>
      <c r="C21" s="581"/>
      <c r="D21" s="630"/>
      <c r="E21" s="630"/>
      <c r="F21" s="630"/>
      <c r="G21" s="631"/>
      <c r="H21" s="631"/>
      <c r="I21" s="631"/>
      <c r="J21" s="630">
        <v>0</v>
      </c>
      <c r="K21" s="581">
        <v>0</v>
      </c>
      <c r="L21" s="581">
        <v>0</v>
      </c>
      <c r="M21" s="581">
        <v>0</v>
      </c>
      <c r="N21" s="632">
        <f t="shared" si="0"/>
        <v>0</v>
      </c>
      <c r="O21" s="633">
        <f t="shared" si="1"/>
        <v>0</v>
      </c>
      <c r="P21" s="634">
        <f t="shared" si="2"/>
        <v>0</v>
      </c>
    </row>
    <row r="22" spans="1:16" s="635" customFormat="1">
      <c r="A22" s="684" t="s">
        <v>41</v>
      </c>
      <c r="B22" s="629"/>
      <c r="C22" s="581"/>
      <c r="D22" s="630"/>
      <c r="E22" s="630"/>
      <c r="F22" s="630"/>
      <c r="G22" s="631"/>
      <c r="H22" s="631"/>
      <c r="I22" s="631"/>
      <c r="J22" s="630">
        <v>0</v>
      </c>
      <c r="K22" s="581">
        <v>1</v>
      </c>
      <c r="L22" s="581">
        <v>0</v>
      </c>
      <c r="M22" s="581">
        <v>0</v>
      </c>
      <c r="N22" s="632">
        <f t="shared" si="0"/>
        <v>1</v>
      </c>
      <c r="O22" s="633">
        <f t="shared" si="1"/>
        <v>0.25</v>
      </c>
      <c r="P22" s="634">
        <f t="shared" si="2"/>
        <v>4.348015131092656E-3</v>
      </c>
    </row>
    <row r="23" spans="1:16" s="635" customFormat="1">
      <c r="A23" s="684" t="s">
        <v>424</v>
      </c>
      <c r="B23" s="629"/>
      <c r="C23" s="581"/>
      <c r="D23" s="630"/>
      <c r="E23" s="630"/>
      <c r="F23" s="630"/>
      <c r="G23" s="631"/>
      <c r="H23" s="631"/>
      <c r="I23" s="631"/>
      <c r="J23" s="630">
        <v>0</v>
      </c>
      <c r="K23" s="581">
        <v>0</v>
      </c>
      <c r="L23" s="581">
        <v>0</v>
      </c>
      <c r="M23" s="581">
        <v>0</v>
      </c>
      <c r="N23" s="632">
        <f t="shared" si="0"/>
        <v>0</v>
      </c>
      <c r="O23" s="633">
        <f t="shared" si="1"/>
        <v>0</v>
      </c>
      <c r="P23" s="634">
        <f t="shared" si="2"/>
        <v>0</v>
      </c>
    </row>
    <row r="24" spans="1:16" s="635" customFormat="1">
      <c r="A24" s="684" t="s">
        <v>42</v>
      </c>
      <c r="B24" s="629"/>
      <c r="C24" s="581"/>
      <c r="D24" s="630"/>
      <c r="E24" s="630"/>
      <c r="F24" s="630"/>
      <c r="G24" s="631"/>
      <c r="H24" s="631"/>
      <c r="I24" s="631"/>
      <c r="J24" s="630">
        <v>30</v>
      </c>
      <c r="K24" s="581">
        <v>14</v>
      </c>
      <c r="L24" s="581">
        <v>5</v>
      </c>
      <c r="M24" s="581">
        <v>8</v>
      </c>
      <c r="N24" s="632">
        <f t="shared" si="0"/>
        <v>57</v>
      </c>
      <c r="O24" s="633">
        <f t="shared" si="1"/>
        <v>14.25</v>
      </c>
      <c r="P24" s="634">
        <f t="shared" si="2"/>
        <v>0.24783686247228143</v>
      </c>
    </row>
    <row r="25" spans="1:16" s="635" customFormat="1">
      <c r="A25" s="684" t="s">
        <v>43</v>
      </c>
      <c r="B25" s="629"/>
      <c r="C25" s="581"/>
      <c r="D25" s="630"/>
      <c r="E25" s="630"/>
      <c r="F25" s="630"/>
      <c r="G25" s="631"/>
      <c r="H25" s="631"/>
      <c r="I25" s="631"/>
      <c r="J25" s="630">
        <v>283</v>
      </c>
      <c r="K25" s="581">
        <v>316</v>
      </c>
      <c r="L25" s="581">
        <v>303</v>
      </c>
      <c r="M25" s="581">
        <v>349</v>
      </c>
      <c r="N25" s="632">
        <f t="shared" si="0"/>
        <v>1251</v>
      </c>
      <c r="O25" s="633">
        <f t="shared" si="1"/>
        <v>312.75</v>
      </c>
      <c r="P25" s="634">
        <f t="shared" si="2"/>
        <v>5.4393669289969129</v>
      </c>
    </row>
    <row r="26" spans="1:16" s="635" customFormat="1">
      <c r="A26" s="684" t="s">
        <v>44</v>
      </c>
      <c r="B26" s="629"/>
      <c r="C26" s="581"/>
      <c r="D26" s="630"/>
      <c r="E26" s="630"/>
      <c r="F26" s="630"/>
      <c r="G26" s="631"/>
      <c r="H26" s="631"/>
      <c r="I26" s="631"/>
      <c r="J26" s="630">
        <v>0</v>
      </c>
      <c r="K26" s="581">
        <v>1</v>
      </c>
      <c r="L26" s="581">
        <v>0</v>
      </c>
      <c r="M26" s="581">
        <v>1</v>
      </c>
      <c r="N26" s="632">
        <f t="shared" si="0"/>
        <v>2</v>
      </c>
      <c r="O26" s="633">
        <f t="shared" si="1"/>
        <v>0.5</v>
      </c>
      <c r="P26" s="634">
        <f t="shared" si="2"/>
        <v>8.6960302621853121E-3</v>
      </c>
    </row>
    <row r="27" spans="1:16" s="635" customFormat="1">
      <c r="A27" s="684" t="s">
        <v>45</v>
      </c>
      <c r="B27" s="629"/>
      <c r="C27" s="581"/>
      <c r="D27" s="630"/>
      <c r="E27" s="630"/>
      <c r="F27" s="630"/>
      <c r="G27" s="631"/>
      <c r="H27" s="631"/>
      <c r="I27" s="631"/>
      <c r="J27" s="630">
        <v>0</v>
      </c>
      <c r="K27" s="581">
        <v>0</v>
      </c>
      <c r="L27" s="581">
        <v>0</v>
      </c>
      <c r="M27" s="581">
        <v>0</v>
      </c>
      <c r="N27" s="632">
        <f t="shared" si="0"/>
        <v>0</v>
      </c>
      <c r="O27" s="633">
        <f t="shared" si="1"/>
        <v>0</v>
      </c>
      <c r="P27" s="634">
        <f t="shared" si="2"/>
        <v>0</v>
      </c>
    </row>
    <row r="28" spans="1:16" s="635" customFormat="1">
      <c r="A28" s="684" t="s">
        <v>46</v>
      </c>
      <c r="B28" s="629"/>
      <c r="C28" s="581"/>
      <c r="D28" s="630"/>
      <c r="E28" s="630"/>
      <c r="F28" s="630"/>
      <c r="G28" s="631"/>
      <c r="H28" s="631"/>
      <c r="I28" s="631"/>
      <c r="J28" s="630">
        <v>11</v>
      </c>
      <c r="K28" s="581">
        <v>6</v>
      </c>
      <c r="L28" s="581">
        <v>5</v>
      </c>
      <c r="M28" s="581">
        <v>11</v>
      </c>
      <c r="N28" s="632">
        <f t="shared" si="0"/>
        <v>33</v>
      </c>
      <c r="O28" s="633">
        <f t="shared" si="1"/>
        <v>8.25</v>
      </c>
      <c r="P28" s="634">
        <f t="shared" si="2"/>
        <v>0.14348449932605764</v>
      </c>
    </row>
    <row r="29" spans="1:16" s="635" customFormat="1">
      <c r="A29" s="683" t="s">
        <v>47</v>
      </c>
      <c r="B29" s="629"/>
      <c r="C29" s="581"/>
      <c r="D29" s="630"/>
      <c r="E29" s="630"/>
      <c r="F29" s="630"/>
      <c r="G29" s="631"/>
      <c r="H29" s="631"/>
      <c r="I29" s="631"/>
      <c r="J29" s="630">
        <v>41</v>
      </c>
      <c r="K29" s="581">
        <v>43</v>
      </c>
      <c r="L29" s="581">
        <v>15</v>
      </c>
      <c r="M29" s="581">
        <v>13</v>
      </c>
      <c r="N29" s="632">
        <f t="shared" si="0"/>
        <v>112</v>
      </c>
      <c r="O29" s="633">
        <f t="shared" si="1"/>
        <v>28</v>
      </c>
      <c r="P29" s="634">
        <f t="shared" si="2"/>
        <v>0.4869776946823775</v>
      </c>
    </row>
    <row r="30" spans="1:16" s="635" customFormat="1">
      <c r="A30" s="683" t="s">
        <v>425</v>
      </c>
      <c r="B30" s="629"/>
      <c r="C30" s="581"/>
      <c r="D30" s="630"/>
      <c r="E30" s="630"/>
      <c r="F30" s="630"/>
      <c r="G30" s="631"/>
      <c r="H30" s="631"/>
      <c r="I30" s="631"/>
      <c r="J30" s="630">
        <v>5</v>
      </c>
      <c r="K30" s="581">
        <v>3</v>
      </c>
      <c r="L30" s="581">
        <v>1</v>
      </c>
      <c r="M30" s="581">
        <v>1</v>
      </c>
      <c r="N30" s="632">
        <f t="shared" si="0"/>
        <v>10</v>
      </c>
      <c r="O30" s="633">
        <f t="shared" si="1"/>
        <v>2.5</v>
      </c>
      <c r="P30" s="634">
        <f t="shared" si="2"/>
        <v>4.3480151310926557E-2</v>
      </c>
    </row>
    <row r="31" spans="1:16" s="635" customFormat="1">
      <c r="A31" s="683" t="s">
        <v>455</v>
      </c>
      <c r="B31" s="629"/>
      <c r="C31" s="581"/>
      <c r="D31" s="630"/>
      <c r="E31" s="630"/>
      <c r="F31" s="630"/>
      <c r="G31" s="631"/>
      <c r="H31" s="631"/>
      <c r="I31" s="631"/>
      <c r="J31" s="630">
        <v>0</v>
      </c>
      <c r="K31" s="581">
        <v>0</v>
      </c>
      <c r="L31" s="581">
        <v>2</v>
      </c>
      <c r="M31" s="581">
        <v>1</v>
      </c>
      <c r="N31" s="632">
        <f t="shared" si="0"/>
        <v>3</v>
      </c>
      <c r="O31" s="633">
        <f t="shared" si="1"/>
        <v>0.75</v>
      </c>
      <c r="P31" s="634">
        <f t="shared" si="2"/>
        <v>1.3044045393277968E-2</v>
      </c>
    </row>
    <row r="32" spans="1:16" s="635" customFormat="1">
      <c r="A32" s="683" t="s">
        <v>48</v>
      </c>
      <c r="B32" s="629"/>
      <c r="C32" s="581"/>
      <c r="D32" s="630"/>
      <c r="E32" s="630"/>
      <c r="F32" s="630"/>
      <c r="G32" s="631"/>
      <c r="H32" s="631"/>
      <c r="I32" s="631"/>
      <c r="J32" s="630">
        <v>1</v>
      </c>
      <c r="K32" s="581">
        <v>3</v>
      </c>
      <c r="L32" s="581">
        <v>3</v>
      </c>
      <c r="M32" s="581">
        <v>6</v>
      </c>
      <c r="N32" s="632">
        <f t="shared" si="0"/>
        <v>13</v>
      </c>
      <c r="O32" s="633">
        <f t="shared" si="1"/>
        <v>3.25</v>
      </c>
      <c r="P32" s="634">
        <f t="shared" si="2"/>
        <v>5.6524196704204527E-2</v>
      </c>
    </row>
    <row r="33" spans="1:16" s="635" customFormat="1">
      <c r="A33" s="684" t="s">
        <v>49</v>
      </c>
      <c r="B33" s="629"/>
      <c r="C33" s="581"/>
      <c r="D33" s="630"/>
      <c r="E33" s="630"/>
      <c r="F33" s="630"/>
      <c r="G33" s="631"/>
      <c r="H33" s="631"/>
      <c r="I33" s="631"/>
      <c r="J33" s="630">
        <v>1</v>
      </c>
      <c r="K33" s="581">
        <v>3</v>
      </c>
      <c r="L33" s="581">
        <v>5</v>
      </c>
      <c r="M33" s="581">
        <v>2</v>
      </c>
      <c r="N33" s="632">
        <f t="shared" si="0"/>
        <v>11</v>
      </c>
      <c r="O33" s="633">
        <f t="shared" si="1"/>
        <v>2.75</v>
      </c>
      <c r="P33" s="634">
        <f t="shared" si="2"/>
        <v>4.7828166442019218E-2</v>
      </c>
    </row>
    <row r="34" spans="1:16" s="635" customFormat="1">
      <c r="A34" s="684" t="s">
        <v>50</v>
      </c>
      <c r="B34" s="629"/>
      <c r="C34" s="581"/>
      <c r="D34" s="630"/>
      <c r="E34" s="630"/>
      <c r="F34" s="630"/>
      <c r="G34" s="631"/>
      <c r="H34" s="631"/>
      <c r="I34" s="631"/>
      <c r="J34" s="630">
        <v>0</v>
      </c>
      <c r="K34" s="581">
        <v>0</v>
      </c>
      <c r="L34" s="581">
        <v>0</v>
      </c>
      <c r="M34" s="581">
        <v>0</v>
      </c>
      <c r="N34" s="632">
        <f t="shared" si="0"/>
        <v>0</v>
      </c>
      <c r="O34" s="633">
        <f t="shared" si="1"/>
        <v>0</v>
      </c>
      <c r="P34" s="634">
        <f t="shared" si="2"/>
        <v>0</v>
      </c>
    </row>
    <row r="35" spans="1:16" s="635" customFormat="1">
      <c r="A35" s="684" t="s">
        <v>473</v>
      </c>
      <c r="B35" s="629"/>
      <c r="C35" s="581"/>
      <c r="D35" s="630"/>
      <c r="E35" s="630"/>
      <c r="F35" s="630"/>
      <c r="G35" s="631"/>
      <c r="H35" s="631"/>
      <c r="I35" s="631"/>
      <c r="J35" s="630">
        <v>4</v>
      </c>
      <c r="K35" s="581">
        <v>4</v>
      </c>
      <c r="L35" s="581">
        <v>0</v>
      </c>
      <c r="M35" s="581">
        <v>6</v>
      </c>
      <c r="N35" s="632">
        <f t="shared" si="0"/>
        <v>14</v>
      </c>
      <c r="O35" s="633">
        <f t="shared" si="1"/>
        <v>3.5</v>
      </c>
      <c r="P35" s="634">
        <f t="shared" si="2"/>
        <v>6.0872211835297188E-2</v>
      </c>
    </row>
    <row r="36" spans="1:16" s="635" customFormat="1">
      <c r="A36" s="684" t="s">
        <v>509</v>
      </c>
      <c r="B36" s="629"/>
      <c r="C36" s="581"/>
      <c r="D36" s="630"/>
      <c r="E36" s="630"/>
      <c r="F36" s="630"/>
      <c r="G36" s="631"/>
      <c r="H36" s="631"/>
      <c r="I36" s="631"/>
      <c r="J36" s="630">
        <v>2</v>
      </c>
      <c r="K36" s="581">
        <v>0</v>
      </c>
      <c r="L36" s="581">
        <v>0</v>
      </c>
      <c r="M36" s="581">
        <v>0</v>
      </c>
      <c r="N36" s="632">
        <f t="shared" si="0"/>
        <v>2</v>
      </c>
      <c r="O36" s="633">
        <f t="shared" si="1"/>
        <v>0.5</v>
      </c>
      <c r="P36" s="634">
        <f t="shared" si="2"/>
        <v>8.6960302621853121E-3</v>
      </c>
    </row>
    <row r="37" spans="1:16" s="635" customFormat="1">
      <c r="A37" s="683" t="s">
        <v>51</v>
      </c>
      <c r="B37" s="629"/>
      <c r="C37" s="581"/>
      <c r="D37" s="630"/>
      <c r="E37" s="630"/>
      <c r="F37" s="630"/>
      <c r="G37" s="631"/>
      <c r="H37" s="631"/>
      <c r="I37" s="631"/>
      <c r="J37" s="630">
        <v>0</v>
      </c>
      <c r="K37" s="581">
        <v>6</v>
      </c>
      <c r="L37" s="581">
        <v>0</v>
      </c>
      <c r="M37" s="581">
        <v>0</v>
      </c>
      <c r="N37" s="632">
        <f t="shared" si="0"/>
        <v>6</v>
      </c>
      <c r="O37" s="633">
        <f t="shared" si="1"/>
        <v>1.5</v>
      </c>
      <c r="P37" s="634">
        <f t="shared" si="2"/>
        <v>2.6088090786555936E-2</v>
      </c>
    </row>
    <row r="38" spans="1:16" s="635" customFormat="1">
      <c r="A38" s="684" t="s">
        <v>52</v>
      </c>
      <c r="B38" s="629"/>
      <c r="C38" s="581"/>
      <c r="D38" s="630"/>
      <c r="E38" s="630"/>
      <c r="F38" s="630"/>
      <c r="G38" s="631"/>
      <c r="H38" s="631"/>
      <c r="I38" s="631"/>
      <c r="J38" s="630">
        <v>10</v>
      </c>
      <c r="K38" s="581">
        <v>6</v>
      </c>
      <c r="L38" s="581">
        <v>6</v>
      </c>
      <c r="M38" s="581">
        <v>3</v>
      </c>
      <c r="N38" s="632">
        <f t="shared" si="0"/>
        <v>25</v>
      </c>
      <c r="O38" s="633">
        <f t="shared" si="1"/>
        <v>6.25</v>
      </c>
      <c r="P38" s="634">
        <f t="shared" si="2"/>
        <v>0.10870037827731641</v>
      </c>
    </row>
    <row r="39" spans="1:16" s="635" customFormat="1">
      <c r="A39" s="684" t="s">
        <v>53</v>
      </c>
      <c r="B39" s="629"/>
      <c r="C39" s="581"/>
      <c r="D39" s="630"/>
      <c r="E39" s="630"/>
      <c r="F39" s="630"/>
      <c r="G39" s="631"/>
      <c r="H39" s="631"/>
      <c r="I39" s="631"/>
      <c r="J39" s="630">
        <v>66</v>
      </c>
      <c r="K39" s="581">
        <v>91</v>
      </c>
      <c r="L39" s="581">
        <v>67</v>
      </c>
      <c r="M39" s="581">
        <v>49</v>
      </c>
      <c r="N39" s="632">
        <f t="shared" si="0"/>
        <v>273</v>
      </c>
      <c r="O39" s="633">
        <f t="shared" si="1"/>
        <v>68.25</v>
      </c>
      <c r="P39" s="634">
        <f t="shared" si="2"/>
        <v>1.1870081307882951</v>
      </c>
    </row>
    <row r="40" spans="1:16" s="635" customFormat="1">
      <c r="A40" s="684" t="s">
        <v>456</v>
      </c>
      <c r="B40" s="629"/>
      <c r="C40" s="581"/>
      <c r="D40" s="630"/>
      <c r="E40" s="630"/>
      <c r="F40" s="630"/>
      <c r="G40" s="631"/>
      <c r="H40" s="631"/>
      <c r="I40" s="631"/>
      <c r="J40" s="630">
        <v>20</v>
      </c>
      <c r="K40" s="581">
        <v>10</v>
      </c>
      <c r="L40" s="581">
        <v>2</v>
      </c>
      <c r="M40" s="581">
        <v>0</v>
      </c>
      <c r="N40" s="632">
        <f t="shared" si="0"/>
        <v>32</v>
      </c>
      <c r="O40" s="633">
        <f t="shared" si="1"/>
        <v>8</v>
      </c>
      <c r="P40" s="634">
        <f t="shared" si="2"/>
        <v>0.13913648419496499</v>
      </c>
    </row>
    <row r="41" spans="1:16" s="635" customFormat="1">
      <c r="A41" s="684" t="s">
        <v>54</v>
      </c>
      <c r="B41" s="629"/>
      <c r="C41" s="581"/>
      <c r="D41" s="630"/>
      <c r="E41" s="630"/>
      <c r="F41" s="630"/>
      <c r="G41" s="631"/>
      <c r="H41" s="631"/>
      <c r="I41" s="631"/>
      <c r="J41" s="630">
        <v>0</v>
      </c>
      <c r="K41" s="581">
        <v>0</v>
      </c>
      <c r="L41" s="581">
        <v>0</v>
      </c>
      <c r="M41" s="581">
        <v>0</v>
      </c>
      <c r="N41" s="632">
        <f t="shared" si="0"/>
        <v>0</v>
      </c>
      <c r="O41" s="633">
        <f t="shared" si="1"/>
        <v>0</v>
      </c>
      <c r="P41" s="634">
        <f t="shared" si="2"/>
        <v>0</v>
      </c>
    </row>
    <row r="42" spans="1:16" s="635" customFormat="1" ht="17.25" customHeight="1">
      <c r="A42" s="684" t="s">
        <v>55</v>
      </c>
      <c r="B42" s="629"/>
      <c r="C42" s="581"/>
      <c r="D42" s="630"/>
      <c r="E42" s="630"/>
      <c r="F42" s="630"/>
      <c r="G42" s="631"/>
      <c r="H42" s="631"/>
      <c r="I42" s="631"/>
      <c r="J42" s="630">
        <v>0</v>
      </c>
      <c r="K42" s="581">
        <v>0</v>
      </c>
      <c r="L42" s="581">
        <v>0</v>
      </c>
      <c r="M42" s="581">
        <v>0</v>
      </c>
      <c r="N42" s="632">
        <f t="shared" si="0"/>
        <v>0</v>
      </c>
      <c r="O42" s="633">
        <f t="shared" si="1"/>
        <v>0</v>
      </c>
      <c r="P42" s="634">
        <f t="shared" si="2"/>
        <v>0</v>
      </c>
    </row>
    <row r="43" spans="1:16" s="635" customFormat="1">
      <c r="A43" s="684" t="s">
        <v>444</v>
      </c>
      <c r="B43" s="629"/>
      <c r="C43" s="581"/>
      <c r="D43" s="630"/>
      <c r="E43" s="630"/>
      <c r="F43" s="630"/>
      <c r="G43" s="631"/>
      <c r="H43" s="631"/>
      <c r="I43" s="631"/>
      <c r="J43" s="630">
        <v>369</v>
      </c>
      <c r="K43" s="581">
        <v>418</v>
      </c>
      <c r="L43" s="581">
        <v>336</v>
      </c>
      <c r="M43" s="581">
        <v>329</v>
      </c>
      <c r="N43" s="632">
        <f t="shared" si="0"/>
        <v>1452</v>
      </c>
      <c r="O43" s="633">
        <f t="shared" si="1"/>
        <v>363</v>
      </c>
      <c r="P43" s="634">
        <f t="shared" si="2"/>
        <v>6.313317970346537</v>
      </c>
    </row>
    <row r="44" spans="1:16" s="635" customFormat="1">
      <c r="A44" s="684" t="s">
        <v>474</v>
      </c>
      <c r="B44" s="629"/>
      <c r="C44" s="581"/>
      <c r="D44" s="630"/>
      <c r="E44" s="630"/>
      <c r="F44" s="630"/>
      <c r="G44" s="631"/>
      <c r="H44" s="631"/>
      <c r="I44" s="631"/>
      <c r="J44" s="630">
        <v>0</v>
      </c>
      <c r="K44" s="581">
        <v>0</v>
      </c>
      <c r="L44" s="581">
        <v>1</v>
      </c>
      <c r="M44" s="581">
        <v>1</v>
      </c>
      <c r="N44" s="632">
        <f t="shared" si="0"/>
        <v>2</v>
      </c>
      <c r="O44" s="633">
        <f t="shared" si="1"/>
        <v>0.5</v>
      </c>
      <c r="P44" s="634">
        <f t="shared" si="2"/>
        <v>8.6960302621853121E-3</v>
      </c>
    </row>
    <row r="45" spans="1:16" s="635" customFormat="1">
      <c r="A45" s="684" t="s">
        <v>56</v>
      </c>
      <c r="B45" s="629"/>
      <c r="C45" s="581"/>
      <c r="D45" s="630"/>
      <c r="E45" s="630"/>
      <c r="F45" s="630"/>
      <c r="G45" s="631"/>
      <c r="H45" s="631"/>
      <c r="I45" s="631"/>
      <c r="J45" s="630">
        <v>0</v>
      </c>
      <c r="K45" s="581">
        <v>0</v>
      </c>
      <c r="L45" s="581">
        <v>0</v>
      </c>
      <c r="M45" s="581">
        <v>0</v>
      </c>
      <c r="N45" s="632">
        <f t="shared" si="0"/>
        <v>0</v>
      </c>
      <c r="O45" s="633">
        <f t="shared" si="1"/>
        <v>0</v>
      </c>
      <c r="P45" s="634">
        <f t="shared" si="2"/>
        <v>0</v>
      </c>
    </row>
    <row r="46" spans="1:16" s="635" customFormat="1">
      <c r="A46" s="684" t="s">
        <v>57</v>
      </c>
      <c r="B46" s="629"/>
      <c r="C46" s="581"/>
      <c r="D46" s="630"/>
      <c r="E46" s="630"/>
      <c r="F46" s="630"/>
      <c r="G46" s="631"/>
      <c r="H46" s="631"/>
      <c r="I46" s="631"/>
      <c r="J46" s="630">
        <v>819</v>
      </c>
      <c r="K46" s="581">
        <v>822</v>
      </c>
      <c r="L46" s="581">
        <v>798</v>
      </c>
      <c r="M46" s="581">
        <v>552</v>
      </c>
      <c r="N46" s="632">
        <f t="shared" si="0"/>
        <v>2991</v>
      </c>
      <c r="O46" s="633">
        <f t="shared" si="1"/>
        <v>747.75</v>
      </c>
      <c r="P46" s="634">
        <f t="shared" si="2"/>
        <v>13.004913257098135</v>
      </c>
    </row>
    <row r="47" spans="1:16" s="635" customFormat="1">
      <c r="A47" s="684" t="s">
        <v>58</v>
      </c>
      <c r="B47" s="629"/>
      <c r="C47" s="581"/>
      <c r="D47" s="630"/>
      <c r="E47" s="630"/>
      <c r="F47" s="630"/>
      <c r="G47" s="631"/>
      <c r="H47" s="631"/>
      <c r="I47" s="631"/>
      <c r="J47" s="630">
        <v>4</v>
      </c>
      <c r="K47" s="581">
        <v>2</v>
      </c>
      <c r="L47" s="581">
        <v>3</v>
      </c>
      <c r="M47" s="581">
        <v>2</v>
      </c>
      <c r="N47" s="632">
        <f t="shared" si="0"/>
        <v>11</v>
      </c>
      <c r="O47" s="633">
        <f t="shared" si="1"/>
        <v>2.75</v>
      </c>
      <c r="P47" s="634">
        <f t="shared" si="2"/>
        <v>4.7828166442019218E-2</v>
      </c>
    </row>
    <row r="48" spans="1:16" s="635" customFormat="1">
      <c r="A48" s="684" t="s">
        <v>59</v>
      </c>
      <c r="B48" s="629"/>
      <c r="C48" s="581"/>
      <c r="D48" s="630"/>
      <c r="E48" s="630"/>
      <c r="F48" s="630"/>
      <c r="G48" s="631"/>
      <c r="H48" s="631"/>
      <c r="I48" s="631"/>
      <c r="J48" s="630">
        <v>153</v>
      </c>
      <c r="K48" s="581">
        <v>123</v>
      </c>
      <c r="L48" s="581">
        <v>163</v>
      </c>
      <c r="M48" s="581">
        <v>140</v>
      </c>
      <c r="N48" s="632">
        <f t="shared" si="0"/>
        <v>579</v>
      </c>
      <c r="O48" s="633">
        <f t="shared" si="1"/>
        <v>144.75</v>
      </c>
      <c r="P48" s="634">
        <f t="shared" si="2"/>
        <v>2.5175007609026476</v>
      </c>
    </row>
    <row r="49" spans="1:16" s="635" customFormat="1">
      <c r="A49" s="684" t="s">
        <v>60</v>
      </c>
      <c r="B49" s="629"/>
      <c r="C49" s="581"/>
      <c r="D49" s="630"/>
      <c r="E49" s="630"/>
      <c r="F49" s="630"/>
      <c r="G49" s="631"/>
      <c r="H49" s="631"/>
      <c r="I49" s="631"/>
      <c r="J49" s="630">
        <v>141</v>
      </c>
      <c r="K49" s="581">
        <v>167</v>
      </c>
      <c r="L49" s="581">
        <v>145</v>
      </c>
      <c r="M49" s="581">
        <v>153</v>
      </c>
      <c r="N49" s="632">
        <f t="shared" si="0"/>
        <v>606</v>
      </c>
      <c r="O49" s="633">
        <f t="shared" si="1"/>
        <v>151.5</v>
      </c>
      <c r="P49" s="634">
        <f t="shared" si="2"/>
        <v>2.6348971694421497</v>
      </c>
    </row>
    <row r="50" spans="1:16" s="635" customFormat="1">
      <c r="A50" s="684" t="s">
        <v>61</v>
      </c>
      <c r="B50" s="629"/>
      <c r="C50" s="581"/>
      <c r="D50" s="630"/>
      <c r="E50" s="630"/>
      <c r="F50" s="630"/>
      <c r="G50" s="631"/>
      <c r="H50" s="631"/>
      <c r="I50" s="631"/>
      <c r="J50" s="630">
        <v>1</v>
      </c>
      <c r="K50" s="581">
        <v>2</v>
      </c>
      <c r="L50" s="581">
        <v>1</v>
      </c>
      <c r="M50" s="581">
        <v>2</v>
      </c>
      <c r="N50" s="632">
        <f t="shared" si="0"/>
        <v>6</v>
      </c>
      <c r="O50" s="633">
        <f t="shared" si="1"/>
        <v>1.5</v>
      </c>
      <c r="P50" s="634">
        <f t="shared" si="2"/>
        <v>2.6088090786555936E-2</v>
      </c>
    </row>
    <row r="51" spans="1:16" s="635" customFormat="1">
      <c r="A51" s="684" t="s">
        <v>62</v>
      </c>
      <c r="B51" s="629"/>
      <c r="C51" s="581"/>
      <c r="D51" s="630"/>
      <c r="E51" s="630"/>
      <c r="F51" s="630"/>
      <c r="G51" s="631"/>
      <c r="H51" s="631"/>
      <c r="I51" s="631"/>
      <c r="J51" s="630">
        <v>16</v>
      </c>
      <c r="K51" s="581">
        <v>19</v>
      </c>
      <c r="L51" s="581">
        <v>13</v>
      </c>
      <c r="M51" s="581">
        <v>7</v>
      </c>
      <c r="N51" s="632">
        <f t="shared" si="0"/>
        <v>55</v>
      </c>
      <c r="O51" s="633">
        <f t="shared" si="1"/>
        <v>13.75</v>
      </c>
      <c r="P51" s="634">
        <f t="shared" si="2"/>
        <v>0.23914083221009608</v>
      </c>
    </row>
    <row r="52" spans="1:16" s="635" customFormat="1">
      <c r="A52" s="683" t="s">
        <v>63</v>
      </c>
      <c r="B52" s="629"/>
      <c r="C52" s="581"/>
      <c r="D52" s="630"/>
      <c r="E52" s="630"/>
      <c r="F52" s="630"/>
      <c r="G52" s="631"/>
      <c r="H52" s="631"/>
      <c r="I52" s="631"/>
      <c r="J52" s="630">
        <v>0</v>
      </c>
      <c r="K52" s="581">
        <v>1</v>
      </c>
      <c r="L52" s="581">
        <v>0</v>
      </c>
      <c r="M52" s="581">
        <v>1</v>
      </c>
      <c r="N52" s="632">
        <f t="shared" si="0"/>
        <v>2</v>
      </c>
      <c r="O52" s="633">
        <f t="shared" si="1"/>
        <v>0.5</v>
      </c>
      <c r="P52" s="634">
        <f t="shared" si="2"/>
        <v>8.6960302621853121E-3</v>
      </c>
    </row>
    <row r="53" spans="1:16" s="635" customFormat="1">
      <c r="A53" s="684" t="s">
        <v>64</v>
      </c>
      <c r="B53" s="629"/>
      <c r="C53" s="581"/>
      <c r="D53" s="630"/>
      <c r="E53" s="630"/>
      <c r="F53" s="630"/>
      <c r="G53" s="631"/>
      <c r="H53" s="631"/>
      <c r="I53" s="631"/>
      <c r="J53" s="630">
        <v>33</v>
      </c>
      <c r="K53" s="581">
        <v>37</v>
      </c>
      <c r="L53" s="581">
        <v>17</v>
      </c>
      <c r="M53" s="581">
        <v>27</v>
      </c>
      <c r="N53" s="632">
        <f t="shared" si="0"/>
        <v>114</v>
      </c>
      <c r="O53" s="633">
        <f t="shared" si="1"/>
        <v>28.5</v>
      </c>
      <c r="P53" s="634">
        <f t="shared" si="2"/>
        <v>0.49567372494456285</v>
      </c>
    </row>
    <row r="54" spans="1:16" s="635" customFormat="1">
      <c r="A54" s="684" t="s">
        <v>65</v>
      </c>
      <c r="B54" s="629"/>
      <c r="C54" s="581"/>
      <c r="D54" s="630"/>
      <c r="E54" s="630"/>
      <c r="F54" s="630"/>
      <c r="G54" s="631"/>
      <c r="H54" s="631"/>
      <c r="I54" s="631"/>
      <c r="J54" s="630">
        <v>37</v>
      </c>
      <c r="K54" s="581">
        <v>28</v>
      </c>
      <c r="L54" s="581">
        <v>31</v>
      </c>
      <c r="M54" s="581">
        <v>19</v>
      </c>
      <c r="N54" s="632">
        <f t="shared" si="0"/>
        <v>115</v>
      </c>
      <c r="O54" s="633">
        <f t="shared" si="1"/>
        <v>28.75</v>
      </c>
      <c r="P54" s="634">
        <f t="shared" si="2"/>
        <v>0.50002174007565547</v>
      </c>
    </row>
    <row r="55" spans="1:16" s="635" customFormat="1">
      <c r="A55" s="684" t="s">
        <v>66</v>
      </c>
      <c r="B55" s="629"/>
      <c r="C55" s="581"/>
      <c r="D55" s="630"/>
      <c r="E55" s="630"/>
      <c r="F55" s="630"/>
      <c r="G55" s="631"/>
      <c r="H55" s="631"/>
      <c r="I55" s="631"/>
      <c r="J55" s="630">
        <v>12</v>
      </c>
      <c r="K55" s="581">
        <v>10</v>
      </c>
      <c r="L55" s="581">
        <v>13</v>
      </c>
      <c r="M55" s="581">
        <v>8</v>
      </c>
      <c r="N55" s="632">
        <f t="shared" si="0"/>
        <v>43</v>
      </c>
      <c r="O55" s="633">
        <f t="shared" si="1"/>
        <v>10.75</v>
      </c>
      <c r="P55" s="634">
        <f t="shared" si="2"/>
        <v>0.1869646506369842</v>
      </c>
    </row>
    <row r="56" spans="1:16" s="635" customFormat="1">
      <c r="A56" s="684" t="s">
        <v>67</v>
      </c>
      <c r="B56" s="629"/>
      <c r="C56" s="581"/>
      <c r="D56" s="630"/>
      <c r="E56" s="630"/>
      <c r="F56" s="630"/>
      <c r="G56" s="631"/>
      <c r="H56" s="631"/>
      <c r="I56" s="631"/>
      <c r="J56" s="630">
        <v>3</v>
      </c>
      <c r="K56" s="581">
        <v>0</v>
      </c>
      <c r="L56" s="581">
        <v>8</v>
      </c>
      <c r="M56" s="581">
        <v>3</v>
      </c>
      <c r="N56" s="632">
        <f t="shared" si="0"/>
        <v>14</v>
      </c>
      <c r="O56" s="633">
        <f t="shared" si="1"/>
        <v>3.5</v>
      </c>
      <c r="P56" s="634">
        <f t="shared" si="2"/>
        <v>6.0872211835297188E-2</v>
      </c>
    </row>
    <row r="57" spans="1:16" s="635" customFormat="1">
      <c r="A57" s="684" t="s">
        <v>68</v>
      </c>
      <c r="B57" s="629"/>
      <c r="C57" s="581"/>
      <c r="D57" s="630"/>
      <c r="E57" s="630"/>
      <c r="F57" s="630"/>
      <c r="G57" s="631"/>
      <c r="H57" s="631"/>
      <c r="I57" s="631"/>
      <c r="J57" s="630">
        <v>71</v>
      </c>
      <c r="K57" s="581">
        <v>63</v>
      </c>
      <c r="L57" s="581">
        <v>71</v>
      </c>
      <c r="M57" s="581">
        <v>103</v>
      </c>
      <c r="N57" s="632">
        <f t="shared" si="0"/>
        <v>308</v>
      </c>
      <c r="O57" s="633">
        <f t="shared" si="1"/>
        <v>77</v>
      </c>
      <c r="P57" s="634">
        <f t="shared" si="2"/>
        <v>1.3391886603765382</v>
      </c>
    </row>
    <row r="58" spans="1:16" s="635" customFormat="1">
      <c r="A58" s="684" t="s">
        <v>69</v>
      </c>
      <c r="B58" s="629"/>
      <c r="C58" s="581"/>
      <c r="D58" s="630"/>
      <c r="E58" s="630"/>
      <c r="F58" s="630"/>
      <c r="G58" s="631"/>
      <c r="H58" s="631"/>
      <c r="I58" s="631"/>
      <c r="J58" s="630">
        <v>22</v>
      </c>
      <c r="K58" s="581">
        <v>17</v>
      </c>
      <c r="L58" s="581">
        <v>14</v>
      </c>
      <c r="M58" s="581">
        <v>48</v>
      </c>
      <c r="N58" s="632">
        <f t="shared" si="0"/>
        <v>101</v>
      </c>
      <c r="O58" s="633">
        <f t="shared" si="1"/>
        <v>25.25</v>
      </c>
      <c r="P58" s="634">
        <f t="shared" si="2"/>
        <v>0.4391495282403583</v>
      </c>
    </row>
    <row r="59" spans="1:16" s="635" customFormat="1">
      <c r="A59" s="684" t="s">
        <v>70</v>
      </c>
      <c r="B59" s="629"/>
      <c r="C59" s="581"/>
      <c r="D59" s="630"/>
      <c r="E59" s="630"/>
      <c r="F59" s="630"/>
      <c r="G59" s="631"/>
      <c r="H59" s="631"/>
      <c r="I59" s="631"/>
      <c r="J59" s="630">
        <v>1</v>
      </c>
      <c r="K59" s="581">
        <v>4</v>
      </c>
      <c r="L59" s="581">
        <v>0</v>
      </c>
      <c r="M59" s="581">
        <v>0</v>
      </c>
      <c r="N59" s="632">
        <f t="shared" si="0"/>
        <v>5</v>
      </c>
      <c r="O59" s="633">
        <f t="shared" si="1"/>
        <v>1.25</v>
      </c>
      <c r="P59" s="634">
        <f t="shared" si="2"/>
        <v>2.1740075655463278E-2</v>
      </c>
    </row>
    <row r="60" spans="1:16" s="635" customFormat="1">
      <c r="A60" s="684" t="s">
        <v>71</v>
      </c>
      <c r="B60" s="629"/>
      <c r="C60" s="581"/>
      <c r="D60" s="630"/>
      <c r="E60" s="630"/>
      <c r="F60" s="630"/>
      <c r="G60" s="631"/>
      <c r="H60" s="631"/>
      <c r="I60" s="631"/>
      <c r="J60" s="630">
        <v>9</v>
      </c>
      <c r="K60" s="581">
        <v>7</v>
      </c>
      <c r="L60" s="581">
        <v>14</v>
      </c>
      <c r="M60" s="581">
        <v>19</v>
      </c>
      <c r="N60" s="632">
        <f t="shared" si="0"/>
        <v>49</v>
      </c>
      <c r="O60" s="633">
        <f t="shared" si="1"/>
        <v>12.25</v>
      </c>
      <c r="P60" s="634">
        <f t="shared" si="2"/>
        <v>0.21305274142354017</v>
      </c>
    </row>
    <row r="61" spans="1:16" s="635" customFormat="1">
      <c r="A61" s="684" t="s">
        <v>426</v>
      </c>
      <c r="B61" s="629"/>
      <c r="C61" s="581"/>
      <c r="D61" s="630"/>
      <c r="E61" s="630"/>
      <c r="F61" s="630"/>
      <c r="G61" s="631"/>
      <c r="H61" s="631"/>
      <c r="I61" s="631"/>
      <c r="J61" s="630">
        <v>1</v>
      </c>
      <c r="K61" s="581">
        <v>2</v>
      </c>
      <c r="L61" s="581">
        <v>2</v>
      </c>
      <c r="M61" s="581">
        <v>0</v>
      </c>
      <c r="N61" s="632">
        <f t="shared" si="0"/>
        <v>5</v>
      </c>
      <c r="O61" s="633">
        <f t="shared" si="1"/>
        <v>1.25</v>
      </c>
      <c r="P61" s="634">
        <f t="shared" si="2"/>
        <v>2.1740075655463278E-2</v>
      </c>
    </row>
    <row r="62" spans="1:16" s="635" customFormat="1">
      <c r="A62" s="684" t="s">
        <v>457</v>
      </c>
      <c r="B62" s="629"/>
      <c r="C62" s="581"/>
      <c r="D62" s="630"/>
      <c r="E62" s="630"/>
      <c r="F62" s="630"/>
      <c r="G62" s="631"/>
      <c r="H62" s="631"/>
      <c r="I62" s="631"/>
      <c r="J62" s="630">
        <v>0</v>
      </c>
      <c r="K62" s="581">
        <v>4</v>
      </c>
      <c r="L62" s="581">
        <v>0</v>
      </c>
      <c r="M62" s="581">
        <v>1</v>
      </c>
      <c r="N62" s="632">
        <f t="shared" si="0"/>
        <v>5</v>
      </c>
      <c r="O62" s="633">
        <f t="shared" si="1"/>
        <v>1.25</v>
      </c>
      <c r="P62" s="634">
        <f t="shared" si="2"/>
        <v>2.1740075655463278E-2</v>
      </c>
    </row>
    <row r="63" spans="1:16" s="635" customFormat="1">
      <c r="A63" s="684" t="s">
        <v>504</v>
      </c>
      <c r="B63" s="629"/>
      <c r="C63" s="581"/>
      <c r="D63" s="630"/>
      <c r="E63" s="630"/>
      <c r="F63" s="630"/>
      <c r="G63" s="631"/>
      <c r="H63" s="631"/>
      <c r="I63" s="631"/>
      <c r="J63" s="630">
        <v>0</v>
      </c>
      <c r="K63" s="581">
        <v>1</v>
      </c>
      <c r="L63" s="581">
        <v>0</v>
      </c>
      <c r="M63" s="581">
        <v>0</v>
      </c>
      <c r="N63" s="632">
        <f t="shared" si="0"/>
        <v>1</v>
      </c>
      <c r="O63" s="633">
        <f t="shared" si="1"/>
        <v>0.25</v>
      </c>
      <c r="P63" s="634">
        <f t="shared" si="2"/>
        <v>4.348015131092656E-3</v>
      </c>
    </row>
    <row r="64" spans="1:16" s="635" customFormat="1">
      <c r="A64" s="684" t="s">
        <v>72</v>
      </c>
      <c r="B64" s="629"/>
      <c r="C64" s="581"/>
      <c r="D64" s="630"/>
      <c r="E64" s="630"/>
      <c r="F64" s="630"/>
      <c r="G64" s="631"/>
      <c r="H64" s="631"/>
      <c r="I64" s="631"/>
      <c r="J64" s="630">
        <v>0</v>
      </c>
      <c r="K64" s="581">
        <v>0</v>
      </c>
      <c r="L64" s="581">
        <v>23</v>
      </c>
      <c r="M64" s="581">
        <v>21</v>
      </c>
      <c r="N64" s="632">
        <f t="shared" si="0"/>
        <v>44</v>
      </c>
      <c r="O64" s="633">
        <f t="shared" si="1"/>
        <v>11</v>
      </c>
      <c r="P64" s="634">
        <f t="shared" si="2"/>
        <v>0.19131266576807687</v>
      </c>
    </row>
    <row r="65" spans="1:16" s="635" customFormat="1">
      <c r="A65" s="684" t="s">
        <v>73</v>
      </c>
      <c r="B65" s="629"/>
      <c r="C65" s="581"/>
      <c r="D65" s="630"/>
      <c r="E65" s="630"/>
      <c r="F65" s="630"/>
      <c r="G65" s="631"/>
      <c r="H65" s="631"/>
      <c r="I65" s="631"/>
      <c r="J65" s="630">
        <v>10</v>
      </c>
      <c r="K65" s="581">
        <v>19</v>
      </c>
      <c r="L65" s="581">
        <v>13</v>
      </c>
      <c r="M65" s="581">
        <v>13</v>
      </c>
      <c r="N65" s="632">
        <f t="shared" si="0"/>
        <v>55</v>
      </c>
      <c r="O65" s="633">
        <f t="shared" si="1"/>
        <v>13.75</v>
      </c>
      <c r="P65" s="634">
        <f t="shared" si="2"/>
        <v>0.23914083221009608</v>
      </c>
    </row>
    <row r="66" spans="1:16" s="635" customFormat="1">
      <c r="A66" s="684" t="s">
        <v>74</v>
      </c>
      <c r="B66" s="629"/>
      <c r="C66" s="581"/>
      <c r="D66" s="630"/>
      <c r="E66" s="630"/>
      <c r="F66" s="630"/>
      <c r="G66" s="631"/>
      <c r="H66" s="631"/>
      <c r="I66" s="631"/>
      <c r="J66" s="630">
        <v>35</v>
      </c>
      <c r="K66" s="581">
        <v>19</v>
      </c>
      <c r="L66" s="581">
        <v>17</v>
      </c>
      <c r="M66" s="581">
        <v>23</v>
      </c>
      <c r="N66" s="632">
        <f t="shared" si="0"/>
        <v>94</v>
      </c>
      <c r="O66" s="633">
        <f t="shared" si="1"/>
        <v>23.5</v>
      </c>
      <c r="P66" s="634">
        <f t="shared" si="2"/>
        <v>0.40871342232270969</v>
      </c>
    </row>
    <row r="67" spans="1:16" s="635" customFormat="1">
      <c r="A67" s="684" t="s">
        <v>75</v>
      </c>
      <c r="B67" s="629"/>
      <c r="C67" s="581"/>
      <c r="D67" s="630"/>
      <c r="E67" s="630"/>
      <c r="F67" s="630"/>
      <c r="G67" s="631"/>
      <c r="H67" s="631"/>
      <c r="I67" s="631"/>
      <c r="J67" s="630">
        <v>0</v>
      </c>
      <c r="K67" s="581">
        <v>0</v>
      </c>
      <c r="L67" s="581">
        <v>2</v>
      </c>
      <c r="M67" s="581">
        <v>1</v>
      </c>
      <c r="N67" s="632">
        <f t="shared" si="0"/>
        <v>3</v>
      </c>
      <c r="O67" s="633">
        <f t="shared" si="1"/>
        <v>0.75</v>
      </c>
      <c r="P67" s="634">
        <f t="shared" si="2"/>
        <v>1.3044045393277968E-2</v>
      </c>
    </row>
    <row r="68" spans="1:16" s="635" customFormat="1">
      <c r="A68" s="684" t="s">
        <v>76</v>
      </c>
      <c r="B68" s="629"/>
      <c r="C68" s="581"/>
      <c r="D68" s="630"/>
      <c r="E68" s="630"/>
      <c r="F68" s="630"/>
      <c r="G68" s="631"/>
      <c r="H68" s="631"/>
      <c r="I68" s="631"/>
      <c r="J68" s="630">
        <v>4</v>
      </c>
      <c r="K68" s="581">
        <v>2</v>
      </c>
      <c r="L68" s="581">
        <v>2</v>
      </c>
      <c r="M68" s="581">
        <v>6</v>
      </c>
      <c r="N68" s="632">
        <f t="shared" si="0"/>
        <v>14</v>
      </c>
      <c r="O68" s="633">
        <f t="shared" si="1"/>
        <v>3.5</v>
      </c>
      <c r="P68" s="634">
        <f t="shared" si="2"/>
        <v>6.0872211835297188E-2</v>
      </c>
    </row>
    <row r="69" spans="1:16" s="635" customFormat="1">
      <c r="A69" s="684" t="s">
        <v>77</v>
      </c>
      <c r="B69" s="629"/>
      <c r="C69" s="581"/>
      <c r="D69" s="630"/>
      <c r="E69" s="630"/>
      <c r="F69" s="630"/>
      <c r="G69" s="631"/>
      <c r="H69" s="631"/>
      <c r="I69" s="631"/>
      <c r="J69" s="630">
        <v>0</v>
      </c>
      <c r="K69" s="581">
        <v>0</v>
      </c>
      <c r="L69" s="581">
        <v>0</v>
      </c>
      <c r="M69" s="581">
        <v>0</v>
      </c>
      <c r="N69" s="632">
        <f t="shared" si="0"/>
        <v>0</v>
      </c>
      <c r="O69" s="633">
        <f t="shared" si="1"/>
        <v>0</v>
      </c>
      <c r="P69" s="634">
        <f t="shared" si="2"/>
        <v>0</v>
      </c>
    </row>
    <row r="70" spans="1:16" s="635" customFormat="1">
      <c r="A70" s="684" t="s">
        <v>78</v>
      </c>
      <c r="B70" s="629"/>
      <c r="C70" s="581"/>
      <c r="D70" s="630"/>
      <c r="E70" s="630"/>
      <c r="F70" s="630"/>
      <c r="G70" s="631"/>
      <c r="H70" s="631"/>
      <c r="I70" s="631"/>
      <c r="J70" s="630">
        <v>2</v>
      </c>
      <c r="K70" s="581">
        <v>8</v>
      </c>
      <c r="L70" s="581">
        <v>5</v>
      </c>
      <c r="M70" s="581">
        <v>4</v>
      </c>
      <c r="N70" s="632">
        <f t="shared" ref="N70:N136" si="3">SUM(B70:M70)</f>
        <v>19</v>
      </c>
      <c r="O70" s="633">
        <f t="shared" ref="O70:O136" si="4">AVERAGE(B70:M70)</f>
        <v>4.75</v>
      </c>
      <c r="P70" s="634">
        <f t="shared" ref="P70:P136" si="5">(N70/$N$238)*100</f>
        <v>8.2612287490760467E-2</v>
      </c>
    </row>
    <row r="71" spans="1:16" s="635" customFormat="1">
      <c r="A71" s="684" t="s">
        <v>79</v>
      </c>
      <c r="B71" s="629"/>
      <c r="C71" s="581"/>
      <c r="D71" s="630"/>
      <c r="E71" s="630"/>
      <c r="F71" s="630"/>
      <c r="G71" s="631"/>
      <c r="H71" s="631"/>
      <c r="I71" s="631"/>
      <c r="J71" s="630">
        <v>0</v>
      </c>
      <c r="K71" s="581">
        <v>0</v>
      </c>
      <c r="L71" s="581">
        <v>0</v>
      </c>
      <c r="M71" s="581">
        <v>0</v>
      </c>
      <c r="N71" s="632">
        <f t="shared" si="3"/>
        <v>0</v>
      </c>
      <c r="O71" s="633">
        <f t="shared" si="4"/>
        <v>0</v>
      </c>
      <c r="P71" s="634">
        <f t="shared" si="5"/>
        <v>0</v>
      </c>
    </row>
    <row r="72" spans="1:16" s="635" customFormat="1">
      <c r="A72" s="684" t="s">
        <v>80</v>
      </c>
      <c r="B72" s="629"/>
      <c r="C72" s="581"/>
      <c r="D72" s="630"/>
      <c r="E72" s="630"/>
      <c r="F72" s="630"/>
      <c r="G72" s="631"/>
      <c r="H72" s="631"/>
      <c r="I72" s="631"/>
      <c r="J72" s="630">
        <v>9</v>
      </c>
      <c r="K72" s="581">
        <v>7</v>
      </c>
      <c r="L72" s="581">
        <v>20</v>
      </c>
      <c r="M72" s="581">
        <v>26</v>
      </c>
      <c r="N72" s="632">
        <f t="shared" si="3"/>
        <v>62</v>
      </c>
      <c r="O72" s="633">
        <f t="shared" si="4"/>
        <v>15.5</v>
      </c>
      <c r="P72" s="634">
        <f t="shared" si="5"/>
        <v>0.26957693812774469</v>
      </c>
    </row>
    <row r="73" spans="1:16" s="635" customFormat="1">
      <c r="A73" s="684" t="s">
        <v>81</v>
      </c>
      <c r="B73" s="629"/>
      <c r="C73" s="581"/>
      <c r="D73" s="630"/>
      <c r="E73" s="630"/>
      <c r="F73" s="630"/>
      <c r="G73" s="631"/>
      <c r="H73" s="631"/>
      <c r="I73" s="631"/>
      <c r="J73" s="630">
        <v>4</v>
      </c>
      <c r="K73" s="581">
        <v>10</v>
      </c>
      <c r="L73" s="581">
        <v>4</v>
      </c>
      <c r="M73" s="581">
        <v>8</v>
      </c>
      <c r="N73" s="632">
        <f t="shared" si="3"/>
        <v>26</v>
      </c>
      <c r="O73" s="633">
        <f t="shared" si="4"/>
        <v>6.5</v>
      </c>
      <c r="P73" s="634">
        <f t="shared" si="5"/>
        <v>0.11304839340840905</v>
      </c>
    </row>
    <row r="74" spans="1:16" s="635" customFormat="1">
      <c r="A74" s="684" t="s">
        <v>453</v>
      </c>
      <c r="B74" s="629"/>
      <c r="C74" s="581"/>
      <c r="D74" s="630"/>
      <c r="E74" s="630"/>
      <c r="F74" s="630"/>
      <c r="G74" s="631"/>
      <c r="H74" s="631"/>
      <c r="I74" s="631"/>
      <c r="J74" s="630">
        <v>4</v>
      </c>
      <c r="K74" s="581">
        <v>4</v>
      </c>
      <c r="L74" s="581">
        <v>1</v>
      </c>
      <c r="M74" s="581">
        <v>0</v>
      </c>
      <c r="N74" s="632">
        <f t="shared" si="3"/>
        <v>9</v>
      </c>
      <c r="O74" s="633">
        <f t="shared" si="4"/>
        <v>2.25</v>
      </c>
      <c r="P74" s="634">
        <f t="shared" si="5"/>
        <v>3.9132136179833903E-2</v>
      </c>
    </row>
    <row r="75" spans="1:16" s="635" customFormat="1">
      <c r="A75" s="684" t="s">
        <v>82</v>
      </c>
      <c r="B75" s="629"/>
      <c r="C75" s="581"/>
      <c r="D75" s="630"/>
      <c r="E75" s="630"/>
      <c r="F75" s="630"/>
      <c r="G75" s="631"/>
      <c r="H75" s="631"/>
      <c r="I75" s="631"/>
      <c r="J75" s="630">
        <v>78</v>
      </c>
      <c r="K75" s="581">
        <v>32</v>
      </c>
      <c r="L75" s="581">
        <v>29</v>
      </c>
      <c r="M75" s="581">
        <v>59</v>
      </c>
      <c r="N75" s="632">
        <f t="shared" si="3"/>
        <v>198</v>
      </c>
      <c r="O75" s="633">
        <f t="shared" si="4"/>
        <v>49.5</v>
      </c>
      <c r="P75" s="634">
        <f t="shared" si="5"/>
        <v>0.8609069959563459</v>
      </c>
    </row>
    <row r="76" spans="1:16" s="635" customFormat="1">
      <c r="A76" s="684" t="s">
        <v>83</v>
      </c>
      <c r="B76" s="629"/>
      <c r="C76" s="581"/>
      <c r="D76" s="630"/>
      <c r="E76" s="630"/>
      <c r="F76" s="630"/>
      <c r="G76" s="631"/>
      <c r="H76" s="631"/>
      <c r="I76" s="631"/>
      <c r="J76" s="630">
        <v>0</v>
      </c>
      <c r="K76" s="581">
        <v>0</v>
      </c>
      <c r="L76" s="581">
        <v>0</v>
      </c>
      <c r="M76" s="581">
        <v>0</v>
      </c>
      <c r="N76" s="632">
        <f t="shared" si="3"/>
        <v>0</v>
      </c>
      <c r="O76" s="633">
        <f t="shared" si="4"/>
        <v>0</v>
      </c>
      <c r="P76" s="634">
        <f t="shared" si="5"/>
        <v>0</v>
      </c>
    </row>
    <row r="77" spans="1:16" s="635" customFormat="1">
      <c r="A77" s="684" t="s">
        <v>84</v>
      </c>
      <c r="B77" s="629"/>
      <c r="C77" s="581"/>
      <c r="D77" s="630"/>
      <c r="E77" s="630"/>
      <c r="F77" s="630"/>
      <c r="G77" s="631"/>
      <c r="H77" s="631"/>
      <c r="I77" s="631"/>
      <c r="J77" s="630">
        <v>0</v>
      </c>
      <c r="K77" s="581">
        <v>0</v>
      </c>
      <c r="L77" s="581">
        <v>0</v>
      </c>
      <c r="M77" s="581">
        <v>0</v>
      </c>
      <c r="N77" s="632">
        <f t="shared" si="3"/>
        <v>0</v>
      </c>
      <c r="O77" s="633">
        <f t="shared" si="4"/>
        <v>0</v>
      </c>
      <c r="P77" s="634">
        <f t="shared" si="5"/>
        <v>0</v>
      </c>
    </row>
    <row r="78" spans="1:16" s="635" customFormat="1">
      <c r="A78" s="684" t="s">
        <v>85</v>
      </c>
      <c r="B78" s="629"/>
      <c r="C78" s="581"/>
      <c r="D78" s="630"/>
      <c r="E78" s="630"/>
      <c r="F78" s="630"/>
      <c r="G78" s="631"/>
      <c r="H78" s="631"/>
      <c r="I78" s="631"/>
      <c r="J78" s="630">
        <v>6</v>
      </c>
      <c r="K78" s="581">
        <v>9</v>
      </c>
      <c r="L78" s="581">
        <v>6</v>
      </c>
      <c r="M78" s="581">
        <v>2</v>
      </c>
      <c r="N78" s="632">
        <f t="shared" si="3"/>
        <v>23</v>
      </c>
      <c r="O78" s="633">
        <f t="shared" si="4"/>
        <v>5.75</v>
      </c>
      <c r="P78" s="634">
        <f t="shared" si="5"/>
        <v>0.1000043480151311</v>
      </c>
    </row>
    <row r="79" spans="1:16" s="635" customFormat="1">
      <c r="A79" s="684" t="s">
        <v>86</v>
      </c>
      <c r="B79" s="629"/>
      <c r="C79" s="581"/>
      <c r="D79" s="630"/>
      <c r="E79" s="630"/>
      <c r="F79" s="630"/>
      <c r="G79" s="631"/>
      <c r="H79" s="631"/>
      <c r="I79" s="631"/>
      <c r="J79" s="630">
        <v>18</v>
      </c>
      <c r="K79" s="581">
        <v>15</v>
      </c>
      <c r="L79" s="581">
        <v>5</v>
      </c>
      <c r="M79" s="581">
        <v>12</v>
      </c>
      <c r="N79" s="632">
        <f t="shared" si="3"/>
        <v>50</v>
      </c>
      <c r="O79" s="633">
        <f t="shared" si="4"/>
        <v>12.5</v>
      </c>
      <c r="P79" s="634">
        <f t="shared" si="5"/>
        <v>0.21740075655463281</v>
      </c>
    </row>
    <row r="80" spans="1:16" s="635" customFormat="1">
      <c r="A80" s="684" t="s">
        <v>87</v>
      </c>
      <c r="B80" s="629"/>
      <c r="C80" s="581"/>
      <c r="D80" s="630"/>
      <c r="E80" s="630"/>
      <c r="F80" s="630"/>
      <c r="G80" s="631"/>
      <c r="H80" s="631"/>
      <c r="I80" s="631"/>
      <c r="J80" s="630">
        <v>9</v>
      </c>
      <c r="K80" s="581">
        <v>25</v>
      </c>
      <c r="L80" s="581">
        <v>23</v>
      </c>
      <c r="M80" s="581">
        <v>27</v>
      </c>
      <c r="N80" s="632">
        <f t="shared" si="3"/>
        <v>84</v>
      </c>
      <c r="O80" s="633">
        <f t="shared" si="4"/>
        <v>21</v>
      </c>
      <c r="P80" s="634">
        <f t="shared" si="5"/>
        <v>0.3652332710117831</v>
      </c>
    </row>
    <row r="81" spans="1:16" s="635" customFormat="1">
      <c r="A81" s="684" t="s">
        <v>88</v>
      </c>
      <c r="B81" s="629"/>
      <c r="C81" s="581"/>
      <c r="D81" s="630"/>
      <c r="E81" s="630"/>
      <c r="F81" s="630"/>
      <c r="G81" s="631"/>
      <c r="H81" s="631"/>
      <c r="I81" s="631"/>
      <c r="J81" s="630">
        <v>76</v>
      </c>
      <c r="K81" s="581">
        <v>61</v>
      </c>
      <c r="L81" s="581">
        <v>50</v>
      </c>
      <c r="M81" s="581">
        <v>9</v>
      </c>
      <c r="N81" s="632">
        <f t="shared" si="3"/>
        <v>196</v>
      </c>
      <c r="O81" s="633">
        <f t="shared" si="4"/>
        <v>49</v>
      </c>
      <c r="P81" s="634">
        <f t="shared" si="5"/>
        <v>0.85221096569416066</v>
      </c>
    </row>
    <row r="82" spans="1:16" s="635" customFormat="1">
      <c r="A82" s="684" t="s">
        <v>465</v>
      </c>
      <c r="B82" s="629"/>
      <c r="C82" s="581"/>
      <c r="D82" s="630"/>
      <c r="E82" s="630"/>
      <c r="F82" s="630"/>
      <c r="G82" s="631"/>
      <c r="H82" s="631"/>
      <c r="I82" s="631"/>
      <c r="J82" s="630">
        <v>24</v>
      </c>
      <c r="K82" s="581">
        <v>5</v>
      </c>
      <c r="L82" s="581">
        <v>50</v>
      </c>
      <c r="M82" s="581">
        <v>3</v>
      </c>
      <c r="N82" s="632">
        <f t="shared" si="3"/>
        <v>82</v>
      </c>
      <c r="O82" s="633">
        <f t="shared" si="4"/>
        <v>20.5</v>
      </c>
      <c r="P82" s="634">
        <f t="shared" si="5"/>
        <v>0.35653724074959781</v>
      </c>
    </row>
    <row r="83" spans="1:16" s="635" customFormat="1">
      <c r="A83" s="684" t="s">
        <v>466</v>
      </c>
      <c r="B83" s="629"/>
      <c r="C83" s="581"/>
      <c r="D83" s="630"/>
      <c r="E83" s="630"/>
      <c r="F83" s="630"/>
      <c r="G83" s="631"/>
      <c r="H83" s="631"/>
      <c r="I83" s="631"/>
      <c r="J83" s="630">
        <v>0</v>
      </c>
      <c r="K83" s="581">
        <v>1</v>
      </c>
      <c r="L83" s="581">
        <v>0</v>
      </c>
      <c r="M83" s="581">
        <v>1</v>
      </c>
      <c r="N83" s="632">
        <f t="shared" si="3"/>
        <v>2</v>
      </c>
      <c r="O83" s="633">
        <f t="shared" si="4"/>
        <v>0.5</v>
      </c>
      <c r="P83" s="634">
        <f t="shared" si="5"/>
        <v>8.6960302621853121E-3</v>
      </c>
    </row>
    <row r="84" spans="1:16" s="635" customFormat="1">
      <c r="A84" s="684" t="s">
        <v>467</v>
      </c>
      <c r="B84" s="629"/>
      <c r="C84" s="581"/>
      <c r="D84" s="630"/>
      <c r="E84" s="630"/>
      <c r="F84" s="630"/>
      <c r="G84" s="631"/>
      <c r="H84" s="631"/>
      <c r="I84" s="631"/>
      <c r="J84" s="630">
        <v>1</v>
      </c>
      <c r="K84" s="581">
        <v>1</v>
      </c>
      <c r="L84" s="581">
        <v>0</v>
      </c>
      <c r="M84" s="581">
        <v>0</v>
      </c>
      <c r="N84" s="632">
        <f t="shared" si="3"/>
        <v>2</v>
      </c>
      <c r="O84" s="633">
        <f t="shared" si="4"/>
        <v>0.5</v>
      </c>
      <c r="P84" s="634">
        <f t="shared" si="5"/>
        <v>8.6960302621853121E-3</v>
      </c>
    </row>
    <row r="85" spans="1:16" s="635" customFormat="1">
      <c r="A85" s="686" t="s">
        <v>420</v>
      </c>
      <c r="B85" s="725"/>
      <c r="C85" s="726"/>
      <c r="D85" s="721"/>
      <c r="E85" s="721"/>
      <c r="F85" s="721"/>
      <c r="G85" s="720"/>
      <c r="H85" s="720"/>
      <c r="I85" s="720"/>
      <c r="J85" s="721">
        <v>2</v>
      </c>
      <c r="K85" s="581">
        <v>1</v>
      </c>
      <c r="L85" s="581">
        <v>0</v>
      </c>
      <c r="M85" s="581">
        <v>1</v>
      </c>
      <c r="N85" s="632">
        <f t="shared" si="3"/>
        <v>4</v>
      </c>
      <c r="O85" s="633">
        <f t="shared" si="4"/>
        <v>1</v>
      </c>
      <c r="P85" s="634">
        <f t="shared" si="5"/>
        <v>1.7392060524370624E-2</v>
      </c>
    </row>
    <row r="86" spans="1:16" s="635" customFormat="1">
      <c r="A86" s="1015" t="s">
        <v>510</v>
      </c>
      <c r="B86" s="1016"/>
      <c r="C86" s="1017"/>
      <c r="D86" s="1018"/>
      <c r="E86" s="1018"/>
      <c r="F86" s="1018"/>
      <c r="G86" s="1019"/>
      <c r="H86" s="1019"/>
      <c r="I86" s="1019"/>
      <c r="J86" s="1018">
        <v>1</v>
      </c>
      <c r="K86" s="1020">
        <v>0</v>
      </c>
      <c r="L86" s="581">
        <v>0</v>
      </c>
      <c r="M86" s="581">
        <v>0</v>
      </c>
      <c r="N86" s="632">
        <f t="shared" si="3"/>
        <v>1</v>
      </c>
      <c r="O86" s="633">
        <f t="shared" si="4"/>
        <v>0.25</v>
      </c>
      <c r="P86" s="634">
        <f t="shared" si="5"/>
        <v>4.348015131092656E-3</v>
      </c>
    </row>
    <row r="87" spans="1:16" s="635" customFormat="1">
      <c r="A87" s="1015" t="s">
        <v>511</v>
      </c>
      <c r="B87" s="1016"/>
      <c r="C87" s="1017"/>
      <c r="D87" s="1018"/>
      <c r="E87" s="1018"/>
      <c r="F87" s="1018"/>
      <c r="G87" s="1019"/>
      <c r="H87" s="1019"/>
      <c r="I87" s="1019"/>
      <c r="J87" s="1018">
        <v>1</v>
      </c>
      <c r="K87" s="1020">
        <v>0</v>
      </c>
      <c r="L87" s="581">
        <v>0</v>
      </c>
      <c r="M87" s="581">
        <v>0</v>
      </c>
      <c r="N87" s="632">
        <f t="shared" si="3"/>
        <v>1</v>
      </c>
      <c r="O87" s="633">
        <f t="shared" si="4"/>
        <v>0.25</v>
      </c>
      <c r="P87" s="634">
        <f t="shared" si="5"/>
        <v>4.348015131092656E-3</v>
      </c>
    </row>
    <row r="88" spans="1:16" s="635" customFormat="1">
      <c r="A88" s="1003" t="s">
        <v>475</v>
      </c>
      <c r="B88" s="1004"/>
      <c r="C88" s="705"/>
      <c r="D88" s="1005"/>
      <c r="E88" s="1005"/>
      <c r="F88" s="1005"/>
      <c r="G88" s="706"/>
      <c r="H88" s="706"/>
      <c r="I88" s="706"/>
      <c r="J88" s="1005">
        <v>0</v>
      </c>
      <c r="K88" s="581">
        <v>1</v>
      </c>
      <c r="L88" s="581">
        <v>0</v>
      </c>
      <c r="M88" s="581">
        <v>1</v>
      </c>
      <c r="N88" s="632">
        <f t="shared" si="3"/>
        <v>2</v>
      </c>
      <c r="O88" s="633">
        <f t="shared" si="4"/>
        <v>0.5</v>
      </c>
      <c r="P88" s="634">
        <f t="shared" si="5"/>
        <v>8.6960302621853121E-3</v>
      </c>
    </row>
    <row r="89" spans="1:16" s="635" customFormat="1">
      <c r="A89" s="684" t="s">
        <v>476</v>
      </c>
      <c r="B89" s="629"/>
      <c r="C89" s="581"/>
      <c r="D89" s="630"/>
      <c r="E89" s="630"/>
      <c r="F89" s="630"/>
      <c r="G89" s="631"/>
      <c r="H89" s="631"/>
      <c r="I89" s="631"/>
      <c r="J89" s="630">
        <v>0</v>
      </c>
      <c r="K89" s="581">
        <v>0</v>
      </c>
      <c r="L89" s="581">
        <v>0</v>
      </c>
      <c r="M89" s="581">
        <v>2</v>
      </c>
      <c r="N89" s="632">
        <f t="shared" si="3"/>
        <v>2</v>
      </c>
      <c r="O89" s="633">
        <f t="shared" si="4"/>
        <v>0.5</v>
      </c>
      <c r="P89" s="634">
        <f t="shared" si="5"/>
        <v>8.6960302621853121E-3</v>
      </c>
    </row>
    <row r="90" spans="1:16" s="635" customFormat="1">
      <c r="A90" s="684" t="s">
        <v>427</v>
      </c>
      <c r="B90" s="629"/>
      <c r="C90" s="581"/>
      <c r="D90" s="630"/>
      <c r="E90" s="630"/>
      <c r="F90" s="630"/>
      <c r="G90" s="631"/>
      <c r="H90" s="631"/>
      <c r="I90" s="631"/>
      <c r="J90" s="630">
        <v>0</v>
      </c>
      <c r="K90" s="581">
        <v>1</v>
      </c>
      <c r="L90" s="581">
        <v>0</v>
      </c>
      <c r="M90" s="581">
        <v>0</v>
      </c>
      <c r="N90" s="632">
        <f t="shared" si="3"/>
        <v>1</v>
      </c>
      <c r="O90" s="633">
        <f t="shared" si="4"/>
        <v>0.25</v>
      </c>
      <c r="P90" s="634">
        <f t="shared" si="5"/>
        <v>4.348015131092656E-3</v>
      </c>
    </row>
    <row r="91" spans="1:16" s="635" customFormat="1">
      <c r="A91" s="683" t="s">
        <v>89</v>
      </c>
      <c r="B91" s="629"/>
      <c r="C91" s="581"/>
      <c r="D91" s="630"/>
      <c r="E91" s="630"/>
      <c r="F91" s="630"/>
      <c r="G91" s="631"/>
      <c r="H91" s="631"/>
      <c r="I91" s="631"/>
      <c r="J91" s="630">
        <v>24</v>
      </c>
      <c r="K91" s="581">
        <v>18</v>
      </c>
      <c r="L91" s="581">
        <v>21</v>
      </c>
      <c r="M91" s="581">
        <v>20</v>
      </c>
      <c r="N91" s="632">
        <f t="shared" si="3"/>
        <v>83</v>
      </c>
      <c r="O91" s="633">
        <f t="shared" si="4"/>
        <v>20.75</v>
      </c>
      <c r="P91" s="634">
        <f t="shared" si="5"/>
        <v>0.36088525588069043</v>
      </c>
    </row>
    <row r="92" spans="1:16" s="635" customFormat="1">
      <c r="A92" s="684" t="s">
        <v>90</v>
      </c>
      <c r="B92" s="629"/>
      <c r="C92" s="581"/>
      <c r="D92" s="630"/>
      <c r="E92" s="630"/>
      <c r="F92" s="630"/>
      <c r="G92" s="631"/>
      <c r="H92" s="631"/>
      <c r="I92" s="631"/>
      <c r="J92" s="630">
        <v>34</v>
      </c>
      <c r="K92" s="581">
        <v>13</v>
      </c>
      <c r="L92" s="581">
        <v>8</v>
      </c>
      <c r="M92" s="581">
        <v>27</v>
      </c>
      <c r="N92" s="632">
        <f t="shared" si="3"/>
        <v>82</v>
      </c>
      <c r="O92" s="633">
        <f t="shared" si="4"/>
        <v>20.5</v>
      </c>
      <c r="P92" s="634">
        <f t="shared" si="5"/>
        <v>0.35653724074959781</v>
      </c>
    </row>
    <row r="93" spans="1:16" s="635" customFormat="1">
      <c r="A93" s="684" t="s">
        <v>91</v>
      </c>
      <c r="B93" s="629"/>
      <c r="C93" s="581"/>
      <c r="D93" s="630"/>
      <c r="E93" s="630"/>
      <c r="F93" s="630"/>
      <c r="G93" s="631"/>
      <c r="H93" s="631"/>
      <c r="I93" s="631"/>
      <c r="J93" s="630">
        <v>0</v>
      </c>
      <c r="K93" s="581">
        <v>4</v>
      </c>
      <c r="L93" s="581">
        <v>3</v>
      </c>
      <c r="M93" s="581">
        <v>14</v>
      </c>
      <c r="N93" s="632">
        <f t="shared" si="3"/>
        <v>21</v>
      </c>
      <c r="O93" s="633">
        <f t="shared" si="4"/>
        <v>5.25</v>
      </c>
      <c r="P93" s="634">
        <f t="shared" si="5"/>
        <v>9.1308317752945775E-2</v>
      </c>
    </row>
    <row r="94" spans="1:16" s="635" customFormat="1">
      <c r="A94" s="683" t="s">
        <v>93</v>
      </c>
      <c r="B94" s="629"/>
      <c r="C94" s="581"/>
      <c r="D94" s="630"/>
      <c r="E94" s="630"/>
      <c r="F94" s="630"/>
      <c r="G94" s="631"/>
      <c r="H94" s="631"/>
      <c r="I94" s="631"/>
      <c r="J94" s="630">
        <v>2</v>
      </c>
      <c r="K94" s="581">
        <v>2</v>
      </c>
      <c r="L94" s="581">
        <v>3</v>
      </c>
      <c r="M94" s="581">
        <v>6</v>
      </c>
      <c r="N94" s="632">
        <f t="shared" si="3"/>
        <v>13</v>
      </c>
      <c r="O94" s="633">
        <f t="shared" si="4"/>
        <v>3.25</v>
      </c>
      <c r="P94" s="634">
        <f t="shared" si="5"/>
        <v>5.6524196704204527E-2</v>
      </c>
    </row>
    <row r="95" spans="1:16" s="635" customFormat="1">
      <c r="A95" s="683" t="s">
        <v>92</v>
      </c>
      <c r="B95" s="629"/>
      <c r="C95" s="581"/>
      <c r="D95" s="630"/>
      <c r="E95" s="630"/>
      <c r="F95" s="630"/>
      <c r="G95" s="631"/>
      <c r="H95" s="631"/>
      <c r="I95" s="631"/>
      <c r="J95" s="630">
        <v>7</v>
      </c>
      <c r="K95" s="581">
        <v>3</v>
      </c>
      <c r="L95" s="581">
        <v>1</v>
      </c>
      <c r="M95" s="581">
        <v>5</v>
      </c>
      <c r="N95" s="632">
        <f t="shared" si="3"/>
        <v>16</v>
      </c>
      <c r="O95" s="633">
        <f t="shared" si="4"/>
        <v>4</v>
      </c>
      <c r="P95" s="634">
        <f t="shared" si="5"/>
        <v>6.9568242097482497E-2</v>
      </c>
    </row>
    <row r="96" spans="1:16" s="635" customFormat="1">
      <c r="A96" s="684" t="s">
        <v>94</v>
      </c>
      <c r="B96" s="629"/>
      <c r="C96" s="581"/>
      <c r="D96" s="630"/>
      <c r="E96" s="630"/>
      <c r="F96" s="630"/>
      <c r="G96" s="631"/>
      <c r="H96" s="631"/>
      <c r="I96" s="631"/>
      <c r="J96" s="630">
        <v>100</v>
      </c>
      <c r="K96" s="581">
        <v>114</v>
      </c>
      <c r="L96" s="581">
        <v>126</v>
      </c>
      <c r="M96" s="581">
        <v>105</v>
      </c>
      <c r="N96" s="632">
        <f t="shared" si="3"/>
        <v>445</v>
      </c>
      <c r="O96" s="633">
        <f t="shared" si="4"/>
        <v>111.25</v>
      </c>
      <c r="P96" s="634">
        <f t="shared" si="5"/>
        <v>1.9348667333362319</v>
      </c>
    </row>
    <row r="97" spans="1:16" s="635" customFormat="1">
      <c r="A97" s="684" t="s">
        <v>433</v>
      </c>
      <c r="B97" s="629"/>
      <c r="C97" s="581"/>
      <c r="D97" s="630"/>
      <c r="E97" s="630"/>
      <c r="F97" s="630"/>
      <c r="G97" s="631"/>
      <c r="H97" s="631"/>
      <c r="I97" s="631"/>
      <c r="J97" s="630">
        <v>7</v>
      </c>
      <c r="K97" s="581">
        <v>4</v>
      </c>
      <c r="L97" s="581">
        <v>2</v>
      </c>
      <c r="M97" s="581">
        <v>8</v>
      </c>
      <c r="N97" s="632">
        <f t="shared" si="3"/>
        <v>21</v>
      </c>
      <c r="O97" s="633">
        <f t="shared" si="4"/>
        <v>5.25</v>
      </c>
      <c r="P97" s="634">
        <f t="shared" si="5"/>
        <v>9.1308317752945775E-2</v>
      </c>
    </row>
    <row r="98" spans="1:16" s="635" customFormat="1">
      <c r="A98" s="684" t="s">
        <v>468</v>
      </c>
      <c r="B98" s="629"/>
      <c r="C98" s="581"/>
      <c r="D98" s="630"/>
      <c r="E98" s="630"/>
      <c r="F98" s="630"/>
      <c r="G98" s="631"/>
      <c r="H98" s="631"/>
      <c r="I98" s="631"/>
      <c r="J98" s="630">
        <v>0</v>
      </c>
      <c r="K98" s="581">
        <v>0</v>
      </c>
      <c r="L98" s="581">
        <v>0</v>
      </c>
      <c r="M98" s="581">
        <v>0</v>
      </c>
      <c r="N98" s="632">
        <f t="shared" si="3"/>
        <v>0</v>
      </c>
      <c r="O98" s="633">
        <f t="shared" si="4"/>
        <v>0</v>
      </c>
      <c r="P98" s="634">
        <f t="shared" si="5"/>
        <v>0</v>
      </c>
    </row>
    <row r="99" spans="1:16" s="635" customFormat="1">
      <c r="A99" s="684" t="s">
        <v>95</v>
      </c>
      <c r="B99" s="629"/>
      <c r="C99" s="581"/>
      <c r="D99" s="630"/>
      <c r="E99" s="630"/>
      <c r="F99" s="630"/>
      <c r="G99" s="631"/>
      <c r="H99" s="631"/>
      <c r="I99" s="631"/>
      <c r="J99" s="630">
        <v>0</v>
      </c>
      <c r="K99" s="581">
        <v>0</v>
      </c>
      <c r="L99" s="581">
        <v>0</v>
      </c>
      <c r="M99" s="581">
        <v>0</v>
      </c>
      <c r="N99" s="632">
        <f t="shared" si="3"/>
        <v>0</v>
      </c>
      <c r="O99" s="633">
        <f t="shared" si="4"/>
        <v>0</v>
      </c>
      <c r="P99" s="634">
        <f t="shared" si="5"/>
        <v>0</v>
      </c>
    </row>
    <row r="100" spans="1:16" s="635" customFormat="1">
      <c r="A100" s="684" t="s">
        <v>11</v>
      </c>
      <c r="B100" s="629"/>
      <c r="C100" s="710"/>
      <c r="D100" s="630"/>
      <c r="E100" s="630"/>
      <c r="F100" s="630"/>
      <c r="G100" s="631"/>
      <c r="H100" s="631"/>
      <c r="I100" s="631"/>
      <c r="J100" s="630">
        <v>90</v>
      </c>
      <c r="K100" s="581">
        <v>93</v>
      </c>
      <c r="L100" s="581">
        <v>82</v>
      </c>
      <c r="M100" s="581">
        <v>70</v>
      </c>
      <c r="N100" s="632">
        <f t="shared" si="3"/>
        <v>335</v>
      </c>
      <c r="O100" s="633">
        <f t="shared" si="4"/>
        <v>83.75</v>
      </c>
      <c r="P100" s="634">
        <f t="shared" si="5"/>
        <v>1.4565850689160398</v>
      </c>
    </row>
    <row r="101" spans="1:16" s="635" customFormat="1">
      <c r="A101" s="684" t="s">
        <v>96</v>
      </c>
      <c r="B101" s="629"/>
      <c r="C101" s="710"/>
      <c r="D101" s="630"/>
      <c r="E101" s="630"/>
      <c r="F101" s="630"/>
      <c r="G101" s="631"/>
      <c r="H101" s="631"/>
      <c r="I101" s="631"/>
      <c r="J101" s="630">
        <v>1</v>
      </c>
      <c r="K101" s="581">
        <v>0</v>
      </c>
      <c r="L101" s="581">
        <v>0</v>
      </c>
      <c r="M101" s="581">
        <v>1</v>
      </c>
      <c r="N101" s="632">
        <f t="shared" si="3"/>
        <v>2</v>
      </c>
      <c r="O101" s="633">
        <f t="shared" si="4"/>
        <v>0.5</v>
      </c>
      <c r="P101" s="634">
        <f t="shared" si="5"/>
        <v>8.6960302621853121E-3</v>
      </c>
    </row>
    <row r="102" spans="1:16" s="635" customFormat="1">
      <c r="A102" s="684" t="s">
        <v>97</v>
      </c>
      <c r="B102" s="629"/>
      <c r="C102" s="581"/>
      <c r="D102" s="630"/>
      <c r="E102" s="630"/>
      <c r="F102" s="630"/>
      <c r="G102" s="631"/>
      <c r="H102" s="631"/>
      <c r="I102" s="631"/>
      <c r="J102" s="630">
        <v>1</v>
      </c>
      <c r="K102" s="581">
        <v>1</v>
      </c>
      <c r="L102" s="581">
        <v>3</v>
      </c>
      <c r="M102" s="581">
        <v>1</v>
      </c>
      <c r="N102" s="632">
        <f t="shared" si="3"/>
        <v>6</v>
      </c>
      <c r="O102" s="633">
        <f t="shared" si="4"/>
        <v>1.5</v>
      </c>
      <c r="P102" s="634">
        <f t="shared" si="5"/>
        <v>2.6088090786555936E-2</v>
      </c>
    </row>
    <row r="103" spans="1:16" s="635" customFormat="1">
      <c r="A103" s="684" t="s">
        <v>98</v>
      </c>
      <c r="B103" s="629"/>
      <c r="C103" s="581"/>
      <c r="D103" s="630"/>
      <c r="E103" s="630"/>
      <c r="F103" s="630"/>
      <c r="G103" s="631"/>
      <c r="H103" s="631"/>
      <c r="I103" s="631"/>
      <c r="J103" s="630">
        <v>155</v>
      </c>
      <c r="K103" s="581">
        <v>130</v>
      </c>
      <c r="L103" s="581">
        <v>162</v>
      </c>
      <c r="M103" s="581">
        <v>166</v>
      </c>
      <c r="N103" s="632">
        <f t="shared" si="3"/>
        <v>613</v>
      </c>
      <c r="O103" s="633">
        <f t="shared" si="4"/>
        <v>153.25</v>
      </c>
      <c r="P103" s="634">
        <f t="shared" si="5"/>
        <v>2.665333275359798</v>
      </c>
    </row>
    <row r="104" spans="1:16" s="635" customFormat="1">
      <c r="A104" s="684" t="s">
        <v>99</v>
      </c>
      <c r="B104" s="629"/>
      <c r="C104" s="581"/>
      <c r="D104" s="630"/>
      <c r="E104" s="630"/>
      <c r="F104" s="630"/>
      <c r="G104" s="631"/>
      <c r="H104" s="631"/>
      <c r="I104" s="631"/>
      <c r="J104" s="630">
        <v>69</v>
      </c>
      <c r="K104" s="581">
        <v>45</v>
      </c>
      <c r="L104" s="581">
        <v>52</v>
      </c>
      <c r="M104" s="581">
        <v>57</v>
      </c>
      <c r="N104" s="632">
        <f t="shared" si="3"/>
        <v>223</v>
      </c>
      <c r="O104" s="633">
        <f t="shared" si="4"/>
        <v>55.75</v>
      </c>
      <c r="P104" s="634">
        <f t="shared" si="5"/>
        <v>0.96960737423366239</v>
      </c>
    </row>
    <row r="105" spans="1:16" s="635" customFormat="1">
      <c r="A105" s="684" t="s">
        <v>100</v>
      </c>
      <c r="B105" s="629"/>
      <c r="C105" s="581"/>
      <c r="D105" s="630"/>
      <c r="E105" s="630"/>
      <c r="F105" s="630"/>
      <c r="G105" s="631"/>
      <c r="H105" s="631"/>
      <c r="I105" s="631"/>
      <c r="J105" s="630">
        <v>0</v>
      </c>
      <c r="K105" s="581">
        <v>0</v>
      </c>
      <c r="L105" s="581">
        <v>0</v>
      </c>
      <c r="M105" s="581">
        <v>0</v>
      </c>
      <c r="N105" s="632">
        <f t="shared" si="3"/>
        <v>0</v>
      </c>
      <c r="O105" s="633">
        <f t="shared" si="4"/>
        <v>0</v>
      </c>
      <c r="P105" s="634">
        <f t="shared" si="5"/>
        <v>0</v>
      </c>
    </row>
    <row r="106" spans="1:16" s="635" customFormat="1">
      <c r="A106" s="684" t="s">
        <v>101</v>
      </c>
      <c r="B106" s="629"/>
      <c r="C106" s="581"/>
      <c r="D106" s="630"/>
      <c r="E106" s="630"/>
      <c r="F106" s="630"/>
      <c r="G106" s="631"/>
      <c r="H106" s="631"/>
      <c r="I106" s="631"/>
      <c r="J106" s="630">
        <v>2</v>
      </c>
      <c r="K106" s="581">
        <v>10</v>
      </c>
      <c r="L106" s="581">
        <v>12</v>
      </c>
      <c r="M106" s="581">
        <v>9</v>
      </c>
      <c r="N106" s="632">
        <f t="shared" si="3"/>
        <v>33</v>
      </c>
      <c r="O106" s="633">
        <f t="shared" si="4"/>
        <v>8.25</v>
      </c>
      <c r="P106" s="634">
        <f t="shared" si="5"/>
        <v>0.14348449932605764</v>
      </c>
    </row>
    <row r="107" spans="1:16" s="635" customFormat="1">
      <c r="A107" s="684" t="s">
        <v>437</v>
      </c>
      <c r="B107" s="629"/>
      <c r="C107" s="581"/>
      <c r="D107" s="630"/>
      <c r="E107" s="630"/>
      <c r="F107" s="630"/>
      <c r="G107" s="631"/>
      <c r="H107" s="631"/>
      <c r="I107" s="631"/>
      <c r="J107" s="630">
        <v>37</v>
      </c>
      <c r="K107" s="581">
        <v>8</v>
      </c>
      <c r="L107" s="581">
        <v>16</v>
      </c>
      <c r="M107" s="581">
        <v>22</v>
      </c>
      <c r="N107" s="632">
        <f t="shared" si="3"/>
        <v>83</v>
      </c>
      <c r="O107" s="633">
        <f t="shared" si="4"/>
        <v>20.75</v>
      </c>
      <c r="P107" s="634">
        <f t="shared" si="5"/>
        <v>0.36088525588069043</v>
      </c>
    </row>
    <row r="108" spans="1:16" s="635" customFormat="1">
      <c r="A108" s="684" t="s">
        <v>102</v>
      </c>
      <c r="B108" s="629"/>
      <c r="C108" s="581"/>
      <c r="D108" s="630"/>
      <c r="E108" s="630"/>
      <c r="F108" s="630"/>
      <c r="G108" s="631"/>
      <c r="H108" s="631"/>
      <c r="I108" s="631"/>
      <c r="J108" s="630">
        <v>6</v>
      </c>
      <c r="K108" s="581">
        <v>9</v>
      </c>
      <c r="L108" s="581">
        <v>11</v>
      </c>
      <c r="M108" s="581">
        <v>16</v>
      </c>
      <c r="N108" s="632">
        <f t="shared" si="3"/>
        <v>42</v>
      </c>
      <c r="O108" s="633">
        <f t="shared" si="4"/>
        <v>10.5</v>
      </c>
      <c r="P108" s="634">
        <f t="shared" si="5"/>
        <v>0.18261663550589155</v>
      </c>
    </row>
    <row r="109" spans="1:16" s="635" customFormat="1">
      <c r="A109" s="684" t="s">
        <v>103</v>
      </c>
      <c r="B109" s="629"/>
      <c r="C109" s="581"/>
      <c r="D109" s="630"/>
      <c r="E109" s="630"/>
      <c r="F109" s="630"/>
      <c r="G109" s="631"/>
      <c r="H109" s="631"/>
      <c r="I109" s="631"/>
      <c r="J109" s="630">
        <v>5</v>
      </c>
      <c r="K109" s="581">
        <v>0</v>
      </c>
      <c r="L109" s="581">
        <v>0</v>
      </c>
      <c r="M109" s="581">
        <v>0</v>
      </c>
      <c r="N109" s="632">
        <f t="shared" si="3"/>
        <v>5</v>
      </c>
      <c r="O109" s="633">
        <f t="shared" si="4"/>
        <v>1.25</v>
      </c>
      <c r="P109" s="634">
        <f t="shared" si="5"/>
        <v>2.1740075655463278E-2</v>
      </c>
    </row>
    <row r="110" spans="1:16" s="635" customFormat="1">
      <c r="A110" s="684" t="s">
        <v>458</v>
      </c>
      <c r="B110" s="629"/>
      <c r="C110" s="581"/>
      <c r="D110" s="630"/>
      <c r="E110" s="630"/>
      <c r="F110" s="630"/>
      <c r="G110" s="631"/>
      <c r="H110" s="631"/>
      <c r="I110" s="631"/>
      <c r="J110" s="630">
        <v>0</v>
      </c>
      <c r="K110" s="581">
        <v>0</v>
      </c>
      <c r="L110" s="581">
        <v>0</v>
      </c>
      <c r="M110" s="581">
        <v>0</v>
      </c>
      <c r="N110" s="632">
        <f t="shared" si="3"/>
        <v>0</v>
      </c>
      <c r="O110" s="633">
        <f t="shared" si="4"/>
        <v>0</v>
      </c>
      <c r="P110" s="634">
        <f t="shared" si="5"/>
        <v>0</v>
      </c>
    </row>
    <row r="111" spans="1:16" s="635" customFormat="1">
      <c r="A111" s="684" t="s">
        <v>421</v>
      </c>
      <c r="B111" s="629"/>
      <c r="C111" s="581"/>
      <c r="D111" s="630"/>
      <c r="E111" s="630"/>
      <c r="F111" s="630"/>
      <c r="G111" s="631"/>
      <c r="H111" s="631"/>
      <c r="I111" s="631"/>
      <c r="J111" s="630">
        <v>1</v>
      </c>
      <c r="K111" s="581">
        <v>2</v>
      </c>
      <c r="L111" s="581">
        <v>0</v>
      </c>
      <c r="M111" s="581">
        <v>0</v>
      </c>
      <c r="N111" s="632">
        <f t="shared" si="3"/>
        <v>3</v>
      </c>
      <c r="O111" s="633">
        <f t="shared" si="4"/>
        <v>0.75</v>
      </c>
      <c r="P111" s="634">
        <f t="shared" si="5"/>
        <v>1.3044045393277968E-2</v>
      </c>
    </row>
    <row r="112" spans="1:16" s="635" customFormat="1">
      <c r="A112" s="684" t="s">
        <v>104</v>
      </c>
      <c r="B112" s="629"/>
      <c r="C112" s="581"/>
      <c r="D112" s="630"/>
      <c r="E112" s="630"/>
      <c r="F112" s="630"/>
      <c r="G112" s="631"/>
      <c r="H112" s="631"/>
      <c r="I112" s="631"/>
      <c r="J112" s="630">
        <v>12</v>
      </c>
      <c r="K112" s="581">
        <v>15</v>
      </c>
      <c r="L112" s="581">
        <v>7</v>
      </c>
      <c r="M112" s="581">
        <v>13</v>
      </c>
      <c r="N112" s="632">
        <f t="shared" si="3"/>
        <v>47</v>
      </c>
      <c r="O112" s="633">
        <f t="shared" si="4"/>
        <v>11.75</v>
      </c>
      <c r="P112" s="634">
        <f t="shared" si="5"/>
        <v>0.20435671116135484</v>
      </c>
    </row>
    <row r="113" spans="1:16" s="635" customFormat="1">
      <c r="A113" s="684" t="s">
        <v>105</v>
      </c>
      <c r="B113" s="629"/>
      <c r="C113" s="581"/>
      <c r="D113" s="630"/>
      <c r="E113" s="630"/>
      <c r="F113" s="630"/>
      <c r="G113" s="631"/>
      <c r="H113" s="631"/>
      <c r="I113" s="631"/>
      <c r="J113" s="630">
        <v>0</v>
      </c>
      <c r="K113" s="581">
        <v>0</v>
      </c>
      <c r="L113" s="581">
        <v>0</v>
      </c>
      <c r="M113" s="581">
        <v>0</v>
      </c>
      <c r="N113" s="632">
        <f t="shared" si="3"/>
        <v>0</v>
      </c>
      <c r="O113" s="633">
        <f t="shared" si="4"/>
        <v>0</v>
      </c>
      <c r="P113" s="634">
        <f t="shared" si="5"/>
        <v>0</v>
      </c>
    </row>
    <row r="114" spans="1:16" s="635" customFormat="1">
      <c r="A114" s="684" t="s">
        <v>106</v>
      </c>
      <c r="B114" s="629"/>
      <c r="C114" s="581"/>
      <c r="D114" s="630"/>
      <c r="E114" s="630"/>
      <c r="F114" s="630"/>
      <c r="G114" s="631"/>
      <c r="H114" s="631"/>
      <c r="I114" s="631"/>
      <c r="J114" s="630">
        <v>100</v>
      </c>
      <c r="K114" s="581">
        <v>70</v>
      </c>
      <c r="L114" s="581">
        <v>87</v>
      </c>
      <c r="M114" s="581">
        <v>88</v>
      </c>
      <c r="N114" s="632">
        <f t="shared" si="3"/>
        <v>345</v>
      </c>
      <c r="O114" s="633">
        <f t="shared" si="4"/>
        <v>86.25</v>
      </c>
      <c r="P114" s="634">
        <f t="shared" si="5"/>
        <v>1.5000652202269664</v>
      </c>
    </row>
    <row r="115" spans="1:16" s="635" customFormat="1">
      <c r="A115" s="684" t="s">
        <v>477</v>
      </c>
      <c r="B115" s="629"/>
      <c r="C115" s="581"/>
      <c r="D115" s="630"/>
      <c r="E115" s="630"/>
      <c r="F115" s="630"/>
      <c r="G115" s="631"/>
      <c r="H115" s="631"/>
      <c r="I115" s="631"/>
      <c r="J115" s="630">
        <v>0</v>
      </c>
      <c r="K115" s="581">
        <v>1</v>
      </c>
      <c r="L115" s="581">
        <v>0</v>
      </c>
      <c r="M115" s="581">
        <v>1</v>
      </c>
      <c r="N115" s="632">
        <f t="shared" si="3"/>
        <v>2</v>
      </c>
      <c r="O115" s="633">
        <f t="shared" si="4"/>
        <v>0.5</v>
      </c>
      <c r="P115" s="634">
        <f t="shared" si="5"/>
        <v>8.6960302621853121E-3</v>
      </c>
    </row>
    <row r="116" spans="1:16" s="635" customFormat="1">
      <c r="A116" s="684" t="s">
        <v>489</v>
      </c>
      <c r="B116" s="629"/>
      <c r="C116" s="581"/>
      <c r="D116" s="630"/>
      <c r="E116" s="630"/>
      <c r="F116" s="630"/>
      <c r="G116" s="631"/>
      <c r="H116" s="631"/>
      <c r="I116" s="631"/>
      <c r="J116" s="630">
        <v>0</v>
      </c>
      <c r="K116" s="581">
        <v>1</v>
      </c>
      <c r="L116" s="581">
        <v>2</v>
      </c>
      <c r="M116" s="581">
        <v>0</v>
      </c>
      <c r="N116" s="632">
        <f t="shared" si="3"/>
        <v>3</v>
      </c>
      <c r="O116" s="633">
        <f t="shared" si="4"/>
        <v>0.75</v>
      </c>
      <c r="P116" s="634">
        <f t="shared" si="5"/>
        <v>1.3044045393277968E-2</v>
      </c>
    </row>
    <row r="117" spans="1:16" s="635" customFormat="1">
      <c r="A117" s="684" t="s">
        <v>512</v>
      </c>
      <c r="B117" s="629"/>
      <c r="C117" s="581"/>
      <c r="D117" s="630"/>
      <c r="E117" s="630"/>
      <c r="F117" s="630"/>
      <c r="G117" s="631"/>
      <c r="H117" s="631"/>
      <c r="I117" s="631"/>
      <c r="J117" s="630">
        <v>2</v>
      </c>
      <c r="K117" s="581">
        <v>0</v>
      </c>
      <c r="L117" s="581">
        <v>0</v>
      </c>
      <c r="M117" s="581">
        <v>0</v>
      </c>
      <c r="N117" s="632">
        <f t="shared" si="3"/>
        <v>2</v>
      </c>
      <c r="O117" s="633">
        <f t="shared" si="4"/>
        <v>0.5</v>
      </c>
      <c r="P117" s="634">
        <f t="shared" si="5"/>
        <v>8.6960302621853121E-3</v>
      </c>
    </row>
    <row r="118" spans="1:16" s="635" customFormat="1">
      <c r="A118" s="684" t="s">
        <v>107</v>
      </c>
      <c r="B118" s="629"/>
      <c r="C118" s="581"/>
      <c r="D118" s="630"/>
      <c r="E118" s="630"/>
      <c r="F118" s="630"/>
      <c r="G118" s="631"/>
      <c r="H118" s="631"/>
      <c r="I118" s="631"/>
      <c r="J118" s="630">
        <v>4</v>
      </c>
      <c r="K118" s="581">
        <v>3</v>
      </c>
      <c r="L118" s="581">
        <v>8</v>
      </c>
      <c r="M118" s="581">
        <v>1</v>
      </c>
      <c r="N118" s="632">
        <f t="shared" si="3"/>
        <v>16</v>
      </c>
      <c r="O118" s="633">
        <f t="shared" si="4"/>
        <v>4</v>
      </c>
      <c r="P118" s="634">
        <f t="shared" si="5"/>
        <v>6.9568242097482497E-2</v>
      </c>
    </row>
    <row r="119" spans="1:16" s="635" customFormat="1">
      <c r="A119" s="711" t="s">
        <v>459</v>
      </c>
      <c r="B119" s="629"/>
      <c r="C119" s="581"/>
      <c r="D119" s="630"/>
      <c r="E119" s="630"/>
      <c r="F119" s="630"/>
      <c r="G119" s="631"/>
      <c r="H119" s="631"/>
      <c r="I119" s="631"/>
      <c r="J119" s="630">
        <v>1</v>
      </c>
      <c r="K119" s="581">
        <v>2</v>
      </c>
      <c r="L119" s="581">
        <v>3</v>
      </c>
      <c r="M119" s="581">
        <v>4</v>
      </c>
      <c r="N119" s="632">
        <f t="shared" si="3"/>
        <v>10</v>
      </c>
      <c r="O119" s="633">
        <f t="shared" si="4"/>
        <v>2.5</v>
      </c>
      <c r="P119" s="634">
        <f t="shared" si="5"/>
        <v>4.3480151310926557E-2</v>
      </c>
    </row>
    <row r="120" spans="1:16" s="635" customFormat="1">
      <c r="A120" s="683" t="s">
        <v>108</v>
      </c>
      <c r="B120" s="629"/>
      <c r="C120" s="581"/>
      <c r="D120" s="630"/>
      <c r="E120" s="630"/>
      <c r="F120" s="630"/>
      <c r="G120" s="631"/>
      <c r="H120" s="631"/>
      <c r="I120" s="631"/>
      <c r="J120" s="630">
        <v>21</v>
      </c>
      <c r="K120" s="581">
        <v>8</v>
      </c>
      <c r="L120" s="581">
        <v>10</v>
      </c>
      <c r="M120" s="581">
        <v>19</v>
      </c>
      <c r="N120" s="632">
        <f t="shared" si="3"/>
        <v>58</v>
      </c>
      <c r="O120" s="633">
        <f t="shared" si="4"/>
        <v>14.5</v>
      </c>
      <c r="P120" s="634">
        <f t="shared" si="5"/>
        <v>0.25218487760337405</v>
      </c>
    </row>
    <row r="121" spans="1:16" s="635" customFormat="1">
      <c r="A121" s="684" t="s">
        <v>109</v>
      </c>
      <c r="B121" s="629"/>
      <c r="C121" s="581"/>
      <c r="D121" s="630"/>
      <c r="E121" s="630"/>
      <c r="F121" s="630"/>
      <c r="G121" s="631"/>
      <c r="H121" s="631"/>
      <c r="I121" s="631"/>
      <c r="J121" s="630">
        <v>7</v>
      </c>
      <c r="K121" s="581">
        <v>5</v>
      </c>
      <c r="L121" s="581">
        <v>5</v>
      </c>
      <c r="M121" s="581">
        <v>9</v>
      </c>
      <c r="N121" s="632">
        <f t="shared" si="3"/>
        <v>26</v>
      </c>
      <c r="O121" s="633">
        <f t="shared" si="4"/>
        <v>6.5</v>
      </c>
      <c r="P121" s="634">
        <f t="shared" si="5"/>
        <v>0.11304839340840905</v>
      </c>
    </row>
    <row r="122" spans="1:16" s="635" customFormat="1">
      <c r="A122" s="684" t="s">
        <v>110</v>
      </c>
      <c r="B122" s="629"/>
      <c r="C122" s="581"/>
      <c r="D122" s="630"/>
      <c r="E122" s="630"/>
      <c r="F122" s="630"/>
      <c r="G122" s="631"/>
      <c r="H122" s="631"/>
      <c r="I122" s="631"/>
      <c r="J122" s="630">
        <v>0</v>
      </c>
      <c r="K122" s="581">
        <v>0</v>
      </c>
      <c r="L122" s="581">
        <v>0</v>
      </c>
      <c r="M122" s="581">
        <v>0</v>
      </c>
      <c r="N122" s="632">
        <f t="shared" si="3"/>
        <v>0</v>
      </c>
      <c r="O122" s="633">
        <f t="shared" si="4"/>
        <v>0</v>
      </c>
      <c r="P122" s="634">
        <f t="shared" si="5"/>
        <v>0</v>
      </c>
    </row>
    <row r="123" spans="1:16" s="635" customFormat="1">
      <c r="A123" s="684" t="s">
        <v>111</v>
      </c>
      <c r="B123" s="629"/>
      <c r="C123" s="581"/>
      <c r="D123" s="630"/>
      <c r="E123" s="630"/>
      <c r="F123" s="630"/>
      <c r="G123" s="631"/>
      <c r="H123" s="631"/>
      <c r="I123" s="631"/>
      <c r="J123" s="630">
        <v>0</v>
      </c>
      <c r="K123" s="581">
        <v>0</v>
      </c>
      <c r="L123" s="581">
        <v>0</v>
      </c>
      <c r="M123" s="581">
        <v>0</v>
      </c>
      <c r="N123" s="632">
        <f t="shared" si="3"/>
        <v>0</v>
      </c>
      <c r="O123" s="633">
        <f t="shared" si="4"/>
        <v>0</v>
      </c>
      <c r="P123" s="634">
        <f t="shared" si="5"/>
        <v>0</v>
      </c>
    </row>
    <row r="124" spans="1:16" s="635" customFormat="1">
      <c r="A124" s="684" t="s">
        <v>112</v>
      </c>
      <c r="B124" s="629"/>
      <c r="C124" s="581"/>
      <c r="D124" s="630"/>
      <c r="E124" s="630"/>
      <c r="F124" s="630"/>
      <c r="G124" s="631"/>
      <c r="H124" s="631"/>
      <c r="I124" s="631"/>
      <c r="J124" s="630">
        <v>0</v>
      </c>
      <c r="K124" s="581">
        <v>0</v>
      </c>
      <c r="L124" s="581">
        <v>0</v>
      </c>
      <c r="M124" s="581">
        <v>0</v>
      </c>
      <c r="N124" s="632">
        <f t="shared" si="3"/>
        <v>0</v>
      </c>
      <c r="O124" s="633">
        <f t="shared" si="4"/>
        <v>0</v>
      </c>
      <c r="P124" s="634">
        <f t="shared" si="5"/>
        <v>0</v>
      </c>
    </row>
    <row r="125" spans="1:16" s="635" customFormat="1">
      <c r="A125" s="684" t="s">
        <v>113</v>
      </c>
      <c r="B125" s="629"/>
      <c r="C125" s="581"/>
      <c r="D125" s="630"/>
      <c r="E125" s="630"/>
      <c r="F125" s="630"/>
      <c r="G125" s="631"/>
      <c r="H125" s="631"/>
      <c r="I125" s="631"/>
      <c r="J125" s="630">
        <v>4</v>
      </c>
      <c r="K125" s="581">
        <v>1</v>
      </c>
      <c r="L125" s="581">
        <v>8</v>
      </c>
      <c r="M125" s="581">
        <v>2</v>
      </c>
      <c r="N125" s="632">
        <f t="shared" si="3"/>
        <v>15</v>
      </c>
      <c r="O125" s="633">
        <f t="shared" si="4"/>
        <v>3.75</v>
      </c>
      <c r="P125" s="634">
        <f t="shared" si="5"/>
        <v>6.5220226966389849E-2</v>
      </c>
    </row>
    <row r="126" spans="1:16" s="635" customFormat="1">
      <c r="A126" s="683" t="s">
        <v>114</v>
      </c>
      <c r="B126" s="629"/>
      <c r="C126" s="581"/>
      <c r="D126" s="630"/>
      <c r="E126" s="630"/>
      <c r="F126" s="630"/>
      <c r="G126" s="631"/>
      <c r="H126" s="631"/>
      <c r="I126" s="631"/>
      <c r="J126" s="630">
        <v>79</v>
      </c>
      <c r="K126" s="581">
        <v>87</v>
      </c>
      <c r="L126" s="581">
        <v>67</v>
      </c>
      <c r="M126" s="581">
        <v>64</v>
      </c>
      <c r="N126" s="632">
        <f t="shared" si="3"/>
        <v>297</v>
      </c>
      <c r="O126" s="633">
        <f t="shared" si="4"/>
        <v>74.25</v>
      </c>
      <c r="P126" s="634">
        <f t="shared" si="5"/>
        <v>1.2913604939345189</v>
      </c>
    </row>
    <row r="127" spans="1:16" s="635" customFormat="1">
      <c r="A127" s="683" t="s">
        <v>115</v>
      </c>
      <c r="B127" s="629"/>
      <c r="C127" s="581"/>
      <c r="D127" s="630"/>
      <c r="E127" s="630"/>
      <c r="F127" s="630"/>
      <c r="G127" s="631"/>
      <c r="H127" s="631"/>
      <c r="I127" s="631"/>
      <c r="J127" s="630">
        <v>0</v>
      </c>
      <c r="K127" s="581">
        <v>1</v>
      </c>
      <c r="L127" s="581">
        <v>1</v>
      </c>
      <c r="M127" s="581">
        <v>0</v>
      </c>
      <c r="N127" s="632">
        <f t="shared" si="3"/>
        <v>2</v>
      </c>
      <c r="O127" s="633">
        <f t="shared" si="4"/>
        <v>0.5</v>
      </c>
      <c r="P127" s="634">
        <f t="shared" si="5"/>
        <v>8.6960302621853121E-3</v>
      </c>
    </row>
    <row r="128" spans="1:16" s="635" customFormat="1">
      <c r="A128" s="683" t="s">
        <v>116</v>
      </c>
      <c r="B128" s="629"/>
      <c r="C128" s="581"/>
      <c r="D128" s="630"/>
      <c r="E128" s="630"/>
      <c r="F128" s="630"/>
      <c r="G128" s="631"/>
      <c r="H128" s="631"/>
      <c r="I128" s="631"/>
      <c r="J128" s="630">
        <v>1</v>
      </c>
      <c r="K128" s="581">
        <v>4</v>
      </c>
      <c r="L128" s="581">
        <v>2</v>
      </c>
      <c r="M128" s="581">
        <v>1</v>
      </c>
      <c r="N128" s="632">
        <f t="shared" si="3"/>
        <v>8</v>
      </c>
      <c r="O128" s="633">
        <f t="shared" si="4"/>
        <v>2</v>
      </c>
      <c r="P128" s="634">
        <f t="shared" si="5"/>
        <v>3.4784121048741248E-2</v>
      </c>
    </row>
    <row r="129" spans="1:16" s="635" customFormat="1">
      <c r="A129" s="683" t="s">
        <v>478</v>
      </c>
      <c r="B129" s="629"/>
      <c r="C129" s="581"/>
      <c r="D129" s="630"/>
      <c r="E129" s="630"/>
      <c r="F129" s="630"/>
      <c r="G129" s="631"/>
      <c r="H129" s="631"/>
      <c r="I129" s="631"/>
      <c r="J129" s="630">
        <v>3</v>
      </c>
      <c r="K129" s="581">
        <v>6</v>
      </c>
      <c r="L129" s="581">
        <v>7</v>
      </c>
      <c r="M129" s="581">
        <v>2</v>
      </c>
      <c r="N129" s="632">
        <f t="shared" si="3"/>
        <v>18</v>
      </c>
      <c r="O129" s="633">
        <f t="shared" si="4"/>
        <v>4.5</v>
      </c>
      <c r="P129" s="634">
        <f t="shared" si="5"/>
        <v>7.8264272359667805E-2</v>
      </c>
    </row>
    <row r="130" spans="1:16" s="635" customFormat="1">
      <c r="A130" s="683" t="s">
        <v>479</v>
      </c>
      <c r="B130" s="629"/>
      <c r="C130" s="581"/>
      <c r="D130" s="630"/>
      <c r="E130" s="630"/>
      <c r="F130" s="630"/>
      <c r="G130" s="631"/>
      <c r="H130" s="631"/>
      <c r="I130" s="631"/>
      <c r="J130" s="630">
        <v>0</v>
      </c>
      <c r="K130" s="581">
        <v>0</v>
      </c>
      <c r="L130" s="581">
        <v>1</v>
      </c>
      <c r="M130" s="581">
        <v>1</v>
      </c>
      <c r="N130" s="632">
        <f t="shared" si="3"/>
        <v>2</v>
      </c>
      <c r="O130" s="633">
        <f t="shared" si="4"/>
        <v>0.5</v>
      </c>
      <c r="P130" s="634">
        <f t="shared" si="5"/>
        <v>8.6960302621853121E-3</v>
      </c>
    </row>
    <row r="131" spans="1:16" s="635" customFormat="1">
      <c r="A131" s="684" t="s">
        <v>117</v>
      </c>
      <c r="B131" s="629"/>
      <c r="C131" s="581"/>
      <c r="D131" s="630"/>
      <c r="E131" s="630"/>
      <c r="F131" s="630"/>
      <c r="G131" s="631"/>
      <c r="H131" s="631"/>
      <c r="I131" s="631"/>
      <c r="J131" s="630">
        <v>0</v>
      </c>
      <c r="K131" s="581">
        <v>0</v>
      </c>
      <c r="L131" s="581">
        <v>0</v>
      </c>
      <c r="M131" s="581">
        <v>0</v>
      </c>
      <c r="N131" s="632">
        <f t="shared" si="3"/>
        <v>0</v>
      </c>
      <c r="O131" s="633">
        <f t="shared" si="4"/>
        <v>0</v>
      </c>
      <c r="P131" s="634">
        <f t="shared" si="5"/>
        <v>0</v>
      </c>
    </row>
    <row r="132" spans="1:16" s="635" customFormat="1">
      <c r="A132" s="684" t="s">
        <v>118</v>
      </c>
      <c r="B132" s="629"/>
      <c r="C132" s="581"/>
      <c r="D132" s="630"/>
      <c r="E132" s="630"/>
      <c r="F132" s="630"/>
      <c r="G132" s="631"/>
      <c r="H132" s="631"/>
      <c r="I132" s="631"/>
      <c r="J132" s="630">
        <v>81</v>
      </c>
      <c r="K132" s="581">
        <v>76</v>
      </c>
      <c r="L132" s="581">
        <v>106</v>
      </c>
      <c r="M132" s="581">
        <v>81</v>
      </c>
      <c r="N132" s="632">
        <f t="shared" si="3"/>
        <v>344</v>
      </c>
      <c r="O132" s="633">
        <f t="shared" si="4"/>
        <v>86</v>
      </c>
      <c r="P132" s="634">
        <f t="shared" si="5"/>
        <v>1.4957172050958736</v>
      </c>
    </row>
    <row r="133" spans="1:16" s="712" customFormat="1">
      <c r="A133" s="684" t="s">
        <v>428</v>
      </c>
      <c r="B133" s="629"/>
      <c r="C133" s="581"/>
      <c r="D133" s="630"/>
      <c r="E133" s="630"/>
      <c r="F133" s="630"/>
      <c r="G133" s="631"/>
      <c r="H133" s="631"/>
      <c r="I133" s="631"/>
      <c r="J133" s="630">
        <v>0</v>
      </c>
      <c r="K133" s="581">
        <v>0</v>
      </c>
      <c r="L133" s="581">
        <v>0</v>
      </c>
      <c r="M133" s="581">
        <v>0</v>
      </c>
      <c r="N133" s="632">
        <f t="shared" si="3"/>
        <v>0</v>
      </c>
      <c r="O133" s="633">
        <f t="shared" si="4"/>
        <v>0</v>
      </c>
      <c r="P133" s="634">
        <f t="shared" si="5"/>
        <v>0</v>
      </c>
    </row>
    <row r="134" spans="1:16" s="635" customFormat="1">
      <c r="A134" s="685" t="s">
        <v>119</v>
      </c>
      <c r="B134" s="713"/>
      <c r="C134" s="714"/>
      <c r="D134" s="715"/>
      <c r="E134" s="715"/>
      <c r="F134" s="715"/>
      <c r="G134" s="715"/>
      <c r="H134" s="715"/>
      <c r="I134" s="715"/>
      <c r="J134" s="715">
        <v>12</v>
      </c>
      <c r="K134" s="714">
        <v>11</v>
      </c>
      <c r="L134" s="714">
        <v>5</v>
      </c>
      <c r="M134" s="714">
        <v>15</v>
      </c>
      <c r="N134" s="716">
        <f t="shared" si="3"/>
        <v>43</v>
      </c>
      <c r="O134" s="717">
        <f t="shared" si="4"/>
        <v>10.75</v>
      </c>
      <c r="P134" s="718">
        <f t="shared" si="5"/>
        <v>0.1869646506369842</v>
      </c>
    </row>
    <row r="135" spans="1:16" s="635" customFormat="1">
      <c r="A135" s="683" t="s">
        <v>120</v>
      </c>
      <c r="B135" s="629"/>
      <c r="C135" s="581"/>
      <c r="D135" s="630"/>
      <c r="E135" s="630"/>
      <c r="F135" s="630"/>
      <c r="G135" s="631"/>
      <c r="H135" s="631"/>
      <c r="I135" s="631"/>
      <c r="J135" s="630">
        <v>11</v>
      </c>
      <c r="K135" s="581">
        <v>4</v>
      </c>
      <c r="L135" s="581">
        <v>9</v>
      </c>
      <c r="M135" s="581">
        <v>7</v>
      </c>
      <c r="N135" s="632">
        <f t="shared" si="3"/>
        <v>31</v>
      </c>
      <c r="O135" s="633">
        <f t="shared" si="4"/>
        <v>7.75</v>
      </c>
      <c r="P135" s="634">
        <f t="shared" si="5"/>
        <v>0.13478846906387235</v>
      </c>
    </row>
    <row r="136" spans="1:16" s="635" customFormat="1">
      <c r="A136" s="684" t="s">
        <v>121</v>
      </c>
      <c r="B136" s="629"/>
      <c r="C136" s="581"/>
      <c r="D136" s="630"/>
      <c r="E136" s="630"/>
      <c r="F136" s="630"/>
      <c r="G136" s="631"/>
      <c r="H136" s="631"/>
      <c r="I136" s="631"/>
      <c r="J136" s="630">
        <v>0</v>
      </c>
      <c r="K136" s="581">
        <v>0</v>
      </c>
      <c r="L136" s="581">
        <v>0</v>
      </c>
      <c r="M136" s="581">
        <v>0</v>
      </c>
      <c r="N136" s="632">
        <f t="shared" si="3"/>
        <v>0</v>
      </c>
      <c r="O136" s="633">
        <f t="shared" si="4"/>
        <v>0</v>
      </c>
      <c r="P136" s="634">
        <f t="shared" si="5"/>
        <v>0</v>
      </c>
    </row>
    <row r="137" spans="1:16" s="635" customFormat="1">
      <c r="A137" s="684" t="s">
        <v>122</v>
      </c>
      <c r="B137" s="629"/>
      <c r="C137" s="581"/>
      <c r="D137" s="630"/>
      <c r="E137" s="630"/>
      <c r="F137" s="630"/>
      <c r="G137" s="631"/>
      <c r="H137" s="631"/>
      <c r="I137" s="631"/>
      <c r="J137" s="630">
        <v>39</v>
      </c>
      <c r="K137" s="581">
        <v>38</v>
      </c>
      <c r="L137" s="581">
        <v>46</v>
      </c>
      <c r="M137" s="581">
        <v>35</v>
      </c>
      <c r="N137" s="632">
        <f t="shared" ref="N137:N200" si="6">SUM(B137:M137)</f>
        <v>158</v>
      </c>
      <c r="O137" s="633">
        <f t="shared" ref="O137:O200" si="7">AVERAGE(B137:M137)</f>
        <v>39.5</v>
      </c>
      <c r="P137" s="634">
        <f t="shared" ref="P137:P200" si="8">(N137/$N$238)*100</f>
        <v>0.68698639071263967</v>
      </c>
    </row>
    <row r="138" spans="1:16" s="635" customFormat="1">
      <c r="A138" s="684" t="s">
        <v>460</v>
      </c>
      <c r="B138" s="629"/>
      <c r="C138" s="581"/>
      <c r="D138" s="630"/>
      <c r="E138" s="630"/>
      <c r="F138" s="630"/>
      <c r="G138" s="631"/>
      <c r="H138" s="631"/>
      <c r="I138" s="631"/>
      <c r="J138" s="630">
        <v>1</v>
      </c>
      <c r="K138" s="581">
        <v>0</v>
      </c>
      <c r="L138" s="581">
        <v>0</v>
      </c>
      <c r="M138" s="581">
        <v>2</v>
      </c>
      <c r="N138" s="632">
        <f t="shared" si="6"/>
        <v>3</v>
      </c>
      <c r="O138" s="633">
        <f t="shared" si="7"/>
        <v>0.75</v>
      </c>
      <c r="P138" s="634">
        <f t="shared" si="8"/>
        <v>1.3044045393277968E-2</v>
      </c>
    </row>
    <row r="139" spans="1:16" s="635" customFormat="1">
      <c r="A139" s="684" t="s">
        <v>123</v>
      </c>
      <c r="B139" s="629"/>
      <c r="C139" s="581"/>
      <c r="D139" s="630"/>
      <c r="E139" s="630"/>
      <c r="F139" s="630"/>
      <c r="G139" s="631"/>
      <c r="H139" s="631"/>
      <c r="I139" s="631"/>
      <c r="J139" s="630">
        <v>1</v>
      </c>
      <c r="K139" s="581">
        <v>0</v>
      </c>
      <c r="L139" s="581">
        <v>0</v>
      </c>
      <c r="M139" s="581">
        <v>0</v>
      </c>
      <c r="N139" s="632">
        <f t="shared" si="6"/>
        <v>1</v>
      </c>
      <c r="O139" s="633">
        <f t="shared" si="7"/>
        <v>0.25</v>
      </c>
      <c r="P139" s="634">
        <f t="shared" si="8"/>
        <v>4.348015131092656E-3</v>
      </c>
    </row>
    <row r="140" spans="1:16" s="635" customFormat="1">
      <c r="A140" s="684" t="s">
        <v>124</v>
      </c>
      <c r="B140" s="629"/>
      <c r="C140" s="581"/>
      <c r="D140" s="630"/>
      <c r="E140" s="630"/>
      <c r="F140" s="630"/>
      <c r="G140" s="631"/>
      <c r="H140" s="631"/>
      <c r="I140" s="631"/>
      <c r="J140" s="630">
        <v>15</v>
      </c>
      <c r="K140" s="581">
        <v>25</v>
      </c>
      <c r="L140" s="581">
        <v>15</v>
      </c>
      <c r="M140" s="581">
        <v>24</v>
      </c>
      <c r="N140" s="632">
        <f t="shared" si="6"/>
        <v>79</v>
      </c>
      <c r="O140" s="633">
        <f t="shared" si="7"/>
        <v>19.75</v>
      </c>
      <c r="P140" s="634">
        <f t="shared" si="8"/>
        <v>0.34349319535631984</v>
      </c>
    </row>
    <row r="141" spans="1:16" s="635" customFormat="1">
      <c r="A141" s="684" t="s">
        <v>125</v>
      </c>
      <c r="B141" s="629"/>
      <c r="C141" s="581"/>
      <c r="D141" s="630"/>
      <c r="E141" s="630"/>
      <c r="F141" s="630"/>
      <c r="G141" s="631"/>
      <c r="H141" s="631"/>
      <c r="I141" s="631"/>
      <c r="J141" s="630">
        <v>0</v>
      </c>
      <c r="K141" s="581">
        <v>0</v>
      </c>
      <c r="L141" s="581">
        <v>0</v>
      </c>
      <c r="M141" s="710">
        <v>0</v>
      </c>
      <c r="N141" s="632">
        <f t="shared" si="6"/>
        <v>0</v>
      </c>
      <c r="O141" s="633">
        <f t="shared" si="7"/>
        <v>0</v>
      </c>
      <c r="P141" s="634">
        <f t="shared" si="8"/>
        <v>0</v>
      </c>
    </row>
    <row r="142" spans="1:16" s="635" customFormat="1">
      <c r="A142" s="684" t="s">
        <v>429</v>
      </c>
      <c r="B142" s="629"/>
      <c r="C142" s="581"/>
      <c r="D142" s="630"/>
      <c r="E142" s="630"/>
      <c r="F142" s="630"/>
      <c r="G142" s="631"/>
      <c r="H142" s="631"/>
      <c r="I142" s="631"/>
      <c r="J142" s="630">
        <v>0</v>
      </c>
      <c r="K142" s="581">
        <v>0</v>
      </c>
      <c r="L142" s="581">
        <v>0</v>
      </c>
      <c r="M142" s="581">
        <v>0</v>
      </c>
      <c r="N142" s="632">
        <f t="shared" si="6"/>
        <v>0</v>
      </c>
      <c r="O142" s="633">
        <f t="shared" si="7"/>
        <v>0</v>
      </c>
      <c r="P142" s="634">
        <f t="shared" si="8"/>
        <v>0</v>
      </c>
    </row>
    <row r="143" spans="1:16" s="635" customFormat="1">
      <c r="A143" s="684" t="s">
        <v>126</v>
      </c>
      <c r="B143" s="629"/>
      <c r="C143" s="581"/>
      <c r="D143" s="630"/>
      <c r="E143" s="630"/>
      <c r="F143" s="630"/>
      <c r="G143" s="631"/>
      <c r="H143" s="631"/>
      <c r="I143" s="631"/>
      <c r="J143" s="630">
        <v>9</v>
      </c>
      <c r="K143" s="581">
        <v>9</v>
      </c>
      <c r="L143" s="581">
        <v>13</v>
      </c>
      <c r="M143" s="581">
        <v>18</v>
      </c>
      <c r="N143" s="632">
        <f t="shared" si="6"/>
        <v>49</v>
      </c>
      <c r="O143" s="633">
        <f t="shared" si="7"/>
        <v>12.25</v>
      </c>
      <c r="P143" s="634">
        <f t="shared" si="8"/>
        <v>0.21305274142354017</v>
      </c>
    </row>
    <row r="144" spans="1:16" s="635" customFormat="1">
      <c r="A144" s="684" t="s">
        <v>127</v>
      </c>
      <c r="B144" s="629"/>
      <c r="C144" s="581"/>
      <c r="D144" s="630"/>
      <c r="E144" s="630"/>
      <c r="F144" s="630"/>
      <c r="G144" s="631"/>
      <c r="H144" s="631"/>
      <c r="I144" s="631"/>
      <c r="J144" s="630">
        <v>63</v>
      </c>
      <c r="K144" s="581">
        <v>140</v>
      </c>
      <c r="L144" s="581">
        <v>189</v>
      </c>
      <c r="M144" s="581">
        <v>91</v>
      </c>
      <c r="N144" s="632">
        <f t="shared" si="6"/>
        <v>483</v>
      </c>
      <c r="O144" s="633">
        <f t="shared" si="7"/>
        <v>120.75</v>
      </c>
      <c r="P144" s="634">
        <f t="shared" si="8"/>
        <v>2.100091308317753</v>
      </c>
    </row>
    <row r="145" spans="1:16" s="635" customFormat="1">
      <c r="A145" s="684" t="s">
        <v>128</v>
      </c>
      <c r="B145" s="629"/>
      <c r="C145" s="581"/>
      <c r="D145" s="630"/>
      <c r="E145" s="630"/>
      <c r="F145" s="630"/>
      <c r="G145" s="631"/>
      <c r="H145" s="631"/>
      <c r="I145" s="631"/>
      <c r="J145" s="630">
        <v>0</v>
      </c>
      <c r="K145" s="581">
        <v>1</v>
      </c>
      <c r="L145" s="581">
        <v>1</v>
      </c>
      <c r="M145" s="581">
        <v>0</v>
      </c>
      <c r="N145" s="632">
        <f t="shared" si="6"/>
        <v>2</v>
      </c>
      <c r="O145" s="633">
        <f t="shared" si="7"/>
        <v>0.5</v>
      </c>
      <c r="P145" s="634">
        <f t="shared" si="8"/>
        <v>8.6960302621853121E-3</v>
      </c>
    </row>
    <row r="146" spans="1:16" s="635" customFormat="1">
      <c r="A146" s="684" t="s">
        <v>129</v>
      </c>
      <c r="B146" s="629"/>
      <c r="C146" s="581"/>
      <c r="D146" s="630"/>
      <c r="E146" s="630"/>
      <c r="F146" s="630"/>
      <c r="G146" s="631"/>
      <c r="H146" s="631"/>
      <c r="I146" s="631"/>
      <c r="J146" s="630">
        <v>5</v>
      </c>
      <c r="K146" s="581">
        <v>4</v>
      </c>
      <c r="L146" s="581">
        <v>2</v>
      </c>
      <c r="M146" s="581">
        <v>1</v>
      </c>
      <c r="N146" s="632">
        <f t="shared" si="6"/>
        <v>12</v>
      </c>
      <c r="O146" s="633">
        <f t="shared" si="7"/>
        <v>3</v>
      </c>
      <c r="P146" s="634">
        <f t="shared" si="8"/>
        <v>5.2176181573111872E-2</v>
      </c>
    </row>
    <row r="147" spans="1:16" s="635" customFormat="1">
      <c r="A147" s="684" t="s">
        <v>130</v>
      </c>
      <c r="B147" s="629"/>
      <c r="C147" s="581"/>
      <c r="D147" s="630"/>
      <c r="E147" s="630"/>
      <c r="F147" s="630"/>
      <c r="G147" s="631"/>
      <c r="H147" s="631"/>
      <c r="I147" s="631"/>
      <c r="J147" s="630">
        <v>0</v>
      </c>
      <c r="K147" s="581">
        <v>0</v>
      </c>
      <c r="L147" s="581">
        <v>0</v>
      </c>
      <c r="M147" s="581">
        <v>0</v>
      </c>
      <c r="N147" s="632">
        <f t="shared" si="6"/>
        <v>0</v>
      </c>
      <c r="O147" s="633">
        <f t="shared" si="7"/>
        <v>0</v>
      </c>
      <c r="P147" s="634">
        <f t="shared" si="8"/>
        <v>0</v>
      </c>
    </row>
    <row r="148" spans="1:16" s="635" customFormat="1">
      <c r="A148" s="684" t="s">
        <v>131</v>
      </c>
      <c r="B148" s="629"/>
      <c r="C148" s="581"/>
      <c r="D148" s="630"/>
      <c r="E148" s="630"/>
      <c r="F148" s="630"/>
      <c r="G148" s="631"/>
      <c r="H148" s="631"/>
      <c r="I148" s="631"/>
      <c r="J148" s="630">
        <v>1</v>
      </c>
      <c r="K148" s="581">
        <v>0</v>
      </c>
      <c r="L148" s="581">
        <v>2</v>
      </c>
      <c r="M148" s="581">
        <v>2</v>
      </c>
      <c r="N148" s="632">
        <f t="shared" si="6"/>
        <v>5</v>
      </c>
      <c r="O148" s="633">
        <f t="shared" si="7"/>
        <v>1.25</v>
      </c>
      <c r="P148" s="634">
        <f t="shared" si="8"/>
        <v>2.1740075655463278E-2</v>
      </c>
    </row>
    <row r="149" spans="1:16" s="635" customFormat="1">
      <c r="A149" s="683" t="s">
        <v>132</v>
      </c>
      <c r="B149" s="629"/>
      <c r="C149" s="581"/>
      <c r="D149" s="630"/>
      <c r="E149" s="630"/>
      <c r="F149" s="630"/>
      <c r="G149" s="631"/>
      <c r="H149" s="631"/>
      <c r="I149" s="631"/>
      <c r="J149" s="630">
        <v>6</v>
      </c>
      <c r="K149" s="581">
        <v>0</v>
      </c>
      <c r="L149" s="581">
        <v>1</v>
      </c>
      <c r="M149" s="581">
        <v>1</v>
      </c>
      <c r="N149" s="632">
        <f t="shared" si="6"/>
        <v>8</v>
      </c>
      <c r="O149" s="633">
        <f t="shared" si="7"/>
        <v>2</v>
      </c>
      <c r="P149" s="634">
        <f t="shared" si="8"/>
        <v>3.4784121048741248E-2</v>
      </c>
    </row>
    <row r="150" spans="1:16" s="635" customFormat="1">
      <c r="A150" s="684" t="s">
        <v>133</v>
      </c>
      <c r="B150" s="629"/>
      <c r="C150" s="581"/>
      <c r="D150" s="630"/>
      <c r="E150" s="630"/>
      <c r="F150" s="630"/>
      <c r="G150" s="631"/>
      <c r="H150" s="631"/>
      <c r="I150" s="631"/>
      <c r="J150" s="630">
        <v>0</v>
      </c>
      <c r="K150" s="581">
        <v>0</v>
      </c>
      <c r="L150" s="581">
        <v>0</v>
      </c>
      <c r="M150" s="581">
        <v>0</v>
      </c>
      <c r="N150" s="632">
        <f t="shared" si="6"/>
        <v>0</v>
      </c>
      <c r="O150" s="633">
        <f t="shared" si="7"/>
        <v>0</v>
      </c>
      <c r="P150" s="634">
        <f t="shared" si="8"/>
        <v>0</v>
      </c>
    </row>
    <row r="151" spans="1:16" s="635" customFormat="1">
      <c r="A151" s="684" t="s">
        <v>503</v>
      </c>
      <c r="B151" s="629"/>
      <c r="C151" s="581"/>
      <c r="D151" s="630"/>
      <c r="E151" s="630"/>
      <c r="F151" s="630"/>
      <c r="G151" s="631"/>
      <c r="H151" s="631"/>
      <c r="I151" s="631"/>
      <c r="J151" s="630">
        <v>0</v>
      </c>
      <c r="K151" s="581">
        <v>1</v>
      </c>
      <c r="L151" s="581">
        <v>0</v>
      </c>
      <c r="M151" s="581">
        <v>0</v>
      </c>
      <c r="N151" s="632">
        <f t="shared" si="6"/>
        <v>1</v>
      </c>
      <c r="O151" s="633">
        <f t="shared" si="7"/>
        <v>0.25</v>
      </c>
      <c r="P151" s="634">
        <f t="shared" si="8"/>
        <v>4.348015131092656E-3</v>
      </c>
    </row>
    <row r="152" spans="1:16" s="635" customFormat="1">
      <c r="A152" s="684" t="s">
        <v>134</v>
      </c>
      <c r="B152" s="629"/>
      <c r="C152" s="581"/>
      <c r="D152" s="630"/>
      <c r="E152" s="630"/>
      <c r="F152" s="630"/>
      <c r="G152" s="631"/>
      <c r="H152" s="631"/>
      <c r="I152" s="631"/>
      <c r="J152" s="630">
        <v>62</v>
      </c>
      <c r="K152" s="581">
        <v>50</v>
      </c>
      <c r="L152" s="581">
        <v>68</v>
      </c>
      <c r="M152" s="581">
        <v>115</v>
      </c>
      <c r="N152" s="632">
        <f t="shared" si="6"/>
        <v>295</v>
      </c>
      <c r="O152" s="633">
        <f t="shared" si="7"/>
        <v>73.75</v>
      </c>
      <c r="P152" s="634">
        <f t="shared" si="8"/>
        <v>1.2826644636723334</v>
      </c>
    </row>
    <row r="153" spans="1:16" s="635" customFormat="1">
      <c r="A153" s="684" t="s">
        <v>135</v>
      </c>
      <c r="B153" s="629"/>
      <c r="C153" s="581"/>
      <c r="D153" s="630"/>
      <c r="E153" s="630"/>
      <c r="F153" s="630"/>
      <c r="G153" s="631"/>
      <c r="H153" s="631"/>
      <c r="I153" s="631"/>
      <c r="J153" s="630">
        <v>1</v>
      </c>
      <c r="K153" s="581">
        <v>1</v>
      </c>
      <c r="L153" s="581">
        <v>0</v>
      </c>
      <c r="M153" s="581">
        <v>1</v>
      </c>
      <c r="N153" s="632">
        <f t="shared" si="6"/>
        <v>3</v>
      </c>
      <c r="O153" s="633">
        <f t="shared" si="7"/>
        <v>0.75</v>
      </c>
      <c r="P153" s="634">
        <f t="shared" si="8"/>
        <v>1.3044045393277968E-2</v>
      </c>
    </row>
    <row r="154" spans="1:16" s="635" customFormat="1">
      <c r="A154" s="684" t="s">
        <v>136</v>
      </c>
      <c r="B154" s="629"/>
      <c r="C154" s="581"/>
      <c r="D154" s="630"/>
      <c r="E154" s="630"/>
      <c r="F154" s="630"/>
      <c r="G154" s="631"/>
      <c r="H154" s="631"/>
      <c r="I154" s="631"/>
      <c r="J154" s="630">
        <v>153</v>
      </c>
      <c r="K154" s="581">
        <v>113</v>
      </c>
      <c r="L154" s="581">
        <v>47</v>
      </c>
      <c r="M154" s="581">
        <v>86</v>
      </c>
      <c r="N154" s="632">
        <f t="shared" si="6"/>
        <v>399</v>
      </c>
      <c r="O154" s="633">
        <f t="shared" si="7"/>
        <v>99.75</v>
      </c>
      <c r="P154" s="634">
        <f t="shared" si="8"/>
        <v>1.7348580373059697</v>
      </c>
    </row>
    <row r="155" spans="1:16" s="635" customFormat="1">
      <c r="A155" s="683" t="s">
        <v>137</v>
      </c>
      <c r="B155" s="629"/>
      <c r="C155" s="581"/>
      <c r="D155" s="630"/>
      <c r="E155" s="630"/>
      <c r="F155" s="630"/>
      <c r="G155" s="631"/>
      <c r="H155" s="631"/>
      <c r="I155" s="631"/>
      <c r="J155" s="630">
        <v>11</v>
      </c>
      <c r="K155" s="581">
        <v>16</v>
      </c>
      <c r="L155" s="581">
        <v>10</v>
      </c>
      <c r="M155" s="581">
        <v>17</v>
      </c>
      <c r="N155" s="632">
        <f t="shared" si="6"/>
        <v>54</v>
      </c>
      <c r="O155" s="633">
        <f t="shared" si="7"/>
        <v>13.5</v>
      </c>
      <c r="P155" s="634">
        <f t="shared" si="8"/>
        <v>0.23479281707900346</v>
      </c>
    </row>
    <row r="156" spans="1:16" s="635" customFormat="1">
      <c r="A156" s="684" t="s">
        <v>138</v>
      </c>
      <c r="B156" s="629"/>
      <c r="C156" s="581"/>
      <c r="D156" s="630"/>
      <c r="E156" s="630"/>
      <c r="F156" s="630"/>
      <c r="G156" s="631"/>
      <c r="H156" s="631"/>
      <c r="I156" s="631"/>
      <c r="J156" s="630">
        <v>0</v>
      </c>
      <c r="K156" s="581">
        <v>1</v>
      </c>
      <c r="L156" s="581">
        <v>0</v>
      </c>
      <c r="M156" s="581">
        <v>0</v>
      </c>
      <c r="N156" s="632">
        <f t="shared" si="6"/>
        <v>1</v>
      </c>
      <c r="O156" s="633">
        <f t="shared" si="7"/>
        <v>0.25</v>
      </c>
      <c r="P156" s="634">
        <f t="shared" si="8"/>
        <v>4.348015131092656E-3</v>
      </c>
    </row>
    <row r="157" spans="1:16" s="635" customFormat="1">
      <c r="A157" s="684" t="s">
        <v>139</v>
      </c>
      <c r="B157" s="629"/>
      <c r="C157" s="581"/>
      <c r="D157" s="630"/>
      <c r="E157" s="630"/>
      <c r="F157" s="630"/>
      <c r="G157" s="631"/>
      <c r="H157" s="631"/>
      <c r="I157" s="631"/>
      <c r="J157" s="630">
        <v>0</v>
      </c>
      <c r="K157" s="581">
        <v>0</v>
      </c>
      <c r="L157" s="581">
        <v>0</v>
      </c>
      <c r="M157" s="581">
        <v>0</v>
      </c>
      <c r="N157" s="632">
        <f t="shared" si="6"/>
        <v>0</v>
      </c>
      <c r="O157" s="633">
        <f t="shared" si="7"/>
        <v>0</v>
      </c>
      <c r="P157" s="634">
        <f t="shared" si="8"/>
        <v>0</v>
      </c>
    </row>
    <row r="158" spans="1:16" s="635" customFormat="1">
      <c r="A158" s="684" t="s">
        <v>140</v>
      </c>
      <c r="B158" s="629"/>
      <c r="C158" s="581"/>
      <c r="D158" s="630"/>
      <c r="E158" s="630"/>
      <c r="F158" s="630"/>
      <c r="G158" s="631"/>
      <c r="H158" s="631"/>
      <c r="I158" s="631"/>
      <c r="J158" s="630">
        <v>0</v>
      </c>
      <c r="K158" s="581">
        <v>2</v>
      </c>
      <c r="L158" s="581">
        <v>7</v>
      </c>
      <c r="M158" s="581">
        <v>4</v>
      </c>
      <c r="N158" s="632">
        <f t="shared" si="6"/>
        <v>13</v>
      </c>
      <c r="O158" s="633">
        <f t="shared" si="7"/>
        <v>3.25</v>
      </c>
      <c r="P158" s="634">
        <f t="shared" si="8"/>
        <v>5.6524196704204527E-2</v>
      </c>
    </row>
    <row r="159" spans="1:16" s="635" customFormat="1">
      <c r="A159" s="684" t="s">
        <v>141</v>
      </c>
      <c r="B159" s="629"/>
      <c r="C159" s="581"/>
      <c r="D159" s="630"/>
      <c r="E159" s="630"/>
      <c r="F159" s="630"/>
      <c r="G159" s="631"/>
      <c r="H159" s="631"/>
      <c r="I159" s="631"/>
      <c r="J159" s="630">
        <v>195</v>
      </c>
      <c r="K159" s="581">
        <v>158</v>
      </c>
      <c r="L159" s="581">
        <v>108</v>
      </c>
      <c r="M159" s="581">
        <v>102</v>
      </c>
      <c r="N159" s="632">
        <f t="shared" si="6"/>
        <v>563</v>
      </c>
      <c r="O159" s="633">
        <f t="shared" si="7"/>
        <v>140.75</v>
      </c>
      <c r="P159" s="634">
        <f t="shared" si="8"/>
        <v>2.4479325188051653</v>
      </c>
    </row>
    <row r="160" spans="1:16" s="635" customFormat="1">
      <c r="A160" s="684" t="s">
        <v>438</v>
      </c>
      <c r="B160" s="629"/>
      <c r="C160" s="581"/>
      <c r="D160" s="630"/>
      <c r="E160" s="630"/>
      <c r="F160" s="630"/>
      <c r="G160" s="631"/>
      <c r="H160" s="631"/>
      <c r="I160" s="631"/>
      <c r="J160" s="630">
        <v>15</v>
      </c>
      <c r="K160" s="581">
        <v>22</v>
      </c>
      <c r="L160" s="581">
        <v>18</v>
      </c>
      <c r="M160" s="581">
        <v>21</v>
      </c>
      <c r="N160" s="632">
        <f t="shared" si="6"/>
        <v>76</v>
      </c>
      <c r="O160" s="633">
        <f t="shared" si="7"/>
        <v>19</v>
      </c>
      <c r="P160" s="634">
        <f t="shared" si="8"/>
        <v>0.33044914996304187</v>
      </c>
    </row>
    <row r="161" spans="1:16" s="635" customFormat="1">
      <c r="A161" s="684" t="s">
        <v>143</v>
      </c>
      <c r="B161" s="629"/>
      <c r="C161" s="581"/>
      <c r="D161" s="630"/>
      <c r="E161" s="630"/>
      <c r="F161" s="630"/>
      <c r="G161" s="631"/>
      <c r="H161" s="631"/>
      <c r="I161" s="631"/>
      <c r="J161" s="630">
        <v>1</v>
      </c>
      <c r="K161" s="581">
        <v>0</v>
      </c>
      <c r="L161" s="581">
        <v>0</v>
      </c>
      <c r="M161" s="581">
        <v>0</v>
      </c>
      <c r="N161" s="632">
        <f t="shared" si="6"/>
        <v>1</v>
      </c>
      <c r="O161" s="633">
        <f t="shared" si="7"/>
        <v>0.25</v>
      </c>
      <c r="P161" s="634">
        <f t="shared" si="8"/>
        <v>4.348015131092656E-3</v>
      </c>
    </row>
    <row r="162" spans="1:16" s="635" customFormat="1">
      <c r="A162" s="684" t="s">
        <v>142</v>
      </c>
      <c r="B162" s="629"/>
      <c r="C162" s="581"/>
      <c r="D162" s="630"/>
      <c r="E162" s="630"/>
      <c r="F162" s="630"/>
      <c r="G162" s="631"/>
      <c r="H162" s="631"/>
      <c r="I162" s="631"/>
      <c r="J162" s="630">
        <v>9</v>
      </c>
      <c r="K162" s="581">
        <v>4</v>
      </c>
      <c r="L162" s="581">
        <v>1</v>
      </c>
      <c r="M162" s="581">
        <v>11</v>
      </c>
      <c r="N162" s="632">
        <f t="shared" si="6"/>
        <v>25</v>
      </c>
      <c r="O162" s="633">
        <f t="shared" si="7"/>
        <v>6.25</v>
      </c>
      <c r="P162" s="634">
        <f t="shared" si="8"/>
        <v>0.10870037827731641</v>
      </c>
    </row>
    <row r="163" spans="1:16" s="635" customFormat="1">
      <c r="A163" s="683" t="s">
        <v>144</v>
      </c>
      <c r="B163" s="629"/>
      <c r="C163" s="581"/>
      <c r="D163" s="630"/>
      <c r="E163" s="630"/>
      <c r="F163" s="630"/>
      <c r="G163" s="631"/>
      <c r="H163" s="631"/>
      <c r="I163" s="631"/>
      <c r="J163" s="630">
        <v>314</v>
      </c>
      <c r="K163" s="581">
        <v>148</v>
      </c>
      <c r="L163" s="581">
        <v>252</v>
      </c>
      <c r="M163" s="581">
        <v>175</v>
      </c>
      <c r="N163" s="632">
        <f t="shared" si="6"/>
        <v>889</v>
      </c>
      <c r="O163" s="633">
        <f t="shared" si="7"/>
        <v>222.25</v>
      </c>
      <c r="P163" s="634">
        <f t="shared" si="8"/>
        <v>3.8653854515413713</v>
      </c>
    </row>
    <row r="164" spans="1:16" s="635" customFormat="1">
      <c r="A164" s="683" t="s">
        <v>461</v>
      </c>
      <c r="B164" s="629"/>
      <c r="C164" s="581"/>
      <c r="D164" s="630"/>
      <c r="E164" s="630"/>
      <c r="F164" s="630"/>
      <c r="G164" s="631"/>
      <c r="H164" s="631"/>
      <c r="I164" s="631"/>
      <c r="J164" s="630">
        <v>33</v>
      </c>
      <c r="K164" s="581">
        <v>192</v>
      </c>
      <c r="L164" s="581">
        <v>35</v>
      </c>
      <c r="M164" s="581">
        <v>45</v>
      </c>
      <c r="N164" s="632">
        <f t="shared" si="6"/>
        <v>305</v>
      </c>
      <c r="O164" s="633">
        <f t="shared" si="7"/>
        <v>76.25</v>
      </c>
      <c r="P164" s="634">
        <f t="shared" si="8"/>
        <v>1.3261446149832601</v>
      </c>
    </row>
    <row r="165" spans="1:16" s="635" customFormat="1">
      <c r="A165" s="683" t="s">
        <v>145</v>
      </c>
      <c r="B165" s="629"/>
      <c r="C165" s="581"/>
      <c r="D165" s="630"/>
      <c r="E165" s="630"/>
      <c r="F165" s="630"/>
      <c r="G165" s="631"/>
      <c r="H165" s="631"/>
      <c r="I165" s="631"/>
      <c r="J165" s="630">
        <v>0</v>
      </c>
      <c r="K165" s="581">
        <v>0</v>
      </c>
      <c r="L165" s="581">
        <v>0</v>
      </c>
      <c r="M165" s="581">
        <v>0</v>
      </c>
      <c r="N165" s="632">
        <f t="shared" si="6"/>
        <v>0</v>
      </c>
      <c r="O165" s="633">
        <f t="shared" si="7"/>
        <v>0</v>
      </c>
      <c r="P165" s="634">
        <f t="shared" si="8"/>
        <v>0</v>
      </c>
    </row>
    <row r="166" spans="1:16" s="635" customFormat="1">
      <c r="A166" s="684" t="s">
        <v>434</v>
      </c>
      <c r="B166" s="629"/>
      <c r="C166" s="581"/>
      <c r="D166" s="630"/>
      <c r="E166" s="630"/>
      <c r="F166" s="630"/>
      <c r="G166" s="631"/>
      <c r="H166" s="631"/>
      <c r="I166" s="631"/>
      <c r="J166" s="630">
        <v>11</v>
      </c>
      <c r="K166" s="581">
        <v>5</v>
      </c>
      <c r="L166" s="581">
        <v>3</v>
      </c>
      <c r="M166" s="581">
        <v>3</v>
      </c>
      <c r="N166" s="632">
        <f t="shared" si="6"/>
        <v>22</v>
      </c>
      <c r="O166" s="633">
        <f t="shared" si="7"/>
        <v>5.5</v>
      </c>
      <c r="P166" s="634">
        <f t="shared" si="8"/>
        <v>9.5656332884038436E-2</v>
      </c>
    </row>
    <row r="167" spans="1:16" s="635" customFormat="1">
      <c r="A167" s="684" t="s">
        <v>146</v>
      </c>
      <c r="B167" s="629"/>
      <c r="C167" s="581"/>
      <c r="D167" s="630"/>
      <c r="E167" s="630"/>
      <c r="F167" s="630"/>
      <c r="G167" s="631"/>
      <c r="H167" s="631"/>
      <c r="I167" s="631"/>
      <c r="J167" s="630">
        <v>18</v>
      </c>
      <c r="K167" s="581">
        <v>5</v>
      </c>
      <c r="L167" s="581">
        <v>17</v>
      </c>
      <c r="M167" s="581">
        <v>12</v>
      </c>
      <c r="N167" s="632">
        <f t="shared" si="6"/>
        <v>52</v>
      </c>
      <c r="O167" s="633">
        <f t="shared" si="7"/>
        <v>13</v>
      </c>
      <c r="P167" s="634">
        <f t="shared" si="8"/>
        <v>0.22609678681681811</v>
      </c>
    </row>
    <row r="168" spans="1:16" s="635" customFormat="1">
      <c r="A168" s="684" t="s">
        <v>147</v>
      </c>
      <c r="B168" s="629"/>
      <c r="C168" s="581"/>
      <c r="D168" s="630"/>
      <c r="E168" s="630"/>
      <c r="F168" s="630"/>
      <c r="G168" s="631"/>
      <c r="H168" s="631"/>
      <c r="I168" s="631"/>
      <c r="J168" s="630">
        <v>0</v>
      </c>
      <c r="K168" s="581">
        <v>0</v>
      </c>
      <c r="L168" s="581">
        <v>0</v>
      </c>
      <c r="M168" s="581">
        <v>2</v>
      </c>
      <c r="N168" s="632">
        <f t="shared" si="6"/>
        <v>2</v>
      </c>
      <c r="O168" s="633">
        <f t="shared" si="7"/>
        <v>0.5</v>
      </c>
      <c r="P168" s="634">
        <f t="shared" si="8"/>
        <v>8.6960302621853121E-3</v>
      </c>
    </row>
    <row r="169" spans="1:16" s="670" customFormat="1">
      <c r="A169" s="683" t="s">
        <v>148</v>
      </c>
      <c r="B169" s="669"/>
      <c r="C169" s="581"/>
      <c r="D169" s="631"/>
      <c r="E169" s="631"/>
      <c r="F169" s="631"/>
      <c r="G169" s="631"/>
      <c r="H169" s="631"/>
      <c r="I169" s="631"/>
      <c r="J169" s="631">
        <v>0</v>
      </c>
      <c r="K169" s="581">
        <v>4</v>
      </c>
      <c r="L169" s="581">
        <v>1</v>
      </c>
      <c r="M169" s="581">
        <v>4</v>
      </c>
      <c r="N169" s="632">
        <f t="shared" si="6"/>
        <v>9</v>
      </c>
      <c r="O169" s="633">
        <f t="shared" si="7"/>
        <v>2.25</v>
      </c>
      <c r="P169" s="634">
        <f t="shared" si="8"/>
        <v>3.9132136179833903E-2</v>
      </c>
    </row>
    <row r="170" spans="1:16" s="670" customFormat="1">
      <c r="A170" s="683" t="s">
        <v>454</v>
      </c>
      <c r="B170" s="669"/>
      <c r="C170" s="581"/>
      <c r="D170" s="631"/>
      <c r="E170" s="631"/>
      <c r="F170" s="631"/>
      <c r="G170" s="631"/>
      <c r="H170" s="631"/>
      <c r="I170" s="631"/>
      <c r="J170" s="631">
        <v>1</v>
      </c>
      <c r="K170" s="581">
        <v>1</v>
      </c>
      <c r="L170" s="581">
        <v>1</v>
      </c>
      <c r="M170" s="581">
        <v>3</v>
      </c>
      <c r="N170" s="632">
        <f t="shared" si="6"/>
        <v>6</v>
      </c>
      <c r="O170" s="633">
        <f t="shared" si="7"/>
        <v>1.5</v>
      </c>
      <c r="P170" s="634">
        <f t="shared" si="8"/>
        <v>2.6088090786555936E-2</v>
      </c>
    </row>
    <row r="171" spans="1:16" s="635" customFormat="1">
      <c r="A171" s="683" t="s">
        <v>430</v>
      </c>
      <c r="B171" s="669"/>
      <c r="C171" s="581"/>
      <c r="D171" s="631"/>
      <c r="E171" s="631"/>
      <c r="F171" s="631"/>
      <c r="G171" s="631"/>
      <c r="H171" s="631"/>
      <c r="I171" s="631"/>
      <c r="J171" s="631">
        <v>2</v>
      </c>
      <c r="K171" s="581">
        <v>0</v>
      </c>
      <c r="L171" s="581">
        <v>0</v>
      </c>
      <c r="M171" s="581">
        <v>2</v>
      </c>
      <c r="N171" s="632">
        <f t="shared" si="6"/>
        <v>4</v>
      </c>
      <c r="O171" s="633">
        <f t="shared" si="7"/>
        <v>1</v>
      </c>
      <c r="P171" s="634">
        <f t="shared" si="8"/>
        <v>1.7392060524370624E-2</v>
      </c>
    </row>
    <row r="172" spans="1:16" s="635" customFormat="1">
      <c r="A172" s="684" t="s">
        <v>149</v>
      </c>
      <c r="B172" s="629"/>
      <c r="C172" s="581"/>
      <c r="D172" s="630"/>
      <c r="E172" s="630"/>
      <c r="F172" s="630"/>
      <c r="G172" s="631"/>
      <c r="H172" s="631"/>
      <c r="I172" s="631"/>
      <c r="J172" s="630">
        <v>24</v>
      </c>
      <c r="K172" s="581">
        <v>12</v>
      </c>
      <c r="L172" s="581">
        <v>13</v>
      </c>
      <c r="M172" s="581">
        <v>21</v>
      </c>
      <c r="N172" s="632">
        <f t="shared" si="6"/>
        <v>70</v>
      </c>
      <c r="O172" s="633">
        <f t="shared" si="7"/>
        <v>17.5</v>
      </c>
      <c r="P172" s="634">
        <f t="shared" si="8"/>
        <v>0.30436105917648593</v>
      </c>
    </row>
    <row r="173" spans="1:16" s="635" customFormat="1">
      <c r="A173" s="684" t="s">
        <v>150</v>
      </c>
      <c r="B173" s="629"/>
      <c r="C173" s="581"/>
      <c r="D173" s="630"/>
      <c r="E173" s="630"/>
      <c r="F173" s="630"/>
      <c r="G173" s="631"/>
      <c r="H173" s="631"/>
      <c r="I173" s="631"/>
      <c r="J173" s="630">
        <v>0</v>
      </c>
      <c r="K173" s="581">
        <v>0</v>
      </c>
      <c r="L173" s="581">
        <v>0</v>
      </c>
      <c r="M173" s="581">
        <v>0</v>
      </c>
      <c r="N173" s="632">
        <f t="shared" si="6"/>
        <v>0</v>
      </c>
      <c r="O173" s="633">
        <f t="shared" si="7"/>
        <v>0</v>
      </c>
      <c r="P173" s="634">
        <f t="shared" si="8"/>
        <v>0</v>
      </c>
    </row>
    <row r="174" spans="1:16" s="635" customFormat="1">
      <c r="A174" s="684" t="s">
        <v>151</v>
      </c>
      <c r="B174" s="629"/>
      <c r="C174" s="581"/>
      <c r="D174" s="630"/>
      <c r="E174" s="630"/>
      <c r="F174" s="630"/>
      <c r="G174" s="631"/>
      <c r="H174" s="631"/>
      <c r="I174" s="631"/>
      <c r="J174" s="630">
        <v>0</v>
      </c>
      <c r="K174" s="581">
        <v>0</v>
      </c>
      <c r="L174" s="581">
        <v>0</v>
      </c>
      <c r="M174" s="581">
        <v>0</v>
      </c>
      <c r="N174" s="632">
        <f t="shared" si="6"/>
        <v>0</v>
      </c>
      <c r="O174" s="633">
        <f t="shared" si="7"/>
        <v>0</v>
      </c>
      <c r="P174" s="634">
        <f t="shared" si="8"/>
        <v>0</v>
      </c>
    </row>
    <row r="175" spans="1:16" s="635" customFormat="1">
      <c r="A175" s="684" t="s">
        <v>152</v>
      </c>
      <c r="B175" s="629"/>
      <c r="C175" s="581"/>
      <c r="D175" s="630"/>
      <c r="E175" s="630"/>
      <c r="F175" s="630"/>
      <c r="G175" s="631"/>
      <c r="H175" s="631"/>
      <c r="I175" s="631"/>
      <c r="J175" s="630">
        <v>13</v>
      </c>
      <c r="K175" s="581">
        <v>4</v>
      </c>
      <c r="L175" s="581">
        <v>4</v>
      </c>
      <c r="M175" s="581">
        <v>5</v>
      </c>
      <c r="N175" s="632">
        <f t="shared" si="6"/>
        <v>26</v>
      </c>
      <c r="O175" s="633">
        <f t="shared" si="7"/>
        <v>6.5</v>
      </c>
      <c r="P175" s="634">
        <f t="shared" si="8"/>
        <v>0.11304839340840905</v>
      </c>
    </row>
    <row r="176" spans="1:16" s="635" customFormat="1">
      <c r="A176" s="684" t="s">
        <v>153</v>
      </c>
      <c r="B176" s="629"/>
      <c r="C176" s="581"/>
      <c r="D176" s="630"/>
      <c r="E176" s="630"/>
      <c r="F176" s="630"/>
      <c r="G176" s="631"/>
      <c r="H176" s="631"/>
      <c r="I176" s="631"/>
      <c r="J176" s="630">
        <v>236</v>
      </c>
      <c r="K176" s="581">
        <v>184</v>
      </c>
      <c r="L176" s="581">
        <v>180</v>
      </c>
      <c r="M176" s="581">
        <v>174</v>
      </c>
      <c r="N176" s="632">
        <f t="shared" si="6"/>
        <v>774</v>
      </c>
      <c r="O176" s="633">
        <f t="shared" si="7"/>
        <v>193.5</v>
      </c>
      <c r="P176" s="634">
        <f t="shared" si="8"/>
        <v>3.365363711465716</v>
      </c>
    </row>
    <row r="177" spans="1:16" s="635" customFormat="1">
      <c r="A177" s="684" t="s">
        <v>154</v>
      </c>
      <c r="B177" s="629"/>
      <c r="C177" s="581"/>
      <c r="D177" s="630"/>
      <c r="E177" s="630"/>
      <c r="F177" s="630"/>
      <c r="G177" s="631"/>
      <c r="H177" s="631"/>
      <c r="I177" s="631"/>
      <c r="J177" s="630">
        <v>139</v>
      </c>
      <c r="K177" s="581">
        <v>138</v>
      </c>
      <c r="L177" s="581">
        <v>97</v>
      </c>
      <c r="M177" s="581">
        <v>124</v>
      </c>
      <c r="N177" s="632">
        <f t="shared" si="6"/>
        <v>498</v>
      </c>
      <c r="O177" s="633">
        <f t="shared" si="7"/>
        <v>124.5</v>
      </c>
      <c r="P177" s="634">
        <f t="shared" si="8"/>
        <v>2.1653115352841428</v>
      </c>
    </row>
    <row r="178" spans="1:16" s="635" customFormat="1">
      <c r="A178" s="683" t="s">
        <v>155</v>
      </c>
      <c r="B178" s="629"/>
      <c r="C178" s="581"/>
      <c r="D178" s="630"/>
      <c r="E178" s="630"/>
      <c r="F178" s="630"/>
      <c r="G178" s="631"/>
      <c r="H178" s="631"/>
      <c r="I178" s="631"/>
      <c r="J178" s="630">
        <v>36</v>
      </c>
      <c r="K178" s="581">
        <v>32</v>
      </c>
      <c r="L178" s="581">
        <v>18</v>
      </c>
      <c r="M178" s="581">
        <v>28</v>
      </c>
      <c r="N178" s="632">
        <f t="shared" si="6"/>
        <v>114</v>
      </c>
      <c r="O178" s="633">
        <f t="shared" si="7"/>
        <v>28.5</v>
      </c>
      <c r="P178" s="634">
        <f t="shared" si="8"/>
        <v>0.49567372494456285</v>
      </c>
    </row>
    <row r="179" spans="1:16" s="635" customFormat="1">
      <c r="A179" s="684" t="s">
        <v>156</v>
      </c>
      <c r="B179" s="629"/>
      <c r="C179" s="581"/>
      <c r="D179" s="630"/>
      <c r="E179" s="630"/>
      <c r="F179" s="630"/>
      <c r="G179" s="631"/>
      <c r="H179" s="631"/>
      <c r="I179" s="631"/>
      <c r="J179" s="630">
        <v>11</v>
      </c>
      <c r="K179" s="581">
        <v>7</v>
      </c>
      <c r="L179" s="581">
        <v>11</v>
      </c>
      <c r="M179" s="581">
        <v>13</v>
      </c>
      <c r="N179" s="632">
        <f t="shared" si="6"/>
        <v>42</v>
      </c>
      <c r="O179" s="633">
        <f t="shared" si="7"/>
        <v>10.5</v>
      </c>
      <c r="P179" s="634">
        <f t="shared" si="8"/>
        <v>0.18261663550589155</v>
      </c>
    </row>
    <row r="180" spans="1:16" s="635" customFormat="1">
      <c r="A180" s="684" t="s">
        <v>157</v>
      </c>
      <c r="B180" s="629"/>
      <c r="C180" s="581"/>
      <c r="D180" s="630"/>
      <c r="E180" s="630"/>
      <c r="F180" s="630"/>
      <c r="G180" s="631"/>
      <c r="H180" s="631"/>
      <c r="I180" s="631"/>
      <c r="J180" s="630">
        <v>23</v>
      </c>
      <c r="K180" s="581">
        <v>34</v>
      </c>
      <c r="L180" s="581">
        <v>24</v>
      </c>
      <c r="M180" s="581">
        <v>26</v>
      </c>
      <c r="N180" s="632">
        <f t="shared" si="6"/>
        <v>107</v>
      </c>
      <c r="O180" s="633">
        <f t="shared" si="7"/>
        <v>26.75</v>
      </c>
      <c r="P180" s="634">
        <f t="shared" si="8"/>
        <v>0.46523761902691424</v>
      </c>
    </row>
    <row r="181" spans="1:16" s="635" customFormat="1">
      <c r="A181" s="684" t="s">
        <v>158</v>
      </c>
      <c r="B181" s="629"/>
      <c r="C181" s="581"/>
      <c r="D181" s="630"/>
      <c r="E181" s="630"/>
      <c r="F181" s="630"/>
      <c r="G181" s="631"/>
      <c r="H181" s="631"/>
      <c r="I181" s="631"/>
      <c r="J181" s="630">
        <v>1</v>
      </c>
      <c r="K181" s="581">
        <v>3</v>
      </c>
      <c r="L181" s="581">
        <v>3</v>
      </c>
      <c r="M181" s="581">
        <v>0</v>
      </c>
      <c r="N181" s="632">
        <f t="shared" si="6"/>
        <v>7</v>
      </c>
      <c r="O181" s="633">
        <f t="shared" si="7"/>
        <v>1.75</v>
      </c>
      <c r="P181" s="634">
        <f t="shared" si="8"/>
        <v>3.0436105917648594E-2</v>
      </c>
    </row>
    <row r="182" spans="1:16" s="635" customFormat="1">
      <c r="A182" s="683" t="s">
        <v>159</v>
      </c>
      <c r="B182" s="629"/>
      <c r="C182" s="581"/>
      <c r="D182" s="630"/>
      <c r="E182" s="630"/>
      <c r="F182" s="630"/>
      <c r="G182" s="631"/>
      <c r="H182" s="631"/>
      <c r="I182" s="631"/>
      <c r="J182" s="630">
        <v>167</v>
      </c>
      <c r="K182" s="581">
        <v>182</v>
      </c>
      <c r="L182" s="581">
        <v>198</v>
      </c>
      <c r="M182" s="581">
        <v>212</v>
      </c>
      <c r="N182" s="632">
        <f t="shared" si="6"/>
        <v>759</v>
      </c>
      <c r="O182" s="633">
        <f t="shared" si="7"/>
        <v>189.75</v>
      </c>
      <c r="P182" s="634">
        <f t="shared" si="8"/>
        <v>3.3001434844993258</v>
      </c>
    </row>
    <row r="183" spans="1:16" s="635" customFormat="1">
      <c r="A183" s="684" t="s">
        <v>436</v>
      </c>
      <c r="B183" s="629"/>
      <c r="C183" s="581"/>
      <c r="D183" s="630"/>
      <c r="E183" s="630"/>
      <c r="F183" s="630"/>
      <c r="G183" s="631"/>
      <c r="H183" s="631"/>
      <c r="I183" s="631"/>
      <c r="J183" s="630">
        <v>1</v>
      </c>
      <c r="K183" s="581">
        <v>0</v>
      </c>
      <c r="L183" s="581">
        <v>0</v>
      </c>
      <c r="M183" s="581">
        <v>0</v>
      </c>
      <c r="N183" s="632">
        <f t="shared" si="6"/>
        <v>1</v>
      </c>
      <c r="O183" s="633">
        <f t="shared" si="7"/>
        <v>0.25</v>
      </c>
      <c r="P183" s="634">
        <f t="shared" si="8"/>
        <v>4.348015131092656E-3</v>
      </c>
    </row>
    <row r="184" spans="1:16" s="635" customFormat="1">
      <c r="A184" s="684" t="s">
        <v>160</v>
      </c>
      <c r="B184" s="629"/>
      <c r="C184" s="581"/>
      <c r="D184" s="630"/>
      <c r="E184" s="630"/>
      <c r="F184" s="630"/>
      <c r="G184" s="631"/>
      <c r="H184" s="631"/>
      <c r="I184" s="631"/>
      <c r="J184" s="630">
        <v>0</v>
      </c>
      <c r="K184" s="581">
        <v>0</v>
      </c>
      <c r="L184" s="581">
        <v>0</v>
      </c>
      <c r="M184" s="581">
        <v>0</v>
      </c>
      <c r="N184" s="632">
        <f t="shared" si="6"/>
        <v>0</v>
      </c>
      <c r="O184" s="633">
        <f t="shared" si="7"/>
        <v>0</v>
      </c>
      <c r="P184" s="634">
        <f t="shared" si="8"/>
        <v>0</v>
      </c>
    </row>
    <row r="185" spans="1:16" s="635" customFormat="1">
      <c r="A185" s="683" t="s">
        <v>161</v>
      </c>
      <c r="B185" s="629"/>
      <c r="C185" s="581"/>
      <c r="D185" s="630"/>
      <c r="E185" s="630"/>
      <c r="F185" s="630"/>
      <c r="G185" s="631"/>
      <c r="H185" s="631"/>
      <c r="I185" s="631"/>
      <c r="J185" s="630">
        <v>52</v>
      </c>
      <c r="K185" s="581">
        <v>20</v>
      </c>
      <c r="L185" s="581">
        <v>15</v>
      </c>
      <c r="M185" s="581">
        <v>9</v>
      </c>
      <c r="N185" s="632">
        <f t="shared" si="6"/>
        <v>96</v>
      </c>
      <c r="O185" s="633">
        <f t="shared" si="7"/>
        <v>24</v>
      </c>
      <c r="P185" s="634">
        <f t="shared" si="8"/>
        <v>0.41740945258489498</v>
      </c>
    </row>
    <row r="186" spans="1:16" s="635" customFormat="1">
      <c r="A186" s="683" t="s">
        <v>162</v>
      </c>
      <c r="B186" s="629"/>
      <c r="C186" s="581"/>
      <c r="D186" s="630"/>
      <c r="E186" s="630"/>
      <c r="F186" s="630"/>
      <c r="G186" s="631"/>
      <c r="H186" s="631"/>
      <c r="I186" s="631"/>
      <c r="J186" s="630">
        <v>0</v>
      </c>
      <c r="K186" s="581">
        <v>0</v>
      </c>
      <c r="L186" s="581">
        <v>0</v>
      </c>
      <c r="M186" s="581">
        <v>0</v>
      </c>
      <c r="N186" s="632">
        <f t="shared" si="6"/>
        <v>0</v>
      </c>
      <c r="O186" s="633">
        <f t="shared" si="7"/>
        <v>0</v>
      </c>
      <c r="P186" s="634">
        <f t="shared" si="8"/>
        <v>0</v>
      </c>
    </row>
    <row r="187" spans="1:16" s="635" customFormat="1">
      <c r="A187" s="683" t="s">
        <v>163</v>
      </c>
      <c r="B187" s="629"/>
      <c r="C187" s="581"/>
      <c r="D187" s="630"/>
      <c r="E187" s="630"/>
      <c r="F187" s="630"/>
      <c r="G187" s="631"/>
      <c r="H187" s="631"/>
      <c r="I187" s="631"/>
      <c r="J187" s="630">
        <v>0</v>
      </c>
      <c r="K187" s="581">
        <v>0</v>
      </c>
      <c r="L187" s="581">
        <v>2</v>
      </c>
      <c r="M187" s="581">
        <v>1</v>
      </c>
      <c r="N187" s="632">
        <f t="shared" si="6"/>
        <v>3</v>
      </c>
      <c r="O187" s="633">
        <f t="shared" si="7"/>
        <v>0.75</v>
      </c>
      <c r="P187" s="634">
        <f t="shared" si="8"/>
        <v>1.3044045393277968E-2</v>
      </c>
    </row>
    <row r="188" spans="1:16" s="635" customFormat="1" ht="14.25" customHeight="1">
      <c r="A188" s="684" t="s">
        <v>164</v>
      </c>
      <c r="B188" s="629"/>
      <c r="C188" s="581"/>
      <c r="D188" s="630"/>
      <c r="E188" s="630"/>
      <c r="F188" s="630"/>
      <c r="G188" s="631"/>
      <c r="H188" s="631"/>
      <c r="I188" s="631"/>
      <c r="J188" s="630">
        <v>0</v>
      </c>
      <c r="K188" s="581">
        <v>1</v>
      </c>
      <c r="L188" s="581">
        <v>4</v>
      </c>
      <c r="M188" s="581">
        <v>10</v>
      </c>
      <c r="N188" s="632">
        <f t="shared" si="6"/>
        <v>15</v>
      </c>
      <c r="O188" s="633">
        <f t="shared" si="7"/>
        <v>3.75</v>
      </c>
      <c r="P188" s="634">
        <f t="shared" si="8"/>
        <v>6.5220226966389849E-2</v>
      </c>
    </row>
    <row r="189" spans="1:16" s="635" customFormat="1">
      <c r="A189" s="684" t="s">
        <v>165</v>
      </c>
      <c r="B189" s="629"/>
      <c r="C189" s="581"/>
      <c r="D189" s="630"/>
      <c r="E189" s="630"/>
      <c r="F189" s="630"/>
      <c r="G189" s="631"/>
      <c r="H189" s="631"/>
      <c r="I189" s="631"/>
      <c r="J189" s="630">
        <v>0</v>
      </c>
      <c r="K189" s="581">
        <v>0</v>
      </c>
      <c r="L189" s="581">
        <v>0</v>
      </c>
      <c r="M189" s="581">
        <v>0</v>
      </c>
      <c r="N189" s="632">
        <f t="shared" si="6"/>
        <v>0</v>
      </c>
      <c r="O189" s="633">
        <f t="shared" si="7"/>
        <v>0</v>
      </c>
      <c r="P189" s="634">
        <f t="shared" si="8"/>
        <v>0</v>
      </c>
    </row>
    <row r="190" spans="1:16" s="635" customFormat="1">
      <c r="A190" s="684" t="s">
        <v>166</v>
      </c>
      <c r="B190" s="629"/>
      <c r="C190" s="581"/>
      <c r="D190" s="630"/>
      <c r="E190" s="630"/>
      <c r="F190" s="630"/>
      <c r="G190" s="631"/>
      <c r="H190" s="631"/>
      <c r="I190" s="631"/>
      <c r="J190" s="630">
        <v>0</v>
      </c>
      <c r="K190" s="581">
        <v>1</v>
      </c>
      <c r="L190" s="581">
        <v>0</v>
      </c>
      <c r="M190" s="581">
        <v>0</v>
      </c>
      <c r="N190" s="632">
        <f t="shared" si="6"/>
        <v>1</v>
      </c>
      <c r="O190" s="633">
        <f t="shared" si="7"/>
        <v>0.25</v>
      </c>
      <c r="P190" s="634">
        <f t="shared" si="8"/>
        <v>4.348015131092656E-3</v>
      </c>
    </row>
    <row r="191" spans="1:16" s="635" customFormat="1">
      <c r="A191" s="684" t="s">
        <v>167</v>
      </c>
      <c r="B191" s="629"/>
      <c r="C191" s="581"/>
      <c r="D191" s="630"/>
      <c r="E191" s="630"/>
      <c r="F191" s="630"/>
      <c r="G191" s="631"/>
      <c r="H191" s="631"/>
      <c r="I191" s="631"/>
      <c r="J191" s="630">
        <v>12</v>
      </c>
      <c r="K191" s="581">
        <v>8</v>
      </c>
      <c r="L191" s="581">
        <v>6</v>
      </c>
      <c r="M191" s="581">
        <v>16</v>
      </c>
      <c r="N191" s="632">
        <f t="shared" si="6"/>
        <v>42</v>
      </c>
      <c r="O191" s="633">
        <f t="shared" si="7"/>
        <v>10.5</v>
      </c>
      <c r="P191" s="634">
        <f t="shared" si="8"/>
        <v>0.18261663550589155</v>
      </c>
    </row>
    <row r="192" spans="1:16" s="635" customFormat="1">
      <c r="A192" s="683" t="s">
        <v>168</v>
      </c>
      <c r="B192" s="629"/>
      <c r="C192" s="581"/>
      <c r="D192" s="630"/>
      <c r="E192" s="630"/>
      <c r="F192" s="630"/>
      <c r="G192" s="631"/>
      <c r="H192" s="631"/>
      <c r="I192" s="631"/>
      <c r="J192" s="630">
        <v>266</v>
      </c>
      <c r="K192" s="581">
        <v>169</v>
      </c>
      <c r="L192" s="581">
        <v>172</v>
      </c>
      <c r="M192" s="581">
        <v>197</v>
      </c>
      <c r="N192" s="632">
        <f t="shared" si="6"/>
        <v>804</v>
      </c>
      <c r="O192" s="633">
        <f t="shared" si="7"/>
        <v>201</v>
      </c>
      <c r="P192" s="634">
        <f t="shared" si="8"/>
        <v>3.4958041653984959</v>
      </c>
    </row>
    <row r="193" spans="1:16" s="635" customFormat="1">
      <c r="A193" s="683" t="s">
        <v>462</v>
      </c>
      <c r="B193" s="629"/>
      <c r="C193" s="581"/>
      <c r="D193" s="630"/>
      <c r="E193" s="630"/>
      <c r="F193" s="630"/>
      <c r="G193" s="631"/>
      <c r="H193" s="631"/>
      <c r="I193" s="631"/>
      <c r="J193" s="630">
        <v>0</v>
      </c>
      <c r="K193" s="581">
        <v>0</v>
      </c>
      <c r="L193" s="581">
        <v>0</v>
      </c>
      <c r="M193" s="581">
        <v>0</v>
      </c>
      <c r="N193" s="632">
        <f t="shared" si="6"/>
        <v>0</v>
      </c>
      <c r="O193" s="633">
        <f t="shared" si="7"/>
        <v>0</v>
      </c>
      <c r="P193" s="634">
        <f t="shared" si="8"/>
        <v>0</v>
      </c>
    </row>
    <row r="194" spans="1:16" s="635" customFormat="1">
      <c r="A194" s="683" t="s">
        <v>480</v>
      </c>
      <c r="B194" s="629"/>
      <c r="C194" s="581"/>
      <c r="D194" s="630"/>
      <c r="E194" s="630"/>
      <c r="F194" s="630"/>
      <c r="G194" s="631"/>
      <c r="H194" s="631"/>
      <c r="I194" s="631"/>
      <c r="J194" s="630">
        <v>0</v>
      </c>
      <c r="K194" s="581">
        <v>1</v>
      </c>
      <c r="L194" s="581">
        <v>0</v>
      </c>
      <c r="M194" s="581">
        <v>1</v>
      </c>
      <c r="N194" s="632">
        <f t="shared" si="6"/>
        <v>2</v>
      </c>
      <c r="O194" s="633">
        <f t="shared" si="7"/>
        <v>0.5</v>
      </c>
      <c r="P194" s="634">
        <f t="shared" si="8"/>
        <v>8.6960302621853121E-3</v>
      </c>
    </row>
    <row r="195" spans="1:16" s="635" customFormat="1">
      <c r="A195" s="684" t="s">
        <v>169</v>
      </c>
      <c r="B195" s="629"/>
      <c r="C195" s="581"/>
      <c r="D195" s="630"/>
      <c r="E195" s="630"/>
      <c r="F195" s="630"/>
      <c r="G195" s="631"/>
      <c r="H195" s="631"/>
      <c r="I195" s="631"/>
      <c r="J195" s="630">
        <v>0</v>
      </c>
      <c r="K195" s="581">
        <v>0</v>
      </c>
      <c r="L195" s="581">
        <v>0</v>
      </c>
      <c r="M195" s="581">
        <v>0</v>
      </c>
      <c r="N195" s="632">
        <f t="shared" si="6"/>
        <v>0</v>
      </c>
      <c r="O195" s="633">
        <f t="shared" si="7"/>
        <v>0</v>
      </c>
      <c r="P195" s="634">
        <f t="shared" si="8"/>
        <v>0</v>
      </c>
    </row>
    <row r="196" spans="1:16" s="635" customFormat="1">
      <c r="A196" s="684" t="s">
        <v>170</v>
      </c>
      <c r="B196" s="629"/>
      <c r="C196" s="581"/>
      <c r="D196" s="630"/>
      <c r="E196" s="630"/>
      <c r="F196" s="630"/>
      <c r="G196" s="631"/>
      <c r="H196" s="631"/>
      <c r="I196" s="631"/>
      <c r="J196" s="630">
        <v>0</v>
      </c>
      <c r="K196" s="581">
        <v>0</v>
      </c>
      <c r="L196" s="581">
        <v>0</v>
      </c>
      <c r="M196" s="581">
        <v>0</v>
      </c>
      <c r="N196" s="632">
        <f t="shared" si="6"/>
        <v>0</v>
      </c>
      <c r="O196" s="633">
        <f t="shared" si="7"/>
        <v>0</v>
      </c>
      <c r="P196" s="634">
        <f t="shared" si="8"/>
        <v>0</v>
      </c>
    </row>
    <row r="197" spans="1:16" s="635" customFormat="1">
      <c r="A197" s="683" t="s">
        <v>435</v>
      </c>
      <c r="B197" s="629"/>
      <c r="C197" s="581"/>
      <c r="D197" s="630"/>
      <c r="E197" s="630"/>
      <c r="F197" s="630"/>
      <c r="G197" s="631"/>
      <c r="H197" s="631"/>
      <c r="I197" s="631"/>
      <c r="J197" s="630">
        <v>1</v>
      </c>
      <c r="K197" s="581">
        <v>6</v>
      </c>
      <c r="L197" s="581">
        <v>16</v>
      </c>
      <c r="M197" s="581">
        <v>12</v>
      </c>
      <c r="N197" s="632">
        <f t="shared" si="6"/>
        <v>35</v>
      </c>
      <c r="O197" s="633">
        <f t="shared" si="7"/>
        <v>8.75</v>
      </c>
      <c r="P197" s="634">
        <f t="shared" si="8"/>
        <v>0.15218052958824296</v>
      </c>
    </row>
    <row r="198" spans="1:16" s="635" customFormat="1">
      <c r="A198" s="684" t="s">
        <v>171</v>
      </c>
      <c r="B198" s="629"/>
      <c r="C198" s="581"/>
      <c r="D198" s="630"/>
      <c r="E198" s="630"/>
      <c r="F198" s="630"/>
      <c r="G198" s="631"/>
      <c r="H198" s="631"/>
      <c r="I198" s="631"/>
      <c r="J198" s="630">
        <v>3</v>
      </c>
      <c r="K198" s="581">
        <v>4</v>
      </c>
      <c r="L198" s="581">
        <v>4</v>
      </c>
      <c r="M198" s="581">
        <v>2</v>
      </c>
      <c r="N198" s="632">
        <f t="shared" si="6"/>
        <v>13</v>
      </c>
      <c r="O198" s="633">
        <f t="shared" si="7"/>
        <v>3.25</v>
      </c>
      <c r="P198" s="634">
        <f t="shared" si="8"/>
        <v>5.6524196704204527E-2</v>
      </c>
    </row>
    <row r="199" spans="1:16" s="635" customFormat="1">
      <c r="A199" s="683" t="s">
        <v>172</v>
      </c>
      <c r="B199" s="629"/>
      <c r="C199" s="581"/>
      <c r="D199" s="630"/>
      <c r="E199" s="630"/>
      <c r="F199" s="630"/>
      <c r="G199" s="631"/>
      <c r="H199" s="631"/>
      <c r="I199" s="631"/>
      <c r="J199" s="630">
        <v>0</v>
      </c>
      <c r="K199" s="581">
        <v>0</v>
      </c>
      <c r="L199" s="581">
        <v>0</v>
      </c>
      <c r="M199" s="581">
        <v>0</v>
      </c>
      <c r="N199" s="632">
        <f t="shared" si="6"/>
        <v>0</v>
      </c>
      <c r="O199" s="633">
        <f t="shared" si="7"/>
        <v>0</v>
      </c>
      <c r="P199" s="634">
        <f t="shared" si="8"/>
        <v>0</v>
      </c>
    </row>
    <row r="200" spans="1:16" s="635" customFormat="1">
      <c r="A200" s="684" t="s">
        <v>173</v>
      </c>
      <c r="B200" s="629"/>
      <c r="C200" s="581"/>
      <c r="D200" s="630"/>
      <c r="E200" s="630"/>
      <c r="F200" s="630"/>
      <c r="G200" s="631"/>
      <c r="H200" s="631"/>
      <c r="I200" s="631"/>
      <c r="J200" s="630">
        <v>13</v>
      </c>
      <c r="K200" s="581">
        <v>17</v>
      </c>
      <c r="L200" s="581">
        <v>35</v>
      </c>
      <c r="M200" s="581">
        <v>35</v>
      </c>
      <c r="N200" s="632">
        <f t="shared" si="6"/>
        <v>100</v>
      </c>
      <c r="O200" s="633">
        <f t="shared" si="7"/>
        <v>25</v>
      </c>
      <c r="P200" s="634">
        <f t="shared" si="8"/>
        <v>0.43480151310926562</v>
      </c>
    </row>
    <row r="201" spans="1:16" s="635" customFormat="1">
      <c r="A201" s="684" t="s">
        <v>174</v>
      </c>
      <c r="B201" s="629"/>
      <c r="C201" s="581"/>
      <c r="D201" s="630"/>
      <c r="E201" s="630"/>
      <c r="F201" s="630"/>
      <c r="G201" s="631"/>
      <c r="H201" s="631"/>
      <c r="I201" s="631"/>
      <c r="J201" s="630">
        <v>0</v>
      </c>
      <c r="K201" s="581">
        <v>0</v>
      </c>
      <c r="L201" s="581">
        <v>0</v>
      </c>
      <c r="M201" s="581">
        <v>0</v>
      </c>
      <c r="N201" s="632">
        <f t="shared" ref="N201:N238" si="9">SUM(B201:M201)</f>
        <v>0</v>
      </c>
      <c r="O201" s="633">
        <f t="shared" ref="O201:O238" si="10">AVERAGE(B201:M201)</f>
        <v>0</v>
      </c>
      <c r="P201" s="634">
        <f t="shared" ref="P201:P238" si="11">(N201/$N$238)*100</f>
        <v>0</v>
      </c>
    </row>
    <row r="202" spans="1:16" s="635" customFormat="1">
      <c r="A202" s="684" t="s">
        <v>175</v>
      </c>
      <c r="B202" s="629"/>
      <c r="C202" s="581"/>
      <c r="D202" s="630"/>
      <c r="E202" s="630"/>
      <c r="F202" s="630"/>
      <c r="G202" s="631"/>
      <c r="H202" s="631"/>
      <c r="I202" s="631"/>
      <c r="J202" s="630">
        <v>0</v>
      </c>
      <c r="K202" s="581">
        <v>0</v>
      </c>
      <c r="L202" s="581">
        <v>0</v>
      </c>
      <c r="M202" s="581">
        <v>0</v>
      </c>
      <c r="N202" s="632">
        <f t="shared" si="9"/>
        <v>0</v>
      </c>
      <c r="O202" s="633">
        <f t="shared" si="10"/>
        <v>0</v>
      </c>
      <c r="P202" s="634">
        <f t="shared" si="11"/>
        <v>0</v>
      </c>
    </row>
    <row r="203" spans="1:16" s="635" customFormat="1">
      <c r="A203" s="684" t="s">
        <v>513</v>
      </c>
      <c r="B203" s="629"/>
      <c r="C203" s="581"/>
      <c r="D203" s="630"/>
      <c r="E203" s="630"/>
      <c r="F203" s="630"/>
      <c r="G203" s="631"/>
      <c r="H203" s="631"/>
      <c r="I203" s="631"/>
      <c r="J203" s="630">
        <v>1</v>
      </c>
      <c r="K203" s="581">
        <v>0</v>
      </c>
      <c r="L203" s="581">
        <v>0</v>
      </c>
      <c r="M203" s="581">
        <v>0</v>
      </c>
      <c r="N203" s="632">
        <f t="shared" si="9"/>
        <v>1</v>
      </c>
      <c r="O203" s="633">
        <f t="shared" si="10"/>
        <v>0.25</v>
      </c>
      <c r="P203" s="634">
        <f t="shared" si="11"/>
        <v>4.348015131092656E-3</v>
      </c>
    </row>
    <row r="204" spans="1:16" s="635" customFormat="1">
      <c r="A204" s="684" t="s">
        <v>176</v>
      </c>
      <c r="B204" s="629"/>
      <c r="C204" s="581"/>
      <c r="D204" s="630"/>
      <c r="E204" s="630"/>
      <c r="F204" s="630"/>
      <c r="G204" s="631"/>
      <c r="H204" s="631"/>
      <c r="I204" s="631"/>
      <c r="J204" s="630">
        <v>19</v>
      </c>
      <c r="K204" s="581">
        <v>16</v>
      </c>
      <c r="L204" s="581">
        <v>14</v>
      </c>
      <c r="M204" s="581">
        <v>23</v>
      </c>
      <c r="N204" s="632">
        <f t="shared" si="9"/>
        <v>72</v>
      </c>
      <c r="O204" s="633">
        <f t="shared" si="10"/>
        <v>18</v>
      </c>
      <c r="P204" s="634">
        <f t="shared" si="11"/>
        <v>0.31305708943867122</v>
      </c>
    </row>
    <row r="205" spans="1:16" s="635" customFormat="1">
      <c r="A205" s="684" t="s">
        <v>463</v>
      </c>
      <c r="B205" s="629"/>
      <c r="C205" s="581"/>
      <c r="D205" s="630"/>
      <c r="E205" s="630"/>
      <c r="F205" s="630"/>
      <c r="G205" s="631"/>
      <c r="H205" s="631"/>
      <c r="I205" s="631"/>
      <c r="J205" s="630">
        <v>0</v>
      </c>
      <c r="K205" s="581">
        <v>0</v>
      </c>
      <c r="L205" s="581">
        <v>0</v>
      </c>
      <c r="M205" s="581">
        <v>1</v>
      </c>
      <c r="N205" s="632">
        <f t="shared" si="9"/>
        <v>1</v>
      </c>
      <c r="O205" s="633">
        <f t="shared" si="10"/>
        <v>0.25</v>
      </c>
      <c r="P205" s="634">
        <f t="shared" si="11"/>
        <v>4.348015131092656E-3</v>
      </c>
    </row>
    <row r="206" spans="1:16" s="635" customFormat="1">
      <c r="A206" s="684" t="s">
        <v>177</v>
      </c>
      <c r="B206" s="629"/>
      <c r="C206" s="581"/>
      <c r="D206" s="630"/>
      <c r="E206" s="630"/>
      <c r="F206" s="630"/>
      <c r="G206" s="631"/>
      <c r="H206" s="631"/>
      <c r="I206" s="631"/>
      <c r="J206" s="630">
        <v>23</v>
      </c>
      <c r="K206" s="581">
        <v>15</v>
      </c>
      <c r="L206" s="581">
        <v>16</v>
      </c>
      <c r="M206" s="581">
        <v>20</v>
      </c>
      <c r="N206" s="632">
        <f t="shared" si="9"/>
        <v>74</v>
      </c>
      <c r="O206" s="633">
        <f t="shared" si="10"/>
        <v>18.5</v>
      </c>
      <c r="P206" s="634">
        <f t="shared" si="11"/>
        <v>0.32175311970085657</v>
      </c>
    </row>
    <row r="207" spans="1:16" s="635" customFormat="1">
      <c r="A207" s="683" t="s">
        <v>178</v>
      </c>
      <c r="B207" s="629"/>
      <c r="C207" s="581"/>
      <c r="D207" s="630"/>
      <c r="E207" s="630"/>
      <c r="F207" s="630"/>
      <c r="G207" s="631"/>
      <c r="H207" s="631"/>
      <c r="I207" s="631"/>
      <c r="J207" s="630">
        <v>6</v>
      </c>
      <c r="K207" s="581">
        <v>1</v>
      </c>
      <c r="L207" s="581">
        <v>0</v>
      </c>
      <c r="M207" s="581">
        <v>2</v>
      </c>
      <c r="N207" s="632">
        <f t="shared" si="9"/>
        <v>9</v>
      </c>
      <c r="O207" s="633">
        <f t="shared" si="10"/>
        <v>2.25</v>
      </c>
      <c r="P207" s="634">
        <f t="shared" si="11"/>
        <v>3.9132136179833903E-2</v>
      </c>
    </row>
    <row r="208" spans="1:16" s="635" customFormat="1">
      <c r="A208" s="683" t="s">
        <v>464</v>
      </c>
      <c r="B208" s="629"/>
      <c r="C208" s="581"/>
      <c r="D208" s="630"/>
      <c r="E208" s="630"/>
      <c r="F208" s="630"/>
      <c r="G208" s="631"/>
      <c r="H208" s="631"/>
      <c r="I208" s="631"/>
      <c r="J208" s="630">
        <v>5</v>
      </c>
      <c r="K208" s="581">
        <v>3</v>
      </c>
      <c r="L208" s="581">
        <v>0</v>
      </c>
      <c r="M208" s="581">
        <v>0</v>
      </c>
      <c r="N208" s="632">
        <f t="shared" si="9"/>
        <v>8</v>
      </c>
      <c r="O208" s="633">
        <f t="shared" si="10"/>
        <v>2</v>
      </c>
      <c r="P208" s="634">
        <f t="shared" si="11"/>
        <v>3.4784121048741248E-2</v>
      </c>
    </row>
    <row r="209" spans="1:16" s="635" customFormat="1">
      <c r="A209" s="683" t="s">
        <v>469</v>
      </c>
      <c r="B209" s="629"/>
      <c r="C209" s="581"/>
      <c r="D209" s="630"/>
      <c r="E209" s="630"/>
      <c r="F209" s="630"/>
      <c r="G209" s="631"/>
      <c r="H209" s="631"/>
      <c r="I209" s="631"/>
      <c r="J209" s="630">
        <v>0</v>
      </c>
      <c r="K209" s="581">
        <v>0</v>
      </c>
      <c r="L209" s="581">
        <v>0</v>
      </c>
      <c r="M209" s="581">
        <v>0</v>
      </c>
      <c r="N209" s="632">
        <f t="shared" si="9"/>
        <v>0</v>
      </c>
      <c r="O209" s="633">
        <f t="shared" si="10"/>
        <v>0</v>
      </c>
      <c r="P209" s="634">
        <f t="shared" si="11"/>
        <v>0</v>
      </c>
    </row>
    <row r="210" spans="1:16" s="635" customFormat="1">
      <c r="A210" s="683" t="s">
        <v>481</v>
      </c>
      <c r="B210" s="629"/>
      <c r="C210" s="581"/>
      <c r="D210" s="630"/>
      <c r="E210" s="630"/>
      <c r="F210" s="630"/>
      <c r="G210" s="631"/>
      <c r="H210" s="631"/>
      <c r="I210" s="631"/>
      <c r="J210" s="630">
        <v>0</v>
      </c>
      <c r="K210" s="581">
        <v>0</v>
      </c>
      <c r="L210" s="581">
        <v>0</v>
      </c>
      <c r="M210" s="581">
        <v>2</v>
      </c>
      <c r="N210" s="632">
        <f t="shared" si="9"/>
        <v>2</v>
      </c>
      <c r="O210" s="633">
        <f t="shared" si="10"/>
        <v>0.5</v>
      </c>
      <c r="P210" s="634">
        <f t="shared" si="11"/>
        <v>8.6960302621853121E-3</v>
      </c>
    </row>
    <row r="211" spans="1:16" s="635" customFormat="1">
      <c r="A211" s="683" t="s">
        <v>422</v>
      </c>
      <c r="B211" s="629"/>
      <c r="C211" s="581"/>
      <c r="D211" s="630"/>
      <c r="E211" s="630"/>
      <c r="F211" s="630"/>
      <c r="G211" s="631"/>
      <c r="H211" s="631"/>
      <c r="I211" s="631"/>
      <c r="J211" s="630">
        <v>5</v>
      </c>
      <c r="K211" s="581">
        <v>3</v>
      </c>
      <c r="L211" s="581">
        <v>1</v>
      </c>
      <c r="M211" s="581">
        <v>7</v>
      </c>
      <c r="N211" s="632">
        <f t="shared" si="9"/>
        <v>16</v>
      </c>
      <c r="O211" s="633">
        <f t="shared" si="10"/>
        <v>4</v>
      </c>
      <c r="P211" s="634">
        <f t="shared" si="11"/>
        <v>6.9568242097482497E-2</v>
      </c>
    </row>
    <row r="212" spans="1:16" s="635" customFormat="1">
      <c r="A212" s="684" t="s">
        <v>179</v>
      </c>
      <c r="B212" s="629"/>
      <c r="C212" s="581"/>
      <c r="D212" s="630"/>
      <c r="E212" s="630"/>
      <c r="F212" s="630"/>
      <c r="G212" s="631"/>
      <c r="H212" s="631"/>
      <c r="I212" s="631"/>
      <c r="J212" s="630">
        <v>2</v>
      </c>
      <c r="K212" s="581">
        <v>0</v>
      </c>
      <c r="L212" s="581">
        <v>1</v>
      </c>
      <c r="M212" s="581">
        <v>1</v>
      </c>
      <c r="N212" s="632">
        <f t="shared" si="9"/>
        <v>4</v>
      </c>
      <c r="O212" s="633">
        <f t="shared" si="10"/>
        <v>1</v>
      </c>
      <c r="P212" s="634">
        <f t="shared" si="11"/>
        <v>1.7392060524370624E-2</v>
      </c>
    </row>
    <row r="213" spans="1:16" s="635" customFormat="1">
      <c r="A213" s="684" t="s">
        <v>181</v>
      </c>
      <c r="B213" s="629"/>
      <c r="C213" s="581"/>
      <c r="D213" s="630"/>
      <c r="E213" s="630"/>
      <c r="F213" s="630"/>
      <c r="G213" s="631"/>
      <c r="H213" s="631"/>
      <c r="I213" s="631"/>
      <c r="J213" s="630">
        <v>2</v>
      </c>
      <c r="K213" s="581">
        <v>7</v>
      </c>
      <c r="L213" s="581">
        <v>2</v>
      </c>
      <c r="M213" s="581">
        <v>8</v>
      </c>
      <c r="N213" s="632">
        <f t="shared" si="9"/>
        <v>19</v>
      </c>
      <c r="O213" s="633">
        <f t="shared" si="10"/>
        <v>4.75</v>
      </c>
      <c r="P213" s="634">
        <f t="shared" si="11"/>
        <v>8.2612287490760467E-2</v>
      </c>
    </row>
    <row r="214" spans="1:16" s="635" customFormat="1">
      <c r="A214" s="684" t="s">
        <v>180</v>
      </c>
      <c r="B214" s="629"/>
      <c r="C214" s="581"/>
      <c r="D214" s="630"/>
      <c r="E214" s="630"/>
      <c r="F214" s="630"/>
      <c r="G214" s="631"/>
      <c r="H214" s="631"/>
      <c r="I214" s="631"/>
      <c r="J214" s="630">
        <v>0</v>
      </c>
      <c r="K214" s="581">
        <v>0</v>
      </c>
      <c r="L214" s="581">
        <v>0</v>
      </c>
      <c r="M214" s="581">
        <v>0</v>
      </c>
      <c r="N214" s="632">
        <f t="shared" si="9"/>
        <v>0</v>
      </c>
      <c r="O214" s="633">
        <f t="shared" si="10"/>
        <v>0</v>
      </c>
      <c r="P214" s="634">
        <f t="shared" si="11"/>
        <v>0</v>
      </c>
    </row>
    <row r="215" spans="1:16" s="635" customFormat="1">
      <c r="A215" s="684" t="s">
        <v>182</v>
      </c>
      <c r="B215" s="629"/>
      <c r="C215" s="581"/>
      <c r="D215" s="630"/>
      <c r="E215" s="630"/>
      <c r="F215" s="630"/>
      <c r="G215" s="631"/>
      <c r="H215" s="631"/>
      <c r="I215" s="631"/>
      <c r="J215" s="630">
        <v>4</v>
      </c>
      <c r="K215" s="581">
        <v>7</v>
      </c>
      <c r="L215" s="581">
        <v>12</v>
      </c>
      <c r="M215" s="581">
        <v>10</v>
      </c>
      <c r="N215" s="632">
        <f t="shared" si="9"/>
        <v>33</v>
      </c>
      <c r="O215" s="633">
        <f t="shared" si="10"/>
        <v>8.25</v>
      </c>
      <c r="P215" s="634">
        <f t="shared" si="11"/>
        <v>0.14348449932605764</v>
      </c>
    </row>
    <row r="216" spans="1:16" s="635" customFormat="1">
      <c r="A216" s="684" t="s">
        <v>183</v>
      </c>
      <c r="B216" s="629"/>
      <c r="C216" s="581"/>
      <c r="D216" s="630"/>
      <c r="E216" s="630"/>
      <c r="F216" s="630"/>
      <c r="G216" s="631"/>
      <c r="H216" s="631"/>
      <c r="I216" s="631"/>
      <c r="J216" s="630">
        <v>0</v>
      </c>
      <c r="K216" s="581">
        <v>0</v>
      </c>
      <c r="L216" s="581">
        <v>0</v>
      </c>
      <c r="M216" s="581">
        <v>2</v>
      </c>
      <c r="N216" s="632">
        <f t="shared" si="9"/>
        <v>2</v>
      </c>
      <c r="O216" s="633">
        <f t="shared" si="10"/>
        <v>0.5</v>
      </c>
      <c r="P216" s="634">
        <f t="shared" si="11"/>
        <v>8.6960302621853121E-3</v>
      </c>
    </row>
    <row r="217" spans="1:16" s="635" customFormat="1">
      <c r="A217" s="684" t="s">
        <v>184</v>
      </c>
      <c r="B217" s="629"/>
      <c r="C217" s="581"/>
      <c r="D217" s="630"/>
      <c r="E217" s="630"/>
      <c r="F217" s="630"/>
      <c r="G217" s="631"/>
      <c r="H217" s="631"/>
      <c r="I217" s="631"/>
      <c r="J217" s="630">
        <v>176</v>
      </c>
      <c r="K217" s="581">
        <v>151</v>
      </c>
      <c r="L217" s="581">
        <v>131</v>
      </c>
      <c r="M217" s="581">
        <v>162</v>
      </c>
      <c r="N217" s="632">
        <f t="shared" si="9"/>
        <v>620</v>
      </c>
      <c r="O217" s="633">
        <f t="shared" si="10"/>
        <v>155</v>
      </c>
      <c r="P217" s="634">
        <f t="shared" si="11"/>
        <v>2.6957693812774468</v>
      </c>
    </row>
    <row r="218" spans="1:16" s="635" customFormat="1">
      <c r="A218" s="684" t="s">
        <v>185</v>
      </c>
      <c r="B218" s="629"/>
      <c r="C218" s="581"/>
      <c r="D218" s="630"/>
      <c r="E218" s="630"/>
      <c r="F218" s="630"/>
      <c r="G218" s="631"/>
      <c r="H218" s="631"/>
      <c r="I218" s="631"/>
      <c r="J218" s="630">
        <v>0</v>
      </c>
      <c r="K218" s="581">
        <v>0</v>
      </c>
      <c r="L218" s="581">
        <v>0</v>
      </c>
      <c r="M218" s="581">
        <v>2</v>
      </c>
      <c r="N218" s="632">
        <f t="shared" si="9"/>
        <v>2</v>
      </c>
      <c r="O218" s="633">
        <f t="shared" si="10"/>
        <v>0.5</v>
      </c>
      <c r="P218" s="634">
        <f t="shared" si="11"/>
        <v>8.6960302621853121E-3</v>
      </c>
    </row>
    <row r="219" spans="1:16" s="635" customFormat="1">
      <c r="A219" s="684" t="s">
        <v>186</v>
      </c>
      <c r="B219" s="629"/>
      <c r="C219" s="581"/>
      <c r="D219" s="630"/>
      <c r="E219" s="630"/>
      <c r="F219" s="630"/>
      <c r="G219" s="631"/>
      <c r="H219" s="631"/>
      <c r="I219" s="631"/>
      <c r="J219" s="630">
        <v>16</v>
      </c>
      <c r="K219" s="581">
        <v>23</v>
      </c>
      <c r="L219" s="581">
        <v>16</v>
      </c>
      <c r="M219" s="581">
        <v>28</v>
      </c>
      <c r="N219" s="632">
        <f t="shared" si="9"/>
        <v>83</v>
      </c>
      <c r="O219" s="633">
        <f t="shared" si="10"/>
        <v>20.75</v>
      </c>
      <c r="P219" s="634">
        <f t="shared" si="11"/>
        <v>0.36088525588069043</v>
      </c>
    </row>
    <row r="220" spans="1:16" s="635" customFormat="1">
      <c r="A220" s="684" t="s">
        <v>502</v>
      </c>
      <c r="B220" s="629"/>
      <c r="C220" s="581"/>
      <c r="D220" s="630"/>
      <c r="E220" s="630"/>
      <c r="F220" s="630"/>
      <c r="G220" s="631"/>
      <c r="H220" s="631"/>
      <c r="I220" s="631"/>
      <c r="J220" s="630">
        <v>0</v>
      </c>
      <c r="K220" s="581">
        <v>1</v>
      </c>
      <c r="L220" s="581">
        <v>0</v>
      </c>
      <c r="M220" s="581">
        <v>0</v>
      </c>
      <c r="N220" s="632">
        <f t="shared" si="9"/>
        <v>1</v>
      </c>
      <c r="O220" s="633">
        <f t="shared" si="10"/>
        <v>0.25</v>
      </c>
      <c r="P220" s="634">
        <f t="shared" si="11"/>
        <v>4.348015131092656E-3</v>
      </c>
    </row>
    <row r="221" spans="1:16" s="635" customFormat="1">
      <c r="A221" s="684" t="s">
        <v>187</v>
      </c>
      <c r="B221" s="629"/>
      <c r="C221" s="581"/>
      <c r="D221" s="630"/>
      <c r="E221" s="630"/>
      <c r="F221" s="630"/>
      <c r="G221" s="631"/>
      <c r="H221" s="631"/>
      <c r="I221" s="631"/>
      <c r="J221" s="630">
        <v>0</v>
      </c>
      <c r="K221" s="581">
        <v>2</v>
      </c>
      <c r="L221" s="581">
        <v>1</v>
      </c>
      <c r="M221" s="581">
        <v>4</v>
      </c>
      <c r="N221" s="632">
        <f t="shared" si="9"/>
        <v>7</v>
      </c>
      <c r="O221" s="633">
        <f t="shared" si="10"/>
        <v>1.75</v>
      </c>
      <c r="P221" s="634">
        <f t="shared" si="11"/>
        <v>3.0436105917648594E-2</v>
      </c>
    </row>
    <row r="222" spans="1:16" s="635" customFormat="1">
      <c r="A222" s="683" t="s">
        <v>188</v>
      </c>
      <c r="B222" s="629"/>
      <c r="C222" s="581"/>
      <c r="D222" s="630"/>
      <c r="E222" s="630"/>
      <c r="F222" s="630"/>
      <c r="G222" s="631"/>
      <c r="H222" s="631"/>
      <c r="I222" s="631"/>
      <c r="J222" s="630">
        <v>10</v>
      </c>
      <c r="K222" s="581">
        <v>12</v>
      </c>
      <c r="L222" s="581">
        <v>13</v>
      </c>
      <c r="M222" s="581">
        <v>18</v>
      </c>
      <c r="N222" s="632">
        <f t="shared" si="9"/>
        <v>53</v>
      </c>
      <c r="O222" s="633">
        <f t="shared" si="10"/>
        <v>13.25</v>
      </c>
      <c r="P222" s="634">
        <f t="shared" si="11"/>
        <v>0.23044480194791078</v>
      </c>
    </row>
    <row r="223" spans="1:16" s="635" customFormat="1">
      <c r="A223" s="683" t="s">
        <v>189</v>
      </c>
      <c r="B223" s="629"/>
      <c r="C223" s="581"/>
      <c r="D223" s="630"/>
      <c r="E223" s="630"/>
      <c r="F223" s="630"/>
      <c r="G223" s="631"/>
      <c r="H223" s="631"/>
      <c r="I223" s="631"/>
      <c r="J223" s="630">
        <v>9</v>
      </c>
      <c r="K223" s="581">
        <v>2</v>
      </c>
      <c r="L223" s="581">
        <v>0</v>
      </c>
      <c r="M223" s="581">
        <v>0</v>
      </c>
      <c r="N223" s="632">
        <f t="shared" si="9"/>
        <v>11</v>
      </c>
      <c r="O223" s="633">
        <f t="shared" si="10"/>
        <v>2.75</v>
      </c>
      <c r="P223" s="634">
        <f t="shared" si="11"/>
        <v>4.7828166442019218E-2</v>
      </c>
    </row>
    <row r="224" spans="1:16" s="635" customFormat="1">
      <c r="A224" s="684" t="s">
        <v>190</v>
      </c>
      <c r="B224" s="629"/>
      <c r="C224" s="581"/>
      <c r="D224" s="630"/>
      <c r="E224" s="630"/>
      <c r="F224" s="630"/>
      <c r="G224" s="631"/>
      <c r="H224" s="631"/>
      <c r="I224" s="631"/>
      <c r="J224" s="630">
        <v>93</v>
      </c>
      <c r="K224" s="581">
        <v>112</v>
      </c>
      <c r="L224" s="581">
        <v>124</v>
      </c>
      <c r="M224" s="581">
        <v>120</v>
      </c>
      <c r="N224" s="632">
        <f t="shared" si="9"/>
        <v>449</v>
      </c>
      <c r="O224" s="633">
        <f t="shared" si="10"/>
        <v>112.25</v>
      </c>
      <c r="P224" s="634">
        <f t="shared" si="11"/>
        <v>1.9522587938606026</v>
      </c>
    </row>
    <row r="225" spans="1:16" s="635" customFormat="1">
      <c r="A225" s="684" t="s">
        <v>191</v>
      </c>
      <c r="B225" s="629"/>
      <c r="C225" s="581"/>
      <c r="D225" s="630"/>
      <c r="E225" s="630"/>
      <c r="F225" s="630"/>
      <c r="G225" s="631"/>
      <c r="H225" s="631"/>
      <c r="I225" s="631"/>
      <c r="J225" s="630">
        <v>33</v>
      </c>
      <c r="K225" s="581">
        <v>45</v>
      </c>
      <c r="L225" s="581">
        <v>97</v>
      </c>
      <c r="M225" s="581">
        <v>34</v>
      </c>
      <c r="N225" s="632">
        <f t="shared" si="9"/>
        <v>209</v>
      </c>
      <c r="O225" s="633">
        <f t="shared" si="10"/>
        <v>52.25</v>
      </c>
      <c r="P225" s="634">
        <f t="shared" si="11"/>
        <v>0.90873516239836516</v>
      </c>
    </row>
    <row r="226" spans="1:16" s="635" customFormat="1">
      <c r="A226" s="684" t="s">
        <v>446</v>
      </c>
      <c r="B226" s="629"/>
      <c r="C226" s="581"/>
      <c r="D226" s="630"/>
      <c r="E226" s="630"/>
      <c r="F226" s="630"/>
      <c r="G226" s="631"/>
      <c r="H226" s="631"/>
      <c r="I226" s="631"/>
      <c r="J226" s="630">
        <v>2</v>
      </c>
      <c r="K226" s="581">
        <v>0</v>
      </c>
      <c r="L226" s="581">
        <v>1</v>
      </c>
      <c r="M226" s="581">
        <v>1</v>
      </c>
      <c r="N226" s="632">
        <f t="shared" si="9"/>
        <v>4</v>
      </c>
      <c r="O226" s="633">
        <f t="shared" si="10"/>
        <v>1</v>
      </c>
      <c r="P226" s="634">
        <f t="shared" si="11"/>
        <v>1.7392060524370624E-2</v>
      </c>
    </row>
    <row r="227" spans="1:16" s="635" customFormat="1">
      <c r="A227" s="684" t="s">
        <v>470</v>
      </c>
      <c r="B227" s="629"/>
      <c r="C227" s="581"/>
      <c r="D227" s="630"/>
      <c r="E227" s="630"/>
      <c r="F227" s="630"/>
      <c r="G227" s="631"/>
      <c r="H227" s="631"/>
      <c r="I227" s="631"/>
      <c r="J227" s="630">
        <v>0</v>
      </c>
      <c r="K227" s="581">
        <v>0</v>
      </c>
      <c r="L227" s="581">
        <v>0</v>
      </c>
      <c r="M227" s="581">
        <v>0</v>
      </c>
      <c r="N227" s="632">
        <f t="shared" si="9"/>
        <v>0</v>
      </c>
      <c r="O227" s="633">
        <f t="shared" si="10"/>
        <v>0</v>
      </c>
      <c r="P227" s="634">
        <f t="shared" si="11"/>
        <v>0</v>
      </c>
    </row>
    <row r="228" spans="1:16" s="635" customFormat="1">
      <c r="A228" s="684" t="s">
        <v>192</v>
      </c>
      <c r="B228" s="629"/>
      <c r="C228" s="581"/>
      <c r="D228" s="630"/>
      <c r="E228" s="630"/>
      <c r="F228" s="630"/>
      <c r="G228" s="631"/>
      <c r="H228" s="631"/>
      <c r="I228" s="631"/>
      <c r="J228" s="630">
        <v>10</v>
      </c>
      <c r="K228" s="581">
        <v>3</v>
      </c>
      <c r="L228" s="581">
        <v>1</v>
      </c>
      <c r="M228" s="581">
        <v>0</v>
      </c>
      <c r="N228" s="632">
        <f t="shared" si="9"/>
        <v>14</v>
      </c>
      <c r="O228" s="633">
        <f t="shared" si="10"/>
        <v>3.5</v>
      </c>
      <c r="P228" s="634">
        <f t="shared" si="11"/>
        <v>6.0872211835297188E-2</v>
      </c>
    </row>
    <row r="229" spans="1:16" s="635" customFormat="1">
      <c r="A229" s="684" t="s">
        <v>193</v>
      </c>
      <c r="B229" s="629"/>
      <c r="C229" s="581"/>
      <c r="D229" s="630"/>
      <c r="E229" s="630"/>
      <c r="F229" s="630"/>
      <c r="G229" s="631"/>
      <c r="H229" s="631"/>
      <c r="I229" s="631"/>
      <c r="J229" s="630">
        <v>138</v>
      </c>
      <c r="K229" s="581">
        <v>153</v>
      </c>
      <c r="L229" s="581">
        <v>109</v>
      </c>
      <c r="M229" s="581">
        <v>85</v>
      </c>
      <c r="N229" s="632">
        <f t="shared" si="9"/>
        <v>485</v>
      </c>
      <c r="O229" s="633">
        <f t="shared" si="10"/>
        <v>121.25</v>
      </c>
      <c r="P229" s="634">
        <f t="shared" si="11"/>
        <v>2.1087873385799383</v>
      </c>
    </row>
    <row r="230" spans="1:16" s="635" customFormat="1">
      <c r="A230" s="684" t="s">
        <v>194</v>
      </c>
      <c r="B230" s="629"/>
      <c r="C230" s="581"/>
      <c r="D230" s="630"/>
      <c r="E230" s="630"/>
      <c r="F230" s="630"/>
      <c r="G230" s="631"/>
      <c r="H230" s="631"/>
      <c r="I230" s="631"/>
      <c r="J230" s="630">
        <v>0</v>
      </c>
      <c r="K230" s="581">
        <v>0</v>
      </c>
      <c r="L230" s="581">
        <v>0</v>
      </c>
      <c r="M230" s="581">
        <v>0</v>
      </c>
      <c r="N230" s="632">
        <f t="shared" si="9"/>
        <v>0</v>
      </c>
      <c r="O230" s="633">
        <f t="shared" si="10"/>
        <v>0</v>
      </c>
      <c r="P230" s="634">
        <f t="shared" si="11"/>
        <v>0</v>
      </c>
    </row>
    <row r="231" spans="1:16" s="635" customFormat="1">
      <c r="A231" s="684" t="s">
        <v>195</v>
      </c>
      <c r="B231" s="629"/>
      <c r="C231" s="581"/>
      <c r="D231" s="630"/>
      <c r="E231" s="630"/>
      <c r="F231" s="630"/>
      <c r="G231" s="631"/>
      <c r="H231" s="631"/>
      <c r="I231" s="631"/>
      <c r="J231" s="630">
        <v>17</v>
      </c>
      <c r="K231" s="581">
        <v>3</v>
      </c>
      <c r="L231" s="581">
        <v>1</v>
      </c>
      <c r="M231" s="581">
        <v>2</v>
      </c>
      <c r="N231" s="632">
        <f t="shared" si="9"/>
        <v>23</v>
      </c>
      <c r="O231" s="633">
        <f t="shared" si="10"/>
        <v>5.75</v>
      </c>
      <c r="P231" s="634">
        <f t="shared" si="11"/>
        <v>0.1000043480151311</v>
      </c>
    </row>
    <row r="232" spans="1:16" s="635" customFormat="1">
      <c r="A232" s="684" t="s">
        <v>196</v>
      </c>
      <c r="B232" s="629"/>
      <c r="C232" s="581"/>
      <c r="D232" s="630"/>
      <c r="E232" s="630"/>
      <c r="F232" s="630"/>
      <c r="G232" s="631"/>
      <c r="H232" s="631"/>
      <c r="I232" s="631"/>
      <c r="J232" s="630">
        <v>64</v>
      </c>
      <c r="K232" s="581">
        <v>41</v>
      </c>
      <c r="L232" s="581">
        <v>62</v>
      </c>
      <c r="M232" s="581">
        <v>52</v>
      </c>
      <c r="N232" s="632">
        <f t="shared" si="9"/>
        <v>219</v>
      </c>
      <c r="O232" s="633">
        <f t="shared" si="10"/>
        <v>54.75</v>
      </c>
      <c r="P232" s="634">
        <f t="shared" si="11"/>
        <v>0.95221531370929169</v>
      </c>
    </row>
    <row r="233" spans="1:16" s="635" customFormat="1">
      <c r="A233" s="684" t="s">
        <v>197</v>
      </c>
      <c r="B233" s="629"/>
      <c r="C233" s="581"/>
      <c r="D233" s="630"/>
      <c r="E233" s="630"/>
      <c r="F233" s="630"/>
      <c r="G233" s="631"/>
      <c r="H233" s="631"/>
      <c r="I233" s="631"/>
      <c r="J233" s="630">
        <v>149</v>
      </c>
      <c r="K233" s="581">
        <v>140</v>
      </c>
      <c r="L233" s="581">
        <v>152</v>
      </c>
      <c r="M233" s="581">
        <v>136</v>
      </c>
      <c r="N233" s="632">
        <f t="shared" si="9"/>
        <v>577</v>
      </c>
      <c r="O233" s="633">
        <f t="shared" si="10"/>
        <v>144.25</v>
      </c>
      <c r="P233" s="719">
        <f t="shared" si="11"/>
        <v>2.5088047306404624</v>
      </c>
    </row>
    <row r="234" spans="1:16" s="635" customFormat="1">
      <c r="A234" s="684" t="s">
        <v>431</v>
      </c>
      <c r="B234" s="629"/>
      <c r="C234" s="581"/>
      <c r="D234" s="630"/>
      <c r="E234" s="630"/>
      <c r="F234" s="630"/>
      <c r="G234" s="631"/>
      <c r="H234" s="720"/>
      <c r="I234" s="720"/>
      <c r="J234" s="721">
        <v>10</v>
      </c>
      <c r="K234" s="581">
        <v>0</v>
      </c>
      <c r="L234" s="581">
        <v>4</v>
      </c>
      <c r="M234" s="581">
        <v>7</v>
      </c>
      <c r="N234" s="722">
        <f t="shared" si="9"/>
        <v>21</v>
      </c>
      <c r="O234" s="723">
        <f t="shared" si="10"/>
        <v>5.25</v>
      </c>
      <c r="P234" s="724">
        <f t="shared" si="11"/>
        <v>9.1308317752945775E-2</v>
      </c>
    </row>
    <row r="235" spans="1:16" s="635" customFormat="1">
      <c r="A235" s="684" t="s">
        <v>432</v>
      </c>
      <c r="B235" s="629"/>
      <c r="C235" s="581"/>
      <c r="D235" s="630"/>
      <c r="E235" s="630"/>
      <c r="F235" s="630"/>
      <c r="G235" s="631"/>
      <c r="H235" s="720"/>
      <c r="I235" s="720"/>
      <c r="J235" s="721">
        <v>2</v>
      </c>
      <c r="K235" s="581">
        <v>0</v>
      </c>
      <c r="L235" s="581">
        <v>2</v>
      </c>
      <c r="M235" s="581">
        <v>5</v>
      </c>
      <c r="N235" s="722">
        <f t="shared" si="9"/>
        <v>9</v>
      </c>
      <c r="O235" s="723">
        <f t="shared" si="10"/>
        <v>2.25</v>
      </c>
      <c r="P235" s="724">
        <f t="shared" si="11"/>
        <v>3.9132136179833903E-2</v>
      </c>
    </row>
    <row r="236" spans="1:16" s="635" customFormat="1">
      <c r="A236" s="686" t="s">
        <v>199</v>
      </c>
      <c r="B236" s="725"/>
      <c r="C236" s="726"/>
      <c r="D236" s="721"/>
      <c r="E236" s="721"/>
      <c r="F236" s="721"/>
      <c r="G236" s="720"/>
      <c r="H236" s="720"/>
      <c r="I236" s="720"/>
      <c r="J236" s="721">
        <v>2</v>
      </c>
      <c r="K236" s="581">
        <v>3</v>
      </c>
      <c r="L236" s="726">
        <v>0</v>
      </c>
      <c r="M236" s="581">
        <v>3</v>
      </c>
      <c r="N236" s="722">
        <f t="shared" si="9"/>
        <v>8</v>
      </c>
      <c r="O236" s="723">
        <f t="shared" si="10"/>
        <v>2</v>
      </c>
      <c r="P236" s="724">
        <f t="shared" si="11"/>
        <v>3.4784121048741248E-2</v>
      </c>
    </row>
    <row r="237" spans="1:16" s="635" customFormat="1" ht="15.75" thickBot="1">
      <c r="A237" s="687" t="s">
        <v>198</v>
      </c>
      <c r="B237" s="725"/>
      <c r="C237" s="726"/>
      <c r="D237" s="721"/>
      <c r="E237" s="721"/>
      <c r="F237" s="721"/>
      <c r="G237" s="720"/>
      <c r="H237" s="720"/>
      <c r="I237" s="720"/>
      <c r="J237" s="721">
        <v>5</v>
      </c>
      <c r="K237" s="726">
        <v>3</v>
      </c>
      <c r="L237" s="726">
        <v>3</v>
      </c>
      <c r="M237" s="726">
        <v>4</v>
      </c>
      <c r="N237" s="722">
        <f t="shared" si="9"/>
        <v>15</v>
      </c>
      <c r="O237" s="723">
        <f t="shared" si="10"/>
        <v>3.75</v>
      </c>
      <c r="P237" s="727">
        <f t="shared" si="11"/>
        <v>6.5220226966389849E-2</v>
      </c>
    </row>
    <row r="238" spans="1:16" ht="16.5" customHeight="1" thickBot="1">
      <c r="A238" s="81" t="s">
        <v>5</v>
      </c>
      <c r="B238" s="82"/>
      <c r="C238" s="82"/>
      <c r="D238" s="82"/>
      <c r="E238" s="82"/>
      <c r="F238" s="82"/>
      <c r="G238" s="82"/>
      <c r="H238" s="82"/>
      <c r="I238" s="82"/>
      <c r="J238" s="965">
        <f>SUM(J5:J237)</f>
        <v>6191</v>
      </c>
      <c r="K238" s="914">
        <f>SUM(K5:K237)</f>
        <v>5809</v>
      </c>
      <c r="L238" s="83">
        <f>SUM(L5:L237)</f>
        <v>5617</v>
      </c>
      <c r="M238" s="914">
        <f>SUM(M5:M237)</f>
        <v>5382</v>
      </c>
      <c r="N238" s="913">
        <f t="shared" si="9"/>
        <v>22999</v>
      </c>
      <c r="O238" s="84">
        <f t="shared" si="10"/>
        <v>5749.75</v>
      </c>
      <c r="P238" s="628">
        <f t="shared" si="11"/>
        <v>100</v>
      </c>
    </row>
    <row r="239" spans="1:16" ht="65.25" customHeight="1">
      <c r="A239" s="87" t="s">
        <v>200</v>
      </c>
      <c r="B239" s="88"/>
      <c r="C239" s="88"/>
      <c r="D239" s="88"/>
      <c r="E239" s="88"/>
      <c r="F239" s="88"/>
      <c r="G239" s="88"/>
      <c r="H239" s="88"/>
      <c r="I239" s="88"/>
      <c r="J239" s="88"/>
      <c r="K239" s="88"/>
    </row>
    <row r="240" spans="1:16">
      <c r="A240" s="89"/>
      <c r="B240" s="88"/>
      <c r="C240" s="88"/>
      <c r="D240" s="88"/>
      <c r="E240" s="88"/>
      <c r="F240" s="88"/>
      <c r="G240" s="88"/>
      <c r="H240" s="88"/>
      <c r="I240" s="88"/>
      <c r="J240" s="88"/>
      <c r="K240" s="88"/>
    </row>
    <row r="241" spans="1:16" ht="45">
      <c r="A241" s="89" t="s">
        <v>201</v>
      </c>
      <c r="B241" s="88"/>
      <c r="C241" s="88"/>
      <c r="D241" s="88"/>
      <c r="E241" s="88"/>
      <c r="F241" s="88"/>
      <c r="G241" s="88"/>
      <c r="H241" s="88"/>
      <c r="I241" s="88"/>
      <c r="J241" s="88"/>
      <c r="K241" s="88"/>
    </row>
    <row r="242" spans="1:16">
      <c r="A242" s="89"/>
      <c r="B242" s="88"/>
      <c r="C242" s="88"/>
      <c r="D242" s="88"/>
      <c r="E242" s="88"/>
      <c r="F242" s="88"/>
      <c r="G242" s="88"/>
      <c r="H242" s="88"/>
      <c r="I242" s="88"/>
      <c r="J242" s="88"/>
      <c r="K242" s="88"/>
    </row>
    <row r="243" spans="1:16" ht="31.5" customHeight="1">
      <c r="A243" s="662" t="s">
        <v>202</v>
      </c>
      <c r="B243" s="88"/>
      <c r="C243" s="88"/>
      <c r="D243" s="88"/>
      <c r="E243" s="88"/>
      <c r="F243" s="88"/>
      <c r="G243" s="88"/>
      <c r="H243" s="88"/>
      <c r="I243" s="88"/>
      <c r="J243" s="88"/>
      <c r="K243" s="88"/>
    </row>
    <row r="244" spans="1:16" ht="45">
      <c r="A244" s="89" t="s">
        <v>203</v>
      </c>
    </row>
    <row r="245" spans="1:16" ht="30">
      <c r="A245" s="89" t="s">
        <v>204</v>
      </c>
      <c r="B245" s="88"/>
      <c r="C245" s="88"/>
      <c r="D245" s="88"/>
      <c r="E245" s="88"/>
      <c r="F245" s="88"/>
    </row>
    <row r="247" spans="1:16" ht="30">
      <c r="A247" s="89" t="s">
        <v>445</v>
      </c>
      <c r="B247"/>
      <c r="C247"/>
      <c r="D247"/>
      <c r="E247"/>
      <c r="F247"/>
      <c r="G247"/>
      <c r="H247"/>
      <c r="I247"/>
      <c r="J247"/>
      <c r="K247"/>
      <c r="L247"/>
      <c r="M247" s="90"/>
      <c r="N247"/>
      <c r="O247"/>
      <c r="P247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238:M2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70"/>
    </row>
    <row r="2" spans="1:2">
      <c r="A2" s="1" t="s">
        <v>1</v>
      </c>
      <c r="B2" s="70"/>
    </row>
    <row r="3" spans="1:2" ht="15.75" thickBot="1">
      <c r="B3" s="71"/>
    </row>
    <row r="4" spans="1:2">
      <c r="A4" s="699" t="s">
        <v>442</v>
      </c>
      <c r="B4" s="703">
        <v>45383</v>
      </c>
    </row>
    <row r="5" spans="1:2">
      <c r="A5" s="700" t="s">
        <v>228</v>
      </c>
      <c r="B5" s="729">
        <v>323</v>
      </c>
    </row>
    <row r="6" spans="1:2">
      <c r="A6" s="700" t="s">
        <v>449</v>
      </c>
      <c r="B6" s="729">
        <v>3</v>
      </c>
    </row>
    <row r="7" spans="1:2">
      <c r="A7" s="700" t="s">
        <v>237</v>
      </c>
      <c r="B7" s="729">
        <v>4</v>
      </c>
    </row>
    <row r="8" spans="1:2" ht="15.75" thickBot="1">
      <c r="A8" s="701" t="s">
        <v>450</v>
      </c>
      <c r="B8" s="730">
        <v>39</v>
      </c>
    </row>
    <row r="9" spans="1:2" ht="15.75" thickBot="1">
      <c r="A9" s="702" t="s">
        <v>443</v>
      </c>
      <c r="B9" s="731">
        <f>SUM(B5:B8)</f>
        <v>369</v>
      </c>
    </row>
    <row r="10" spans="1:2">
      <c r="A10" s="661"/>
      <c r="B10" s="661"/>
    </row>
    <row r="11" spans="1:2" ht="30">
      <c r="A11" s="663" t="s">
        <v>447</v>
      </c>
    </row>
    <row r="14" spans="1:2" ht="45">
      <c r="A14" s="663" t="s">
        <v>451</v>
      </c>
    </row>
    <row r="16" spans="1:2" ht="60">
      <c r="A16" s="663" t="s">
        <v>448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Normal="100" workbookViewId="0"/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95" bestFit="1" customWidth="1"/>
    <col min="4" max="4" width="7.140625" style="9" bestFit="1" customWidth="1"/>
    <col min="5" max="5" width="7" style="93" bestFit="1" customWidth="1"/>
    <col min="6" max="6" width="7.5703125" style="9" bestFit="1" customWidth="1"/>
    <col min="7" max="7" width="6.28515625" style="93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91" t="s">
        <v>0</v>
      </c>
      <c r="B1" s="91"/>
      <c r="C1" s="92"/>
      <c r="D1" s="91"/>
      <c r="H1" s="562"/>
      <c r="I1" s="562"/>
      <c r="J1" s="562"/>
      <c r="K1" s="562"/>
      <c r="L1" s="562"/>
      <c r="M1" s="562"/>
      <c r="N1" s="562"/>
      <c r="O1" s="562"/>
      <c r="P1" s="562">
        <f>Assuntos!J238</f>
        <v>6191</v>
      </c>
    </row>
    <row r="2" spans="1:20" ht="15">
      <c r="A2" s="1" t="s">
        <v>1</v>
      </c>
      <c r="B2" s="1"/>
      <c r="C2" s="70"/>
      <c r="D2" s="1"/>
      <c r="H2" s="562"/>
      <c r="I2" s="562"/>
      <c r="J2" s="562"/>
      <c r="K2" s="562"/>
      <c r="L2" s="562"/>
      <c r="M2" s="562"/>
      <c r="N2" s="562"/>
      <c r="O2" s="562"/>
      <c r="P2" s="562"/>
    </row>
    <row r="3" spans="1:20" ht="15">
      <c r="A3" s="1"/>
      <c r="B3" s="1"/>
      <c r="C3" s="70"/>
      <c r="D3" s="1"/>
      <c r="H3" s="562"/>
      <c r="I3" s="562"/>
      <c r="J3" s="562"/>
      <c r="K3" s="562"/>
      <c r="L3" s="562"/>
      <c r="M3" s="562"/>
      <c r="N3" s="562"/>
      <c r="O3" s="562"/>
      <c r="P3" s="562"/>
    </row>
    <row r="4" spans="1:20" ht="15">
      <c r="A4" s="1" t="s">
        <v>495</v>
      </c>
      <c r="B4" s="1"/>
      <c r="C4" s="70"/>
      <c r="D4" s="1"/>
      <c r="H4" s="562"/>
      <c r="I4" s="562"/>
      <c r="J4" s="562"/>
      <c r="K4" s="562"/>
      <c r="L4" s="562"/>
      <c r="M4" s="562"/>
      <c r="N4" s="562"/>
      <c r="O4" s="562"/>
      <c r="P4" s="732"/>
    </row>
    <row r="5" spans="1:20" ht="15" thickBot="1">
      <c r="E5" s="9"/>
      <c r="F5" s="93"/>
      <c r="G5" s="9"/>
      <c r="H5" s="563"/>
      <c r="I5" s="562"/>
      <c r="J5" s="562"/>
      <c r="K5" s="562"/>
      <c r="L5" s="562"/>
      <c r="M5" s="562"/>
      <c r="N5" s="562"/>
      <c r="O5" s="562"/>
      <c r="P5" s="562"/>
    </row>
    <row r="6" spans="1:20" ht="64.5" thickBot="1">
      <c r="A6" s="599" t="s">
        <v>482</v>
      </c>
      <c r="B6" s="601">
        <v>45627</v>
      </c>
      <c r="C6" s="602">
        <v>45597</v>
      </c>
      <c r="D6" s="602">
        <v>45566</v>
      </c>
      <c r="E6" s="602">
        <v>45536</v>
      </c>
      <c r="F6" s="602">
        <v>45505</v>
      </c>
      <c r="G6" s="602">
        <v>45474</v>
      </c>
      <c r="H6" s="602">
        <v>45444</v>
      </c>
      <c r="I6" s="602">
        <v>45413</v>
      </c>
      <c r="J6" s="602">
        <v>45383</v>
      </c>
      <c r="K6" s="602">
        <v>45352</v>
      </c>
      <c r="L6" s="602">
        <v>45323</v>
      </c>
      <c r="M6" s="602">
        <v>45292</v>
      </c>
      <c r="N6" s="602" t="s">
        <v>5</v>
      </c>
      <c r="O6" s="602" t="s">
        <v>6</v>
      </c>
      <c r="P6" s="784" t="s">
        <v>514</v>
      </c>
    </row>
    <row r="7" spans="1:20" ht="14.25" customHeight="1" thickBot="1">
      <c r="A7" s="917" t="s">
        <v>57</v>
      </c>
      <c r="B7" s="586"/>
      <c r="C7" s="587"/>
      <c r="D7" s="38"/>
      <c r="E7" s="38"/>
      <c r="F7" s="38"/>
      <c r="G7" s="476"/>
      <c r="H7" s="515"/>
      <c r="I7" s="516"/>
      <c r="J7" s="477">
        <v>819</v>
      </c>
      <c r="K7" s="477">
        <v>822</v>
      </c>
      <c r="L7" s="477">
        <v>798</v>
      </c>
      <c r="M7" s="477">
        <v>552</v>
      </c>
      <c r="N7" s="96">
        <f t="shared" ref="N7:N16" si="0">SUM(B7:M7)</f>
        <v>2991</v>
      </c>
      <c r="O7" s="97">
        <f t="shared" ref="O7:O17" si="1">AVERAGE(B7:M7)</f>
        <v>747.75</v>
      </c>
      <c r="P7" s="606">
        <f>(J7*100)/$P$1</f>
        <v>13.228880633177193</v>
      </c>
      <c r="S7" s="93"/>
      <c r="T7" s="93"/>
    </row>
    <row r="8" spans="1:20" ht="15" customHeight="1" thickBot="1">
      <c r="A8" s="918" t="s">
        <v>444</v>
      </c>
      <c r="B8" s="586"/>
      <c r="C8" s="587"/>
      <c r="D8" s="38"/>
      <c r="E8" s="38"/>
      <c r="F8" s="38"/>
      <c r="G8" s="476"/>
      <c r="H8" s="515"/>
      <c r="I8" s="516"/>
      <c r="J8" s="477">
        <v>369</v>
      </c>
      <c r="K8" s="477">
        <v>418</v>
      </c>
      <c r="L8" s="477">
        <v>336</v>
      </c>
      <c r="M8" s="477">
        <v>329</v>
      </c>
      <c r="N8" s="98">
        <f t="shared" si="0"/>
        <v>1452</v>
      </c>
      <c r="O8" s="99">
        <f t="shared" si="1"/>
        <v>363</v>
      </c>
      <c r="P8" s="606">
        <f t="shared" ref="P8:P17" si="2">(J8*100)/$P$1</f>
        <v>5.9602649006622519</v>
      </c>
      <c r="S8" s="93"/>
      <c r="T8" s="93"/>
    </row>
    <row r="9" spans="1:20" ht="15.75" thickBot="1">
      <c r="A9" s="918" t="s">
        <v>43</v>
      </c>
      <c r="B9" s="586"/>
      <c r="C9" s="587"/>
      <c r="D9" s="38"/>
      <c r="E9" s="38"/>
      <c r="F9" s="38"/>
      <c r="G9" s="476"/>
      <c r="H9" s="515"/>
      <c r="I9" s="516"/>
      <c r="J9" s="517">
        <v>283</v>
      </c>
      <c r="K9" s="477">
        <v>316</v>
      </c>
      <c r="L9" s="477">
        <v>303</v>
      </c>
      <c r="M9" s="477">
        <v>349</v>
      </c>
      <c r="N9" s="98">
        <f t="shared" si="0"/>
        <v>1251</v>
      </c>
      <c r="O9" s="99">
        <f t="shared" si="1"/>
        <v>312.75</v>
      </c>
      <c r="P9" s="606">
        <f t="shared" si="2"/>
        <v>4.5711516717816183</v>
      </c>
      <c r="S9" s="93"/>
      <c r="T9" s="93"/>
    </row>
    <row r="10" spans="1:20" ht="15.75" thickBot="1">
      <c r="A10" s="918" t="s">
        <v>144</v>
      </c>
      <c r="B10" s="586"/>
      <c r="C10" s="587"/>
      <c r="D10" s="38"/>
      <c r="E10" s="38"/>
      <c r="F10" s="38"/>
      <c r="G10" s="476"/>
      <c r="H10" s="515"/>
      <c r="I10" s="516"/>
      <c r="J10" s="477">
        <v>314</v>
      </c>
      <c r="K10" s="477">
        <v>148</v>
      </c>
      <c r="L10" s="477">
        <v>252</v>
      </c>
      <c r="M10" s="477">
        <v>175</v>
      </c>
      <c r="N10" s="98">
        <f t="shared" si="0"/>
        <v>889</v>
      </c>
      <c r="O10" s="99">
        <f t="shared" si="1"/>
        <v>222.25</v>
      </c>
      <c r="P10" s="606">
        <f t="shared" si="2"/>
        <v>5.0718785333548704</v>
      </c>
      <c r="S10" s="93"/>
      <c r="T10" s="93"/>
    </row>
    <row r="11" spans="1:20" ht="15.75" thickBot="1">
      <c r="A11" s="919" t="s">
        <v>168</v>
      </c>
      <c r="B11" s="586"/>
      <c r="C11" s="587"/>
      <c r="D11" s="38"/>
      <c r="E11" s="38"/>
      <c r="F11" s="38"/>
      <c r="G11" s="476"/>
      <c r="H11" s="515"/>
      <c r="I11" s="516"/>
      <c r="J11" s="477">
        <v>266</v>
      </c>
      <c r="K11" s="477">
        <v>169</v>
      </c>
      <c r="L11" s="477">
        <v>172</v>
      </c>
      <c r="M11" s="477">
        <v>197</v>
      </c>
      <c r="N11" s="98">
        <f t="shared" si="0"/>
        <v>804</v>
      </c>
      <c r="O11" s="99">
        <f t="shared" si="1"/>
        <v>201</v>
      </c>
      <c r="P11" s="606">
        <f t="shared" si="2"/>
        <v>4.2965595218866097</v>
      </c>
      <c r="S11" s="93"/>
      <c r="T11" s="93"/>
    </row>
    <row r="12" spans="1:20" ht="15" customHeight="1" thickBot="1">
      <c r="A12" s="918" t="s">
        <v>153</v>
      </c>
      <c r="B12" s="586"/>
      <c r="C12" s="587"/>
      <c r="D12" s="38"/>
      <c r="E12" s="38"/>
      <c r="F12" s="38"/>
      <c r="G12" s="476"/>
      <c r="H12" s="515"/>
      <c r="I12" s="516"/>
      <c r="J12" s="517">
        <v>236</v>
      </c>
      <c r="K12" s="477">
        <v>184</v>
      </c>
      <c r="L12" s="477">
        <v>180</v>
      </c>
      <c r="M12" s="477">
        <v>174</v>
      </c>
      <c r="N12" s="98">
        <f t="shared" si="0"/>
        <v>774</v>
      </c>
      <c r="O12" s="99">
        <f t="shared" si="1"/>
        <v>193.5</v>
      </c>
      <c r="P12" s="606">
        <f t="shared" si="2"/>
        <v>3.811985139718947</v>
      </c>
      <c r="S12" s="93"/>
      <c r="T12" s="93"/>
    </row>
    <row r="13" spans="1:20" ht="15.75" thickBot="1">
      <c r="A13" s="918" t="s">
        <v>159</v>
      </c>
      <c r="B13" s="586"/>
      <c r="C13" s="587"/>
      <c r="D13" s="38"/>
      <c r="E13" s="38"/>
      <c r="F13" s="38"/>
      <c r="G13" s="476"/>
      <c r="H13" s="515"/>
      <c r="I13" s="516"/>
      <c r="J13" s="517">
        <v>167</v>
      </c>
      <c r="K13" s="477">
        <v>182</v>
      </c>
      <c r="L13" s="477">
        <v>198</v>
      </c>
      <c r="M13" s="477">
        <v>212</v>
      </c>
      <c r="N13" s="98">
        <f t="shared" si="0"/>
        <v>759</v>
      </c>
      <c r="O13" s="99">
        <f t="shared" si="1"/>
        <v>189.75</v>
      </c>
      <c r="P13" s="606">
        <f t="shared" si="2"/>
        <v>2.6974640607333225</v>
      </c>
      <c r="S13" s="93"/>
      <c r="T13" s="93"/>
    </row>
    <row r="14" spans="1:20" ht="15.75" thickBot="1">
      <c r="A14" s="918" t="s">
        <v>184</v>
      </c>
      <c r="B14" s="586"/>
      <c r="C14" s="587"/>
      <c r="D14" s="38"/>
      <c r="E14" s="38"/>
      <c r="F14" s="38"/>
      <c r="G14" s="476"/>
      <c r="H14" s="515"/>
      <c r="I14" s="516"/>
      <c r="J14" s="477">
        <v>176</v>
      </c>
      <c r="K14" s="477">
        <v>151</v>
      </c>
      <c r="L14" s="477">
        <v>131</v>
      </c>
      <c r="M14" s="477">
        <v>162</v>
      </c>
      <c r="N14" s="98">
        <f t="shared" si="0"/>
        <v>620</v>
      </c>
      <c r="O14" s="99">
        <f t="shared" si="1"/>
        <v>155</v>
      </c>
      <c r="P14" s="606">
        <f t="shared" si="2"/>
        <v>2.8428363753836212</v>
      </c>
      <c r="S14" s="93"/>
      <c r="T14" s="93"/>
    </row>
    <row r="15" spans="1:20" ht="15.75" thickBot="1">
      <c r="A15" s="918" t="s">
        <v>98</v>
      </c>
      <c r="B15" s="586"/>
      <c r="C15" s="587"/>
      <c r="D15" s="38"/>
      <c r="E15" s="38"/>
      <c r="F15" s="38"/>
      <c r="G15" s="476"/>
      <c r="H15" s="515"/>
      <c r="I15" s="516"/>
      <c r="J15" s="517">
        <v>155</v>
      </c>
      <c r="K15" s="477">
        <v>130</v>
      </c>
      <c r="L15" s="477">
        <v>162</v>
      </c>
      <c r="M15" s="477">
        <v>166</v>
      </c>
      <c r="N15" s="98">
        <f t="shared" si="0"/>
        <v>613</v>
      </c>
      <c r="O15" s="99">
        <f t="shared" si="1"/>
        <v>153.25</v>
      </c>
      <c r="P15" s="606">
        <f t="shared" si="2"/>
        <v>2.5036343078662573</v>
      </c>
      <c r="S15" s="93"/>
      <c r="T15" s="93"/>
    </row>
    <row r="16" spans="1:20" ht="15.75" thickBot="1">
      <c r="A16" s="920" t="s">
        <v>60</v>
      </c>
      <c r="B16" s="915"/>
      <c r="C16" s="587"/>
      <c r="D16" s="38"/>
      <c r="E16" s="38"/>
      <c r="F16" s="38"/>
      <c r="G16" s="476"/>
      <c r="H16" s="515"/>
      <c r="I16" s="516"/>
      <c r="J16" s="477">
        <v>141</v>
      </c>
      <c r="K16" s="477">
        <v>167</v>
      </c>
      <c r="L16" s="477">
        <v>145</v>
      </c>
      <c r="M16" s="477">
        <v>153</v>
      </c>
      <c r="N16" s="100">
        <f t="shared" si="0"/>
        <v>606</v>
      </c>
      <c r="O16" s="101">
        <f t="shared" si="1"/>
        <v>151.5</v>
      </c>
      <c r="P16" s="667">
        <f t="shared" si="2"/>
        <v>2.2774995961880147</v>
      </c>
      <c r="S16" s="93"/>
      <c r="T16" s="93"/>
    </row>
    <row r="17" spans="1:41" ht="15.75" customHeight="1" thickBot="1">
      <c r="A17" s="916" t="s">
        <v>5</v>
      </c>
      <c r="B17" s="607"/>
      <c r="C17" s="607"/>
      <c r="D17" s="607"/>
      <c r="E17" s="607"/>
      <c r="F17" s="607"/>
      <c r="G17" s="607"/>
      <c r="H17" s="607"/>
      <c r="I17" s="607"/>
      <c r="J17" s="607">
        <f t="shared" ref="J17:N17" si="3">SUM(J7:J16)</f>
        <v>2926</v>
      </c>
      <c r="K17" s="607">
        <f t="shared" si="3"/>
        <v>2687</v>
      </c>
      <c r="L17" s="607">
        <f t="shared" si="3"/>
        <v>2677</v>
      </c>
      <c r="M17" s="607">
        <f t="shared" si="3"/>
        <v>2469</v>
      </c>
      <c r="N17" s="610">
        <f t="shared" si="3"/>
        <v>10759</v>
      </c>
      <c r="O17" s="610">
        <f t="shared" si="1"/>
        <v>2689.75</v>
      </c>
      <c r="P17" s="479">
        <f t="shared" si="2"/>
        <v>47.262154740752706</v>
      </c>
      <c r="S17" s="93"/>
      <c r="T17" s="93"/>
    </row>
    <row r="18" spans="1:41" s="489" customFormat="1" ht="23.25" customHeight="1">
      <c r="A18" s="489" t="s">
        <v>206</v>
      </c>
      <c r="C18" s="490"/>
      <c r="O18" s="489" t="s">
        <v>207</v>
      </c>
      <c r="P18" s="491">
        <f>100-P17</f>
        <v>52.737845259247294</v>
      </c>
    </row>
    <row r="19" spans="1:41" s="787" customFormat="1" ht="54.75" customHeight="1">
      <c r="A19" s="785"/>
      <c r="B19" s="785"/>
      <c r="C19" s="786"/>
      <c r="D19" s="1047"/>
      <c r="E19" s="1047"/>
      <c r="F19" s="1047"/>
      <c r="G19" s="1047"/>
      <c r="H19" s="1047"/>
      <c r="W19" s="790"/>
    </row>
    <row r="20" spans="1:41" s="787" customFormat="1">
      <c r="A20" s="795"/>
      <c r="B20" s="795"/>
      <c r="C20" s="796"/>
      <c r="E20" s="790"/>
      <c r="O20" s="790"/>
      <c r="W20" s="790"/>
      <c r="AC20" s="791"/>
      <c r="AD20" s="792"/>
      <c r="AE20" s="792"/>
      <c r="AF20" s="792"/>
      <c r="AG20" s="792"/>
      <c r="AH20" s="792"/>
      <c r="AI20" s="792"/>
      <c r="AJ20" s="793"/>
      <c r="AK20" s="792"/>
      <c r="AL20" s="792"/>
      <c r="AM20" s="792"/>
      <c r="AN20" s="792"/>
      <c r="AO20" s="794"/>
    </row>
    <row r="21" spans="1:41" s="787" customFormat="1" ht="92.25" customHeight="1">
      <c r="A21" s="785"/>
      <c r="B21" s="785"/>
      <c r="C21" s="786"/>
      <c r="D21" s="1047"/>
      <c r="E21" s="1047"/>
      <c r="F21" s="1047"/>
      <c r="G21" s="1047"/>
      <c r="H21" s="1047"/>
      <c r="L21" s="788"/>
      <c r="P21" s="789"/>
      <c r="W21" s="790"/>
      <c r="AC21" s="791"/>
      <c r="AD21" s="792"/>
      <c r="AE21" s="792"/>
      <c r="AF21" s="792"/>
      <c r="AG21" s="792"/>
      <c r="AH21" s="792"/>
      <c r="AI21" s="792"/>
      <c r="AJ21" s="793"/>
      <c r="AK21" s="792"/>
      <c r="AL21" s="792"/>
      <c r="AM21" s="792"/>
      <c r="AN21" s="792"/>
      <c r="AO21" s="794"/>
    </row>
    <row r="22" spans="1:41" s="787" customFormat="1">
      <c r="A22" s="785"/>
      <c r="B22" s="785"/>
      <c r="C22" s="786"/>
      <c r="E22" s="790"/>
      <c r="O22" s="790"/>
      <c r="W22" s="797"/>
      <c r="AC22" s="791"/>
      <c r="AD22" s="792"/>
      <c r="AE22" s="792"/>
      <c r="AF22" s="792"/>
      <c r="AG22" s="792"/>
      <c r="AH22" s="792"/>
      <c r="AI22" s="792"/>
      <c r="AJ22" s="793"/>
      <c r="AK22" s="792"/>
      <c r="AL22" s="792"/>
      <c r="AM22" s="792"/>
      <c r="AN22" s="792"/>
      <c r="AO22" s="794"/>
    </row>
    <row r="23" spans="1:41" s="787" customFormat="1" ht="66.75" customHeight="1">
      <c r="A23" s="785"/>
      <c r="B23" s="785"/>
      <c r="C23" s="786"/>
      <c r="D23" s="1047"/>
      <c r="E23" s="1047"/>
      <c r="F23" s="1047"/>
      <c r="G23" s="1047"/>
      <c r="H23" s="1047"/>
      <c r="W23" s="790"/>
      <c r="AC23" s="791"/>
      <c r="AD23" s="792"/>
      <c r="AE23" s="792"/>
      <c r="AF23" s="792"/>
      <c r="AG23" s="792"/>
      <c r="AH23" s="792"/>
      <c r="AI23" s="792"/>
      <c r="AJ23" s="793"/>
      <c r="AK23" s="792"/>
      <c r="AL23" s="792"/>
      <c r="AM23" s="792"/>
      <c r="AN23" s="792"/>
      <c r="AO23" s="794"/>
    </row>
    <row r="24" spans="1:41" s="787" customFormat="1">
      <c r="A24" s="795"/>
      <c r="B24" s="795"/>
      <c r="C24" s="796"/>
      <c r="E24" s="790"/>
      <c r="W24" s="790"/>
      <c r="AC24" s="791"/>
      <c r="AD24" s="792"/>
      <c r="AE24" s="792"/>
      <c r="AF24" s="792"/>
      <c r="AG24" s="792"/>
      <c r="AH24" s="792"/>
      <c r="AI24" s="792"/>
      <c r="AJ24" s="793"/>
      <c r="AK24" s="792"/>
      <c r="AL24" s="792"/>
      <c r="AM24" s="792"/>
      <c r="AN24" s="792"/>
      <c r="AO24" s="794"/>
    </row>
    <row r="25" spans="1:41" s="787" customFormat="1">
      <c r="A25" s="785"/>
      <c r="B25" s="785"/>
      <c r="C25" s="786"/>
      <c r="E25" s="790"/>
      <c r="W25" s="790"/>
      <c r="AC25" s="791"/>
      <c r="AD25" s="792"/>
      <c r="AE25" s="792"/>
      <c r="AF25" s="792"/>
      <c r="AG25" s="792"/>
      <c r="AH25" s="792"/>
      <c r="AI25" s="792"/>
      <c r="AJ25" s="793"/>
      <c r="AK25" s="792"/>
      <c r="AL25" s="792"/>
      <c r="AM25" s="792"/>
      <c r="AN25" s="792"/>
      <c r="AO25" s="794"/>
    </row>
    <row r="26" spans="1:41" s="482" customFormat="1">
      <c r="C26" s="483"/>
      <c r="E26" s="484"/>
      <c r="G26" s="484"/>
      <c r="AC26" s="485"/>
      <c r="AD26" s="486"/>
      <c r="AE26" s="486"/>
      <c r="AF26" s="486"/>
      <c r="AG26" s="486"/>
      <c r="AH26" s="486"/>
      <c r="AI26" s="486"/>
      <c r="AJ26" s="483"/>
      <c r="AK26" s="486"/>
      <c r="AL26" s="486"/>
      <c r="AM26" s="486"/>
      <c r="AN26" s="486"/>
      <c r="AO26" s="487"/>
    </row>
    <row r="27" spans="1:41" s="482" customFormat="1">
      <c r="C27" s="483"/>
      <c r="E27" s="484"/>
      <c r="G27" s="484"/>
      <c r="R27" s="485"/>
      <c r="S27" s="486"/>
      <c r="T27" s="487"/>
      <c r="U27" s="487"/>
      <c r="V27" s="487"/>
      <c r="W27" s="488"/>
      <c r="AC27" s="485"/>
      <c r="AD27" s="486"/>
      <c r="AE27" s="486"/>
      <c r="AF27" s="486"/>
      <c r="AG27" s="486"/>
      <c r="AH27" s="486"/>
      <c r="AI27" s="486"/>
      <c r="AJ27" s="483"/>
      <c r="AK27" s="486"/>
      <c r="AL27" s="486"/>
      <c r="AM27" s="486"/>
      <c r="AN27" s="486"/>
      <c r="AO27" s="487"/>
    </row>
    <row r="28" spans="1:41" s="482" customFormat="1">
      <c r="C28" s="483"/>
      <c r="E28" s="484"/>
      <c r="G28" s="484"/>
      <c r="R28" s="485"/>
      <c r="S28" s="486"/>
      <c r="T28" s="487"/>
      <c r="U28" s="487"/>
      <c r="V28" s="487"/>
      <c r="W28" s="488"/>
      <c r="AC28" s="485"/>
      <c r="AD28" s="486"/>
      <c r="AE28" s="486"/>
      <c r="AF28" s="486"/>
      <c r="AG28" s="486"/>
      <c r="AH28" s="486"/>
      <c r="AI28" s="486"/>
      <c r="AJ28" s="483"/>
      <c r="AK28" s="486"/>
      <c r="AL28" s="486"/>
      <c r="AM28" s="486"/>
      <c r="AN28" s="486"/>
      <c r="AO28" s="487"/>
    </row>
    <row r="29" spans="1:41" s="482" customFormat="1">
      <c r="C29" s="483"/>
      <c r="E29" s="484"/>
      <c r="G29" s="484"/>
      <c r="R29" s="485"/>
      <c r="S29" s="486"/>
      <c r="T29" s="487"/>
      <c r="U29" s="487"/>
      <c r="V29" s="487"/>
      <c r="W29" s="488"/>
      <c r="AC29" s="485"/>
      <c r="AD29" s="486"/>
      <c r="AE29" s="486"/>
      <c r="AF29" s="486"/>
      <c r="AG29" s="486"/>
      <c r="AH29" s="486"/>
      <c r="AI29" s="486"/>
      <c r="AJ29" s="483"/>
      <c r="AK29" s="486"/>
      <c r="AL29" s="486"/>
      <c r="AM29" s="486"/>
      <c r="AN29" s="486"/>
      <c r="AO29" s="487"/>
    </row>
    <row r="30" spans="1:41" s="482" customFormat="1">
      <c r="C30" s="483"/>
      <c r="E30" s="484"/>
      <c r="G30" s="484"/>
      <c r="R30" s="485"/>
      <c r="S30" s="486"/>
      <c r="T30" s="487"/>
      <c r="U30" s="487"/>
      <c r="V30" s="487"/>
      <c r="W30" s="488"/>
      <c r="AO30" s="484"/>
    </row>
    <row r="31" spans="1:41" s="482" customFormat="1">
      <c r="C31" s="483"/>
      <c r="E31" s="484"/>
      <c r="G31" s="484"/>
      <c r="R31" s="485"/>
      <c r="S31" s="486"/>
      <c r="T31" s="487"/>
      <c r="U31" s="487"/>
      <c r="V31" s="487"/>
      <c r="W31" s="488"/>
    </row>
    <row r="32" spans="1:41" s="482" customFormat="1">
      <c r="C32" s="483"/>
      <c r="E32" s="484"/>
      <c r="G32" s="484"/>
      <c r="R32" s="485"/>
      <c r="S32" s="486"/>
      <c r="T32" s="487"/>
      <c r="U32" s="487"/>
      <c r="V32" s="487"/>
      <c r="W32" s="488"/>
    </row>
    <row r="33" spans="1:23" s="482" customFormat="1">
      <c r="C33" s="483"/>
      <c r="E33" s="484"/>
      <c r="G33" s="484"/>
      <c r="R33" s="485"/>
      <c r="S33" s="486"/>
      <c r="T33" s="487"/>
      <c r="U33" s="487"/>
      <c r="V33" s="487"/>
      <c r="W33" s="488"/>
    </row>
    <row r="34" spans="1:23" s="482" customFormat="1">
      <c r="C34" s="483"/>
      <c r="E34" s="484"/>
      <c r="G34" s="484"/>
      <c r="R34" s="485"/>
      <c r="S34" s="486"/>
      <c r="T34" s="487"/>
      <c r="U34" s="487"/>
      <c r="V34" s="487"/>
      <c r="W34" s="488"/>
    </row>
    <row r="35" spans="1:23" s="482" customFormat="1">
      <c r="C35" s="483"/>
      <c r="E35" s="484"/>
      <c r="G35" s="484"/>
      <c r="R35" s="485"/>
      <c r="S35" s="486"/>
      <c r="T35" s="487"/>
      <c r="U35" s="487"/>
      <c r="V35" s="487"/>
      <c r="W35" s="488"/>
    </row>
    <row r="36" spans="1:23" s="482" customFormat="1">
      <c r="C36" s="483"/>
      <c r="E36" s="484"/>
      <c r="G36" s="484"/>
      <c r="R36" s="485"/>
      <c r="S36" s="486"/>
      <c r="T36" s="487"/>
      <c r="U36" s="487"/>
      <c r="V36" s="487"/>
      <c r="W36" s="488"/>
    </row>
    <row r="37" spans="1:23">
      <c r="A37" s="482"/>
      <c r="B37" s="482"/>
      <c r="C37" s="483"/>
      <c r="D37" s="482"/>
      <c r="E37" s="484"/>
      <c r="F37" s="482"/>
      <c r="G37" s="484"/>
      <c r="H37" s="482"/>
      <c r="I37" s="482"/>
      <c r="J37" s="482"/>
      <c r="K37" s="482"/>
    </row>
    <row r="38" spans="1:23">
      <c r="A38" s="482"/>
      <c r="B38" s="482"/>
      <c r="C38" s="483"/>
      <c r="D38" s="482"/>
      <c r="E38" s="484"/>
      <c r="F38" s="482"/>
      <c r="G38" s="484"/>
      <c r="H38" s="482"/>
      <c r="I38" s="482"/>
      <c r="J38" s="482"/>
      <c r="K38" s="482"/>
    </row>
    <row r="39" spans="1:23">
      <c r="A39" s="482"/>
      <c r="B39" s="482"/>
      <c r="C39" s="483"/>
      <c r="D39" s="482"/>
      <c r="E39" s="484"/>
      <c r="F39" s="482"/>
      <c r="G39" s="484"/>
      <c r="H39" s="482"/>
      <c r="I39" s="482"/>
      <c r="J39" s="482"/>
      <c r="K39" s="482"/>
    </row>
    <row r="40" spans="1:23">
      <c r="A40" s="482"/>
      <c r="B40" s="482"/>
      <c r="C40" s="483"/>
      <c r="D40" s="482"/>
      <c r="E40" s="484"/>
      <c r="F40" s="482"/>
      <c r="G40" s="484"/>
      <c r="H40" s="482"/>
      <c r="I40" s="482"/>
      <c r="J40" s="482"/>
      <c r="K40" s="482"/>
    </row>
    <row r="41" spans="1:23">
      <c r="A41" s="482"/>
      <c r="B41" s="482"/>
      <c r="C41" s="483"/>
      <c r="D41" s="482"/>
      <c r="E41" s="484"/>
      <c r="F41" s="482"/>
      <c r="G41" s="484"/>
      <c r="H41" s="482"/>
      <c r="I41" s="482"/>
      <c r="J41" s="482"/>
      <c r="K41" s="482"/>
    </row>
    <row r="42" spans="1:23" ht="14.25" customHeight="1">
      <c r="A42" s="163"/>
      <c r="B42" s="163"/>
      <c r="C42" s="183"/>
      <c r="D42" s="163"/>
      <c r="E42" s="480"/>
      <c r="F42" s="163"/>
      <c r="G42" s="480"/>
      <c r="H42" s="163"/>
      <c r="I42" s="163"/>
      <c r="J42" s="163"/>
      <c r="K42" s="163"/>
    </row>
    <row r="43" spans="1:23">
      <c r="A43" s="180"/>
      <c r="B43" s="180"/>
      <c r="C43" s="481"/>
      <c r="D43" s="180"/>
      <c r="E43" s="480"/>
      <c r="F43" s="163"/>
      <c r="G43" s="480"/>
      <c r="H43" s="163"/>
      <c r="I43" s="163"/>
      <c r="J43" s="163"/>
      <c r="K43" s="163"/>
    </row>
    <row r="44" spans="1:23" ht="14.25" customHeight="1">
      <c r="A44" s="163"/>
      <c r="B44" s="163"/>
      <c r="C44" s="183"/>
      <c r="D44" s="163"/>
      <c r="E44" s="480"/>
      <c r="F44" s="163"/>
      <c r="G44" s="480"/>
      <c r="H44" s="163"/>
      <c r="I44" s="163"/>
      <c r="J44" s="163"/>
      <c r="K44" s="163"/>
    </row>
    <row r="45" spans="1:23">
      <c r="A45" s="104"/>
      <c r="B45" s="104"/>
      <c r="C45" s="105"/>
      <c r="D45" s="104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7:M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workbookViewId="0"/>
  </sheetViews>
  <sheetFormatPr defaultRowHeight="14.25"/>
  <cols>
    <col min="1" max="1" width="14" style="9" customWidth="1"/>
    <col min="2" max="2" width="16.5703125" style="93" customWidth="1"/>
    <col min="3" max="3" width="13.85546875" style="93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496</v>
      </c>
    </row>
    <row r="5" spans="1:15" ht="15.75" thickBot="1">
      <c r="A5" s="1"/>
    </row>
    <row r="6" spans="1:15" ht="15">
      <c r="A6" s="1057" t="s">
        <v>208</v>
      </c>
      <c r="B6" s="1057"/>
      <c r="C6" s="1057"/>
      <c r="D6" s="1057"/>
      <c r="E6" s="1057"/>
      <c r="F6" s="1"/>
    </row>
    <row r="7" spans="1:15" ht="15">
      <c r="A7" s="109" t="s">
        <v>209</v>
      </c>
      <c r="B7" s="110"/>
      <c r="C7" s="110"/>
      <c r="D7" s="111"/>
      <c r="E7" s="112"/>
      <c r="F7" s="1"/>
    </row>
    <row r="8" spans="1:15" ht="15" thickBot="1">
      <c r="B8" s="9"/>
      <c r="C8" s="9"/>
    </row>
    <row r="9" spans="1:15" s="113" customFormat="1" ht="30.75" customHeight="1" thickBot="1">
      <c r="A9" s="1051" t="str">
        <f>'10+_Assuntos_2024'!A7</f>
        <v>Cadastro Único (CadÚnico)</v>
      </c>
      <c r="B9" s="1052"/>
      <c r="C9" s="1053"/>
      <c r="E9" s="1051" t="str">
        <f>'10+_Assuntos_2024'!A8</f>
        <v>Buraco e Pavimentação</v>
      </c>
      <c r="F9" s="1052"/>
      <c r="G9" s="1053"/>
      <c r="I9" s="1048" t="str">
        <f>'10+_Assuntos_2024'!A9</f>
        <v>Árvore</v>
      </c>
      <c r="J9" s="1049"/>
      <c r="K9" s="1050"/>
      <c r="M9" s="1051" t="str">
        <f>'10+_Assuntos_2024'!A10</f>
        <v>Órgão externo</v>
      </c>
      <c r="N9" s="1052"/>
      <c r="O9" s="1053"/>
    </row>
    <row r="10" spans="1:15" ht="15.75" thickBot="1">
      <c r="A10" s="748" t="s">
        <v>2</v>
      </c>
      <c r="B10" s="4" t="s">
        <v>210</v>
      </c>
      <c r="C10" s="747" t="s">
        <v>211</v>
      </c>
      <c r="E10" s="748" t="s">
        <v>2</v>
      </c>
      <c r="F10" s="114" t="s">
        <v>210</v>
      </c>
      <c r="G10" s="750" t="s">
        <v>211</v>
      </c>
      <c r="I10" s="748" t="s">
        <v>2</v>
      </c>
      <c r="J10" s="114" t="s">
        <v>210</v>
      </c>
      <c r="K10" s="750" t="s">
        <v>211</v>
      </c>
      <c r="M10" s="748" t="s">
        <v>2</v>
      </c>
      <c r="N10" s="114" t="s">
        <v>210</v>
      </c>
      <c r="O10" s="750" t="s">
        <v>211</v>
      </c>
    </row>
    <row r="11" spans="1:15" ht="15">
      <c r="A11" s="736">
        <v>45292</v>
      </c>
      <c r="B11" s="7">
        <f>'10+_Assuntos_2024'!M7</f>
        <v>552</v>
      </c>
      <c r="C11" s="745">
        <f>((B11-242)/242)*100</f>
        <v>128.099173553719</v>
      </c>
      <c r="E11" s="736">
        <v>45292</v>
      </c>
      <c r="F11" s="115">
        <f>'10+_Assuntos_2024'!M8</f>
        <v>329</v>
      </c>
      <c r="G11" s="737">
        <f>((F11-218)/218)*100</f>
        <v>50.917431192660544</v>
      </c>
      <c r="I11" s="736">
        <v>45292</v>
      </c>
      <c r="J11" s="115">
        <f>'10+_Assuntos_2024'!M9</f>
        <v>349</v>
      </c>
      <c r="K11" s="737">
        <f>((J11-291)/291)*100</f>
        <v>19.93127147766323</v>
      </c>
      <c r="M11" s="736">
        <v>45292</v>
      </c>
      <c r="N11" s="115">
        <f>'10+_Assuntos_2024'!M10</f>
        <v>175</v>
      </c>
      <c r="O11" s="737">
        <f>((N11-175)/175)*100</f>
        <v>0</v>
      </c>
    </row>
    <row r="12" spans="1:15" s="482" customFormat="1" ht="15">
      <c r="A12" s="906">
        <v>45323</v>
      </c>
      <c r="B12" s="907">
        <f>'10+_Assuntos_2024'!L7</f>
        <v>798</v>
      </c>
      <c r="C12" s="908">
        <f t="shared" ref="C12:C18" si="0">((B12-B11)/B11)*100</f>
        <v>44.565217391304344</v>
      </c>
      <c r="E12" s="906">
        <v>45323</v>
      </c>
      <c r="F12" s="909">
        <f>'10+_Assuntos_2024'!L8</f>
        <v>336</v>
      </c>
      <c r="G12" s="910">
        <f t="shared" ref="G12:G18" si="1">((F12-F11)/F11)*100</f>
        <v>2.1276595744680851</v>
      </c>
      <c r="I12" s="906">
        <v>45323</v>
      </c>
      <c r="J12" s="909">
        <f>'10+_Assuntos_2024'!L9</f>
        <v>303</v>
      </c>
      <c r="K12" s="910">
        <f t="shared" ref="K12:K18" si="2">((J12-J11)/J11)*100</f>
        <v>-13.180515759312319</v>
      </c>
      <c r="M12" s="906">
        <v>45323</v>
      </c>
      <c r="N12" s="909">
        <f>'10+_Assuntos_2024'!L10</f>
        <v>252</v>
      </c>
      <c r="O12" s="910">
        <f t="shared" ref="O12:O18" si="3">((N12-N11)/N11)*100</f>
        <v>44</v>
      </c>
    </row>
    <row r="13" spans="1:15" s="482" customFormat="1" ht="15">
      <c r="A13" s="906">
        <v>45352</v>
      </c>
      <c r="B13" s="907">
        <f>'10+_Assuntos_2024'!K7</f>
        <v>822</v>
      </c>
      <c r="C13" s="908">
        <f t="shared" si="0"/>
        <v>3.007518796992481</v>
      </c>
      <c r="E13" s="906">
        <v>45352</v>
      </c>
      <c r="F13" s="909">
        <f>'10+_Assuntos_2024'!K8</f>
        <v>418</v>
      </c>
      <c r="G13" s="910">
        <f t="shared" si="1"/>
        <v>24.404761904761905</v>
      </c>
      <c r="I13" s="906">
        <v>45352</v>
      </c>
      <c r="J13" s="909">
        <f>'10+_Assuntos_2024'!K9</f>
        <v>316</v>
      </c>
      <c r="K13" s="910">
        <f t="shared" si="2"/>
        <v>4.2904290429042904</v>
      </c>
      <c r="M13" s="906">
        <v>45352</v>
      </c>
      <c r="N13" s="909">
        <f>'10+_Assuntos_2024'!K10</f>
        <v>148</v>
      </c>
      <c r="O13" s="910">
        <f t="shared" si="3"/>
        <v>-41.269841269841265</v>
      </c>
    </row>
    <row r="14" spans="1:15" s="482" customFormat="1" ht="15">
      <c r="A14" s="906">
        <v>45383</v>
      </c>
      <c r="B14" s="907">
        <f>'10+_Assuntos_2024'!J$7</f>
        <v>819</v>
      </c>
      <c r="C14" s="908">
        <f t="shared" si="0"/>
        <v>-0.36496350364963503</v>
      </c>
      <c r="E14" s="906">
        <v>45383</v>
      </c>
      <c r="F14" s="909">
        <f>'10+_Assuntos_2024'!J$8</f>
        <v>369</v>
      </c>
      <c r="G14" s="910">
        <f t="shared" si="1"/>
        <v>-11.722488038277511</v>
      </c>
      <c r="I14" s="906">
        <v>45383</v>
      </c>
      <c r="J14" s="909">
        <f>'10+_Assuntos_2024'!J$9</f>
        <v>283</v>
      </c>
      <c r="K14" s="910">
        <f t="shared" si="2"/>
        <v>-10.443037974683545</v>
      </c>
      <c r="M14" s="906">
        <v>45383</v>
      </c>
      <c r="N14" s="909">
        <f>'10+_Assuntos_2024'!J$10</f>
        <v>314</v>
      </c>
      <c r="O14" s="910">
        <f t="shared" si="3"/>
        <v>112.16216216216218</v>
      </c>
    </row>
    <row r="15" spans="1:15" ht="15">
      <c r="A15" s="738">
        <v>45413</v>
      </c>
      <c r="B15" s="798">
        <f>'10+_Assuntos_2024'!I$7</f>
        <v>0</v>
      </c>
      <c r="C15" s="799">
        <f t="shared" si="0"/>
        <v>-100</v>
      </c>
      <c r="E15" s="738">
        <v>45413</v>
      </c>
      <c r="F15" s="802">
        <f>'10+_Assuntos_2024'!I$8</f>
        <v>0</v>
      </c>
      <c r="G15" s="803">
        <f t="shared" si="1"/>
        <v>-100</v>
      </c>
      <c r="I15" s="738">
        <v>45413</v>
      </c>
      <c r="J15" s="802">
        <f>'10+_Assuntos_2024'!I$9</f>
        <v>0</v>
      </c>
      <c r="K15" s="803">
        <f t="shared" si="2"/>
        <v>-100</v>
      </c>
      <c r="M15" s="738">
        <v>45413</v>
      </c>
      <c r="N15" s="802">
        <f>'10+_Assuntos_2024'!I$10</f>
        <v>0</v>
      </c>
      <c r="O15" s="803">
        <f t="shared" si="3"/>
        <v>-100</v>
      </c>
    </row>
    <row r="16" spans="1:15" ht="15">
      <c r="A16" s="738">
        <v>45444</v>
      </c>
      <c r="B16" s="798">
        <f>'10+_Assuntos_2024'!H$7</f>
        <v>0</v>
      </c>
      <c r="C16" s="799" t="e">
        <f t="shared" si="0"/>
        <v>#DIV/0!</v>
      </c>
      <c r="E16" s="738">
        <v>45444</v>
      </c>
      <c r="F16" s="802">
        <f>'10+_Assuntos_2024'!H$8</f>
        <v>0</v>
      </c>
      <c r="G16" s="803" t="e">
        <f t="shared" si="1"/>
        <v>#DIV/0!</v>
      </c>
      <c r="I16" s="738">
        <v>45444</v>
      </c>
      <c r="J16" s="802">
        <f>'10+_Assuntos_2024'!H$9</f>
        <v>0</v>
      </c>
      <c r="K16" s="803" t="e">
        <f t="shared" si="2"/>
        <v>#DIV/0!</v>
      </c>
      <c r="M16" s="738">
        <v>45444</v>
      </c>
      <c r="N16" s="802">
        <f>'10+_Assuntos_2024'!H$10</f>
        <v>0</v>
      </c>
      <c r="O16" s="803" t="e">
        <f t="shared" si="3"/>
        <v>#DIV/0!</v>
      </c>
    </row>
    <row r="17" spans="1:15" ht="15">
      <c r="A17" s="738">
        <v>45474</v>
      </c>
      <c r="B17" s="798">
        <f>'10+_Assuntos_2024'!G$7</f>
        <v>0</v>
      </c>
      <c r="C17" s="799" t="e">
        <f t="shared" si="0"/>
        <v>#DIV/0!</v>
      </c>
      <c r="E17" s="738">
        <v>45474</v>
      </c>
      <c r="F17" s="802">
        <f>'10+_Assuntos_2024'!G$8</f>
        <v>0</v>
      </c>
      <c r="G17" s="803" t="e">
        <f t="shared" si="1"/>
        <v>#DIV/0!</v>
      </c>
      <c r="I17" s="738">
        <v>45474</v>
      </c>
      <c r="J17" s="802">
        <f>'10+_Assuntos_2024'!G$9</f>
        <v>0</v>
      </c>
      <c r="K17" s="803" t="e">
        <f t="shared" si="2"/>
        <v>#DIV/0!</v>
      </c>
      <c r="M17" s="738">
        <v>45474</v>
      </c>
      <c r="N17" s="802">
        <f>'10+_Assuntos_2024'!G$10</f>
        <v>0</v>
      </c>
      <c r="O17" s="803" t="e">
        <f t="shared" si="3"/>
        <v>#DIV/0!</v>
      </c>
    </row>
    <row r="18" spans="1:15" ht="15">
      <c r="A18" s="738">
        <v>45505</v>
      </c>
      <c r="B18" s="798">
        <f>'10+_Assuntos_2024'!F$7</f>
        <v>0</v>
      </c>
      <c r="C18" s="799" t="e">
        <f t="shared" si="0"/>
        <v>#DIV/0!</v>
      </c>
      <c r="E18" s="738">
        <v>45505</v>
      </c>
      <c r="F18" s="802">
        <f>'10+_Assuntos_2024'!F$8</f>
        <v>0</v>
      </c>
      <c r="G18" s="803" t="e">
        <f t="shared" si="1"/>
        <v>#DIV/0!</v>
      </c>
      <c r="I18" s="738">
        <v>45505</v>
      </c>
      <c r="J18" s="802">
        <f>'10+_Assuntos_2024'!F$9</f>
        <v>0</v>
      </c>
      <c r="K18" s="803" t="e">
        <f t="shared" si="2"/>
        <v>#DIV/0!</v>
      </c>
      <c r="M18" s="738">
        <v>45505</v>
      </c>
      <c r="N18" s="802">
        <f>'10+_Assuntos_2024'!F$10</f>
        <v>0</v>
      </c>
      <c r="O18" s="803" t="e">
        <f t="shared" si="3"/>
        <v>#DIV/0!</v>
      </c>
    </row>
    <row r="19" spans="1:15" ht="15">
      <c r="A19" s="738">
        <v>45536</v>
      </c>
      <c r="B19" s="798">
        <f>'10+_Assuntos_2024'!E$7</f>
        <v>0</v>
      </c>
      <c r="C19" s="799" t="e">
        <f t="shared" ref="C19:C22" si="4">((B19-B18)/B18)*100</f>
        <v>#DIV/0!</v>
      </c>
      <c r="E19" s="738">
        <v>45536</v>
      </c>
      <c r="F19" s="802">
        <f>'10+_Assuntos_2024'!E$8</f>
        <v>0</v>
      </c>
      <c r="G19" s="803" t="e">
        <f t="shared" ref="G19:G22" si="5">((F19-F18)/F18)*100</f>
        <v>#DIV/0!</v>
      </c>
      <c r="I19" s="738">
        <v>45536</v>
      </c>
      <c r="J19" s="802">
        <f>'10+_Assuntos_2024'!E$9</f>
        <v>0</v>
      </c>
      <c r="K19" s="803" t="e">
        <f t="shared" ref="K19:K22" si="6">((J19-J18)/J18)*100</f>
        <v>#DIV/0!</v>
      </c>
      <c r="M19" s="738">
        <v>45536</v>
      </c>
      <c r="N19" s="802">
        <f>'10+_Assuntos_2024'!E$10</f>
        <v>0</v>
      </c>
      <c r="O19" s="803" t="e">
        <f t="shared" ref="O19:O22" si="7">((N19-N18)/N18)*100</f>
        <v>#DIV/0!</v>
      </c>
    </row>
    <row r="20" spans="1:15" ht="15">
      <c r="A20" s="738">
        <v>45566</v>
      </c>
      <c r="B20" s="798">
        <f>'10+_Assuntos_2024'!D$7</f>
        <v>0</v>
      </c>
      <c r="C20" s="799" t="e">
        <f t="shared" si="4"/>
        <v>#DIV/0!</v>
      </c>
      <c r="E20" s="738">
        <v>45566</v>
      </c>
      <c r="F20" s="798">
        <f>'10+_Assuntos_2024'!D$8</f>
        <v>0</v>
      </c>
      <c r="G20" s="799" t="e">
        <f t="shared" si="5"/>
        <v>#DIV/0!</v>
      </c>
      <c r="I20" s="738">
        <v>45566</v>
      </c>
      <c r="J20" s="802">
        <f>'10+_Assuntos_2024'!D$9</f>
        <v>0</v>
      </c>
      <c r="K20" s="803" t="e">
        <f t="shared" si="6"/>
        <v>#DIV/0!</v>
      </c>
      <c r="M20" s="738">
        <v>45566</v>
      </c>
      <c r="N20" s="802">
        <f>'10+_Assuntos_2024'!D$10</f>
        <v>0</v>
      </c>
      <c r="O20" s="803" t="e">
        <f t="shared" si="7"/>
        <v>#DIV/0!</v>
      </c>
    </row>
    <row r="21" spans="1:15" ht="15">
      <c r="A21" s="738">
        <v>45597</v>
      </c>
      <c r="B21" s="798">
        <f>'10+_Assuntos_2024'!C$7</f>
        <v>0</v>
      </c>
      <c r="C21" s="799" t="e">
        <f t="shared" si="4"/>
        <v>#DIV/0!</v>
      </c>
      <c r="E21" s="738">
        <v>45597</v>
      </c>
      <c r="F21" s="798">
        <f>'10+_Assuntos_2024'!C$8</f>
        <v>0</v>
      </c>
      <c r="G21" s="799" t="e">
        <f t="shared" si="5"/>
        <v>#DIV/0!</v>
      </c>
      <c r="I21" s="738">
        <v>45597</v>
      </c>
      <c r="J21" s="802">
        <f>'10+_Assuntos_2024'!C$9</f>
        <v>0</v>
      </c>
      <c r="K21" s="803" t="e">
        <f t="shared" si="6"/>
        <v>#DIV/0!</v>
      </c>
      <c r="M21" s="738">
        <v>45597</v>
      </c>
      <c r="N21" s="802">
        <f>'10+_Assuntos_2024'!C$10</f>
        <v>0</v>
      </c>
      <c r="O21" s="803" t="e">
        <f t="shared" si="7"/>
        <v>#DIV/0!</v>
      </c>
    </row>
    <row r="22" spans="1:15" ht="15.75" thickBot="1">
      <c r="A22" s="739">
        <v>45627</v>
      </c>
      <c r="B22" s="800">
        <f>'10+_Assuntos_2024'!B$7</f>
        <v>0</v>
      </c>
      <c r="C22" s="801" t="e">
        <f t="shared" si="4"/>
        <v>#DIV/0!</v>
      </c>
      <c r="E22" s="739">
        <v>45627</v>
      </c>
      <c r="F22" s="800">
        <f>'10+_Assuntos_2024'!B$8</f>
        <v>0</v>
      </c>
      <c r="G22" s="801" t="e">
        <f t="shared" si="5"/>
        <v>#DIV/0!</v>
      </c>
      <c r="I22" s="739">
        <v>45627</v>
      </c>
      <c r="J22" s="804">
        <f>'10+_Assuntos_2024'!B$9</f>
        <v>0</v>
      </c>
      <c r="K22" s="805" t="e">
        <f t="shared" si="6"/>
        <v>#DIV/0!</v>
      </c>
      <c r="M22" s="739">
        <v>45627</v>
      </c>
      <c r="N22" s="804">
        <f>'10+_Assuntos_2024'!B$10</f>
        <v>0</v>
      </c>
      <c r="O22" s="805" t="e">
        <f t="shared" si="7"/>
        <v>#DIV/0!</v>
      </c>
    </row>
    <row r="23" spans="1:15">
      <c r="B23" s="9"/>
      <c r="C23" s="9"/>
    </row>
    <row r="24" spans="1:15" ht="15" thickBot="1">
      <c r="B24" s="9"/>
      <c r="C24" s="9"/>
    </row>
    <row r="25" spans="1:15" s="113" customFormat="1" ht="30.75" customHeight="1" thickBot="1">
      <c r="A25" s="1051" t="str">
        <f>'10+_Assuntos_2024'!A11</f>
        <v>Qualidade de atendimento</v>
      </c>
      <c r="B25" s="1052"/>
      <c r="C25" s="1053"/>
      <c r="E25" s="1048" t="str">
        <f>'10+_Assuntos_2024'!A12</f>
        <v>Poluição sonora - PSIU</v>
      </c>
      <c r="F25" s="1049"/>
      <c r="G25" s="1050"/>
      <c r="I25" s="1054" t="str">
        <f>'10+_Assuntos_2024'!A13</f>
        <v>Processo Administrativo</v>
      </c>
      <c r="J25" s="1054"/>
      <c r="K25" s="1054"/>
      <c r="M25" s="1055" t="str">
        <f>'10+_Assuntos_2024'!A14</f>
        <v>Sinalização e Circulação de veículos e Pedestres</v>
      </c>
      <c r="N25" s="1055"/>
      <c r="O25" s="1055"/>
    </row>
    <row r="26" spans="1:15" ht="15.75" thickBot="1">
      <c r="A26" s="748" t="s">
        <v>2</v>
      </c>
      <c r="B26" s="117" t="s">
        <v>210</v>
      </c>
      <c r="C26" s="749" t="s">
        <v>211</v>
      </c>
      <c r="E26" s="746" t="s">
        <v>2</v>
      </c>
      <c r="F26" s="5" t="s">
        <v>210</v>
      </c>
      <c r="G26" s="747" t="s">
        <v>211</v>
      </c>
      <c r="I26" s="733" t="s">
        <v>2</v>
      </c>
      <c r="J26" s="734" t="s">
        <v>210</v>
      </c>
      <c r="K26" s="735" t="s">
        <v>211</v>
      </c>
      <c r="M26" s="733" t="s">
        <v>2</v>
      </c>
      <c r="N26" s="744" t="s">
        <v>210</v>
      </c>
      <c r="O26" s="735" t="s">
        <v>211</v>
      </c>
    </row>
    <row r="27" spans="1:15" ht="15">
      <c r="A27" s="736">
        <v>45292</v>
      </c>
      <c r="B27" s="115">
        <f>'10+_Assuntos_2024'!M11</f>
        <v>197</v>
      </c>
      <c r="C27" s="737">
        <f>((B27-157)/157)*100</f>
        <v>25.477707006369428</v>
      </c>
      <c r="E27" s="736">
        <v>45292</v>
      </c>
      <c r="F27" s="115">
        <f>'10+_Assuntos_2024'!M12</f>
        <v>174</v>
      </c>
      <c r="G27" s="737">
        <f>((F27-160)/160)*100</f>
        <v>8.75</v>
      </c>
      <c r="I27" s="736">
        <v>45292</v>
      </c>
      <c r="J27" s="115">
        <f>'10+_Assuntos_2024'!M13</f>
        <v>212</v>
      </c>
      <c r="K27" s="737">
        <f>((J27-173)/173)*100</f>
        <v>22.543352601156069</v>
      </c>
      <c r="M27" s="736">
        <v>45292</v>
      </c>
      <c r="N27" s="115">
        <f>'10+_Assuntos_2024'!M14</f>
        <v>162</v>
      </c>
      <c r="O27" s="745">
        <f>((N27-170)/170)*100</f>
        <v>-4.7058823529411766</v>
      </c>
    </row>
    <row r="28" spans="1:15" s="482" customFormat="1" ht="15">
      <c r="A28" s="906">
        <v>45323</v>
      </c>
      <c r="B28" s="909">
        <f>'10+_Assuntos_2024'!L11</f>
        <v>172</v>
      </c>
      <c r="C28" s="910">
        <f t="shared" ref="C28:C34" si="8">((B28-B27)/B27)*100</f>
        <v>-12.690355329949238</v>
      </c>
      <c r="E28" s="906">
        <v>45323</v>
      </c>
      <c r="F28" s="909">
        <f>'10+_Assuntos_2024'!L12</f>
        <v>180</v>
      </c>
      <c r="G28" s="910">
        <f t="shared" ref="G28:G34" si="9">((F28-F27)/F27)*100</f>
        <v>3.4482758620689653</v>
      </c>
      <c r="I28" s="906">
        <v>45323</v>
      </c>
      <c r="J28" s="909">
        <f>'10+_Assuntos_2024'!L13</f>
        <v>198</v>
      </c>
      <c r="K28" s="910">
        <f t="shared" ref="K28:K34" si="10">((J28-J27)/J27)*100</f>
        <v>-6.6037735849056602</v>
      </c>
      <c r="M28" s="906">
        <v>45323</v>
      </c>
      <c r="N28" s="909">
        <f>'10+_Assuntos_2024'!L14</f>
        <v>131</v>
      </c>
      <c r="O28" s="908">
        <f t="shared" ref="O28:O33" si="11">((N28-N27)/N27)*100</f>
        <v>-19.1358024691358</v>
      </c>
    </row>
    <row r="29" spans="1:15" s="482" customFormat="1" ht="15">
      <c r="A29" s="906">
        <v>45352</v>
      </c>
      <c r="B29" s="909">
        <f>'10+_Assuntos_2024'!K11</f>
        <v>169</v>
      </c>
      <c r="C29" s="910">
        <f t="shared" si="8"/>
        <v>-1.7441860465116279</v>
      </c>
      <c r="E29" s="906">
        <v>45352</v>
      </c>
      <c r="F29" s="909">
        <f>'10+_Assuntos_2024'!K12</f>
        <v>184</v>
      </c>
      <c r="G29" s="910">
        <f t="shared" si="9"/>
        <v>2.2222222222222223</v>
      </c>
      <c r="I29" s="906">
        <v>45352</v>
      </c>
      <c r="J29" s="909">
        <f>'10+_Assuntos_2024'!K13</f>
        <v>182</v>
      </c>
      <c r="K29" s="910">
        <f t="shared" si="10"/>
        <v>-8.0808080808080813</v>
      </c>
      <c r="M29" s="906">
        <v>45352</v>
      </c>
      <c r="N29" s="909">
        <f>'10+_Assuntos_2024'!K14</f>
        <v>151</v>
      </c>
      <c r="O29" s="908">
        <f t="shared" si="11"/>
        <v>15.267175572519085</v>
      </c>
    </row>
    <row r="30" spans="1:15" s="482" customFormat="1" ht="15">
      <c r="A30" s="906">
        <v>45383</v>
      </c>
      <c r="B30" s="909">
        <f>'10+_Assuntos_2024'!J$11</f>
        <v>266</v>
      </c>
      <c r="C30" s="910">
        <f t="shared" si="8"/>
        <v>57.396449704142015</v>
      </c>
      <c r="E30" s="906">
        <v>45383</v>
      </c>
      <c r="F30" s="909">
        <f>'10+_Assuntos_2024'!J$12</f>
        <v>236</v>
      </c>
      <c r="G30" s="910">
        <f t="shared" si="9"/>
        <v>28.260869565217391</v>
      </c>
      <c r="I30" s="906">
        <v>45383</v>
      </c>
      <c r="J30" s="909">
        <f>'10+_Assuntos_2024'!J$13</f>
        <v>167</v>
      </c>
      <c r="K30" s="910">
        <f t="shared" si="10"/>
        <v>-8.2417582417582409</v>
      </c>
      <c r="M30" s="906">
        <v>45383</v>
      </c>
      <c r="N30" s="909">
        <f>'10+_Assuntos_2024'!J$14</f>
        <v>176</v>
      </c>
      <c r="O30" s="908">
        <f t="shared" si="11"/>
        <v>16.556291390728479</v>
      </c>
    </row>
    <row r="31" spans="1:15" ht="15">
      <c r="A31" s="738">
        <v>45413</v>
      </c>
      <c r="B31" s="802">
        <f>'10+_Assuntos_2024'!I$11</f>
        <v>0</v>
      </c>
      <c r="C31" s="803">
        <f t="shared" si="8"/>
        <v>-100</v>
      </c>
      <c r="E31" s="738">
        <v>45413</v>
      </c>
      <c r="F31" s="802">
        <f>'10+_Assuntos_2024'!I$12</f>
        <v>0</v>
      </c>
      <c r="G31" s="803">
        <f t="shared" si="9"/>
        <v>-100</v>
      </c>
      <c r="I31" s="738">
        <v>45413</v>
      </c>
      <c r="J31" s="802">
        <f>'10+_Assuntos_2024'!I$13</f>
        <v>0</v>
      </c>
      <c r="K31" s="803">
        <f t="shared" si="10"/>
        <v>-100</v>
      </c>
      <c r="M31" s="738">
        <v>45413</v>
      </c>
      <c r="N31" s="802">
        <f>'10+_Assuntos_2024'!I$14</f>
        <v>0</v>
      </c>
      <c r="O31" s="799">
        <f t="shared" si="11"/>
        <v>-100</v>
      </c>
    </row>
    <row r="32" spans="1:15" ht="15">
      <c r="A32" s="738">
        <v>45444</v>
      </c>
      <c r="B32" s="802">
        <f>'10+_Assuntos_2024'!H$11</f>
        <v>0</v>
      </c>
      <c r="C32" s="803" t="e">
        <f t="shared" si="8"/>
        <v>#DIV/0!</v>
      </c>
      <c r="E32" s="738">
        <v>45444</v>
      </c>
      <c r="F32" s="802">
        <f>'10+_Assuntos_2024'!H$12</f>
        <v>0</v>
      </c>
      <c r="G32" s="803" t="e">
        <f t="shared" si="9"/>
        <v>#DIV/0!</v>
      </c>
      <c r="I32" s="738">
        <v>45444</v>
      </c>
      <c r="J32" s="802">
        <f>'10+_Assuntos_2024'!H$13</f>
        <v>0</v>
      </c>
      <c r="K32" s="803" t="e">
        <f t="shared" si="10"/>
        <v>#DIV/0!</v>
      </c>
      <c r="M32" s="738">
        <v>45444</v>
      </c>
      <c r="N32" s="802">
        <f>'10+_Assuntos_2024'!H$14</f>
        <v>0</v>
      </c>
      <c r="O32" s="799" t="e">
        <f t="shared" si="11"/>
        <v>#DIV/0!</v>
      </c>
    </row>
    <row r="33" spans="1:15" ht="15">
      <c r="A33" s="738">
        <v>45474</v>
      </c>
      <c r="B33" s="802">
        <f>'10+_Assuntos_2024'!G$11</f>
        <v>0</v>
      </c>
      <c r="C33" s="803" t="e">
        <f t="shared" si="8"/>
        <v>#DIV/0!</v>
      </c>
      <c r="E33" s="738">
        <v>45474</v>
      </c>
      <c r="F33" s="802">
        <f>'10+_Assuntos_2024'!G$12</f>
        <v>0</v>
      </c>
      <c r="G33" s="803" t="e">
        <f t="shared" si="9"/>
        <v>#DIV/0!</v>
      </c>
      <c r="I33" s="738">
        <v>45474</v>
      </c>
      <c r="J33" s="802">
        <f>'10+_Assuntos_2024'!G$13</f>
        <v>0</v>
      </c>
      <c r="K33" s="803" t="e">
        <f t="shared" si="10"/>
        <v>#DIV/0!</v>
      </c>
      <c r="M33" s="738">
        <v>45474</v>
      </c>
      <c r="N33" s="802">
        <f>'10+_Assuntos_2024'!G$14</f>
        <v>0</v>
      </c>
      <c r="O33" s="799" t="e">
        <f t="shared" si="11"/>
        <v>#DIV/0!</v>
      </c>
    </row>
    <row r="34" spans="1:15" ht="15">
      <c r="A34" s="738">
        <v>45505</v>
      </c>
      <c r="B34" s="802">
        <f>'10+_Assuntos_2024'!F$11</f>
        <v>0</v>
      </c>
      <c r="C34" s="803" t="e">
        <f t="shared" si="8"/>
        <v>#DIV/0!</v>
      </c>
      <c r="E34" s="738">
        <v>45505</v>
      </c>
      <c r="F34" s="802">
        <f>'10+_Assuntos_2024'!F$12</f>
        <v>0</v>
      </c>
      <c r="G34" s="803" t="e">
        <f t="shared" si="9"/>
        <v>#DIV/0!</v>
      </c>
      <c r="I34" s="738">
        <v>45505</v>
      </c>
      <c r="J34" s="802">
        <f>'10+_Assuntos_2024'!F$13</f>
        <v>0</v>
      </c>
      <c r="K34" s="803" t="e">
        <f t="shared" si="10"/>
        <v>#DIV/0!</v>
      </c>
      <c r="M34" s="738">
        <v>45505</v>
      </c>
      <c r="N34" s="802">
        <f>'10+_Assuntos_2024'!F$14</f>
        <v>0</v>
      </c>
      <c r="O34" s="799" t="e">
        <f t="shared" ref="O34" si="12">((N34-N33)/N33)*100</f>
        <v>#DIV/0!</v>
      </c>
    </row>
    <row r="35" spans="1:15" ht="15">
      <c r="A35" s="738">
        <v>45536</v>
      </c>
      <c r="B35" s="802">
        <f>'10+_Assuntos_2024'!E$11</f>
        <v>0</v>
      </c>
      <c r="C35" s="803" t="e">
        <f t="shared" ref="C35:C38" si="13">((B35-B34)/B34)*100</f>
        <v>#DIV/0!</v>
      </c>
      <c r="E35" s="738">
        <v>45536</v>
      </c>
      <c r="F35" s="802">
        <f>'10+_Assuntos_2024'!E$12</f>
        <v>0</v>
      </c>
      <c r="G35" s="803" t="e">
        <f t="shared" ref="G35:G38" si="14">((F35-F34)/F34)*100</f>
        <v>#DIV/0!</v>
      </c>
      <c r="I35" s="738">
        <v>45536</v>
      </c>
      <c r="J35" s="802">
        <f>'10+_Assuntos_2024'!E$13</f>
        <v>0</v>
      </c>
      <c r="K35" s="803" t="e">
        <f t="shared" ref="K35:K38" si="15">((J35-J34)/J34)*100</f>
        <v>#DIV/0!</v>
      </c>
      <c r="M35" s="738">
        <v>45536</v>
      </c>
      <c r="N35" s="802">
        <f>'10+_Assuntos_2024'!E$14</f>
        <v>0</v>
      </c>
      <c r="O35" s="799" t="e">
        <f t="shared" ref="O35:O38" si="16">((N35-N34)/N34)*100</f>
        <v>#DIV/0!</v>
      </c>
    </row>
    <row r="36" spans="1:15" ht="15">
      <c r="A36" s="738">
        <v>45566</v>
      </c>
      <c r="B36" s="802">
        <f>'10+_Assuntos_2024'!D$11</f>
        <v>0</v>
      </c>
      <c r="C36" s="803" t="e">
        <f t="shared" si="13"/>
        <v>#DIV/0!</v>
      </c>
      <c r="E36" s="738">
        <v>45566</v>
      </c>
      <c r="F36" s="802">
        <f>'10+_Assuntos_2024'!D$12</f>
        <v>0</v>
      </c>
      <c r="G36" s="803" t="e">
        <f t="shared" si="14"/>
        <v>#DIV/0!</v>
      </c>
      <c r="I36" s="738">
        <v>45566</v>
      </c>
      <c r="J36" s="802">
        <f>'10+_Assuntos_2024'!D$13</f>
        <v>0</v>
      </c>
      <c r="K36" s="803" t="e">
        <f t="shared" si="15"/>
        <v>#DIV/0!</v>
      </c>
      <c r="M36" s="738">
        <v>45566</v>
      </c>
      <c r="N36" s="802">
        <f>'10+_Assuntos_2024'!D$14</f>
        <v>0</v>
      </c>
      <c r="O36" s="799" t="e">
        <f t="shared" si="16"/>
        <v>#DIV/0!</v>
      </c>
    </row>
    <row r="37" spans="1:15" ht="15">
      <c r="A37" s="738">
        <v>45597</v>
      </c>
      <c r="B37" s="802">
        <f>'10+_Assuntos_2024'!C$11</f>
        <v>0</v>
      </c>
      <c r="C37" s="803" t="e">
        <f t="shared" si="13"/>
        <v>#DIV/0!</v>
      </c>
      <c r="E37" s="738">
        <v>45597</v>
      </c>
      <c r="F37" s="802">
        <f>'10+_Assuntos_2024'!C$12</f>
        <v>0</v>
      </c>
      <c r="G37" s="803" t="e">
        <f t="shared" si="14"/>
        <v>#DIV/0!</v>
      </c>
      <c r="I37" s="738">
        <v>45597</v>
      </c>
      <c r="J37" s="802">
        <f>'10+_Assuntos_2024'!C$13</f>
        <v>0</v>
      </c>
      <c r="K37" s="803" t="e">
        <f t="shared" si="15"/>
        <v>#DIV/0!</v>
      </c>
      <c r="M37" s="738">
        <v>45597</v>
      </c>
      <c r="N37" s="802">
        <f>'10+_Assuntos_2024'!C$14</f>
        <v>0</v>
      </c>
      <c r="O37" s="799" t="e">
        <f t="shared" si="16"/>
        <v>#DIV/0!</v>
      </c>
    </row>
    <row r="38" spans="1:15" ht="15.75" thickBot="1">
      <c r="A38" s="739">
        <v>45627</v>
      </c>
      <c r="B38" s="804">
        <f>'10+_Assuntos_2024'!B$11</f>
        <v>0</v>
      </c>
      <c r="C38" s="805" t="e">
        <f t="shared" si="13"/>
        <v>#DIV/0!</v>
      </c>
      <c r="E38" s="739">
        <v>45627</v>
      </c>
      <c r="F38" s="804">
        <f>'10+_Assuntos_2024'!B$12</f>
        <v>0</v>
      </c>
      <c r="G38" s="805" t="e">
        <f t="shared" si="14"/>
        <v>#DIV/0!</v>
      </c>
      <c r="I38" s="739">
        <v>45627</v>
      </c>
      <c r="J38" s="804">
        <f>'10+_Assuntos_2024'!B$13</f>
        <v>0</v>
      </c>
      <c r="K38" s="805" t="e">
        <f t="shared" si="15"/>
        <v>#DIV/0!</v>
      </c>
      <c r="M38" s="739">
        <v>45627</v>
      </c>
      <c r="N38" s="804">
        <f>'10+_Assuntos_2024'!B$14</f>
        <v>0</v>
      </c>
      <c r="O38" s="801" t="e">
        <f t="shared" si="16"/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055" t="str">
        <f>'10+_Assuntos_2024'!A15</f>
        <v>Estabelecimentos comerciais, indústrias e serviços</v>
      </c>
      <c r="B41" s="1055"/>
      <c r="C41" s="1055"/>
      <c r="E41" s="1056" t="str">
        <f>'10+_Assuntos_2024'!A16</f>
        <v>Capinação e roçada de áreas verdes</v>
      </c>
      <c r="F41" s="1056"/>
      <c r="G41" s="1056"/>
    </row>
    <row r="42" spans="1:15" ht="15.75" thickBot="1">
      <c r="A42" s="733" t="s">
        <v>2</v>
      </c>
      <c r="B42" s="734" t="s">
        <v>210</v>
      </c>
      <c r="C42" s="735" t="s">
        <v>211</v>
      </c>
      <c r="E42" s="4" t="s">
        <v>2</v>
      </c>
      <c r="F42" s="118" t="s">
        <v>210</v>
      </c>
      <c r="G42" s="118" t="s">
        <v>211</v>
      </c>
    </row>
    <row r="43" spans="1:15" ht="15">
      <c r="A43" s="736">
        <v>45292</v>
      </c>
      <c r="B43" s="116">
        <f>'10+_Assuntos_2024'!M15</f>
        <v>166</v>
      </c>
      <c r="C43" s="737">
        <f>((B43-135)/135)*100</f>
        <v>22.962962962962962</v>
      </c>
      <c r="E43" s="741">
        <v>45292</v>
      </c>
      <c r="F43" s="742">
        <f>'10+_Assuntos_2024'!M16</f>
        <v>153</v>
      </c>
      <c r="G43" s="743">
        <f>((F43-81)/81)*100</f>
        <v>88.888888888888886</v>
      </c>
    </row>
    <row r="44" spans="1:15" s="482" customFormat="1" ht="15">
      <c r="A44" s="906">
        <v>45323</v>
      </c>
      <c r="B44" s="909">
        <f>'10+_Assuntos_2024'!L15</f>
        <v>162</v>
      </c>
      <c r="C44" s="910">
        <f t="shared" ref="C44:C49" si="17">((B44-B43)/B43)*100</f>
        <v>-2.4096385542168677</v>
      </c>
      <c r="E44" s="906">
        <v>45323</v>
      </c>
      <c r="F44" s="909">
        <f>'10+_Assuntos_2024'!L16</f>
        <v>145</v>
      </c>
      <c r="G44" s="910">
        <f t="shared" ref="G44:G49" si="18">((F44-F43)/F43)*100</f>
        <v>-5.2287581699346406</v>
      </c>
    </row>
    <row r="45" spans="1:15" s="482" customFormat="1" ht="15">
      <c r="A45" s="906">
        <v>45352</v>
      </c>
      <c r="B45" s="909">
        <f>'10+_Assuntos_2024'!K15</f>
        <v>130</v>
      </c>
      <c r="C45" s="910">
        <f t="shared" si="17"/>
        <v>-19.753086419753085</v>
      </c>
      <c r="E45" s="906">
        <v>45352</v>
      </c>
      <c r="F45" s="909">
        <f>'10+_Assuntos_2024'!K16</f>
        <v>167</v>
      </c>
      <c r="G45" s="910">
        <f t="shared" si="18"/>
        <v>15.172413793103448</v>
      </c>
    </row>
    <row r="46" spans="1:15" s="482" customFormat="1" ht="15">
      <c r="A46" s="906">
        <v>45383</v>
      </c>
      <c r="B46" s="909">
        <f>'10+_Assuntos_2024'!J$15</f>
        <v>155</v>
      </c>
      <c r="C46" s="910">
        <f t="shared" si="17"/>
        <v>19.230769230769234</v>
      </c>
      <c r="E46" s="906">
        <v>45383</v>
      </c>
      <c r="F46" s="909">
        <f>'10+_Assuntos_2024'!J$16</f>
        <v>141</v>
      </c>
      <c r="G46" s="910">
        <f t="shared" si="18"/>
        <v>-15.568862275449103</v>
      </c>
    </row>
    <row r="47" spans="1:15" ht="15">
      <c r="A47" s="738">
        <v>45413</v>
      </c>
      <c r="B47" s="802">
        <f>'10+_Assuntos_2024'!I$15</f>
        <v>0</v>
      </c>
      <c r="C47" s="803">
        <f t="shared" si="17"/>
        <v>-100</v>
      </c>
      <c r="E47" s="738">
        <v>45413</v>
      </c>
      <c r="F47" s="802">
        <f>'10+_Assuntos_2024'!I$16</f>
        <v>0</v>
      </c>
      <c r="G47" s="803">
        <f t="shared" si="18"/>
        <v>-100</v>
      </c>
    </row>
    <row r="48" spans="1:15" ht="15">
      <c r="A48" s="738">
        <v>45444</v>
      </c>
      <c r="B48" s="802">
        <f>'10+_Assuntos_2024'!H$15</f>
        <v>0</v>
      </c>
      <c r="C48" s="803" t="e">
        <f t="shared" si="17"/>
        <v>#DIV/0!</v>
      </c>
      <c r="E48" s="738">
        <v>45444</v>
      </c>
      <c r="F48" s="802">
        <f>'10+_Assuntos_2024'!H$16</f>
        <v>0</v>
      </c>
      <c r="G48" s="803" t="e">
        <f t="shared" si="18"/>
        <v>#DIV/0!</v>
      </c>
    </row>
    <row r="49" spans="1:7" ht="15">
      <c r="A49" s="738">
        <v>45474</v>
      </c>
      <c r="B49" s="802">
        <f>'10+_Assuntos_2024'!G$15</f>
        <v>0</v>
      </c>
      <c r="C49" s="803" t="e">
        <f t="shared" si="17"/>
        <v>#DIV/0!</v>
      </c>
      <c r="E49" s="738">
        <v>45474</v>
      </c>
      <c r="F49" s="802">
        <f>'10+_Assuntos_2024'!G$16</f>
        <v>0</v>
      </c>
      <c r="G49" s="803" t="e">
        <f t="shared" si="18"/>
        <v>#DIV/0!</v>
      </c>
    </row>
    <row r="50" spans="1:7" ht="15">
      <c r="A50" s="738">
        <v>45505</v>
      </c>
      <c r="B50" s="802">
        <f>'10+_Assuntos_2024'!F$15</f>
        <v>0</v>
      </c>
      <c r="C50" s="803" t="e">
        <f t="shared" ref="C50" si="19">((B50-B49)/B49)*100</f>
        <v>#DIV/0!</v>
      </c>
      <c r="E50" s="738">
        <v>45505</v>
      </c>
      <c r="F50" s="802">
        <f>'10+_Assuntos_2024'!F$16</f>
        <v>0</v>
      </c>
      <c r="G50" s="803" t="e">
        <f t="shared" ref="G50" si="20">((F50-F49)/F49)*100</f>
        <v>#DIV/0!</v>
      </c>
    </row>
    <row r="51" spans="1:7" ht="15">
      <c r="A51" s="738">
        <v>45536</v>
      </c>
      <c r="B51" s="802">
        <f>'10+_Assuntos_2024'!E$15</f>
        <v>0</v>
      </c>
      <c r="C51" s="803" t="e">
        <f t="shared" ref="C51:C54" si="21">((B51-B50)/B50)*100</f>
        <v>#DIV/0!</v>
      </c>
      <c r="E51" s="738">
        <v>45536</v>
      </c>
      <c r="F51" s="802">
        <f>'10+_Assuntos_2024'!E$16</f>
        <v>0</v>
      </c>
      <c r="G51" s="803" t="e">
        <f t="shared" ref="G51:G54" si="22">((F51-F50)/F50)*100</f>
        <v>#DIV/0!</v>
      </c>
    </row>
    <row r="52" spans="1:7" ht="15">
      <c r="A52" s="738">
        <v>45566</v>
      </c>
      <c r="B52" s="802">
        <f>'10+_Assuntos_2024'!D$15</f>
        <v>0</v>
      </c>
      <c r="C52" s="803" t="e">
        <f t="shared" si="21"/>
        <v>#DIV/0!</v>
      </c>
      <c r="E52" s="738">
        <v>45566</v>
      </c>
      <c r="F52" s="802">
        <f>'10+_Assuntos_2024'!D$16</f>
        <v>0</v>
      </c>
      <c r="G52" s="803" t="e">
        <f t="shared" si="22"/>
        <v>#DIV/0!</v>
      </c>
    </row>
    <row r="53" spans="1:7" ht="15">
      <c r="A53" s="738">
        <v>45597</v>
      </c>
      <c r="B53" s="802">
        <f>'10+_Assuntos_2024'!C$15</f>
        <v>0</v>
      </c>
      <c r="C53" s="803" t="e">
        <f t="shared" si="21"/>
        <v>#DIV/0!</v>
      </c>
      <c r="E53" s="738">
        <v>45597</v>
      </c>
      <c r="F53" s="802">
        <f>'10+_Assuntos_2024'!C$16</f>
        <v>0</v>
      </c>
      <c r="G53" s="803" t="e">
        <f t="shared" si="22"/>
        <v>#DIV/0!</v>
      </c>
    </row>
    <row r="54" spans="1:7" ht="15.75" thickBot="1">
      <c r="A54" s="739">
        <v>45627</v>
      </c>
      <c r="B54" s="804">
        <f>'10+_Assuntos_2024'!B$15</f>
        <v>0</v>
      </c>
      <c r="C54" s="805" t="e">
        <f t="shared" si="21"/>
        <v>#DIV/0!</v>
      </c>
      <c r="E54" s="739">
        <v>45627</v>
      </c>
      <c r="F54" s="804">
        <f>'10+_Assuntos_2024'!B$16</f>
        <v>0</v>
      </c>
      <c r="G54" s="805" t="e">
        <f t="shared" si="22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93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W32"/>
  <sheetViews>
    <sheetView zoomScaleNormal="100"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 s="635" customFormat="1">
      <c r="A1" s="911" t="s">
        <v>0</v>
      </c>
      <c r="B1" s="911"/>
      <c r="C1" s="911"/>
      <c r="D1" s="912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497</v>
      </c>
      <c r="B4" s="1"/>
      <c r="C4" s="1"/>
    </row>
    <row r="5" spans="1:6" ht="15.75" thickBot="1"/>
    <row r="6" spans="1:6" ht="15.75" thickBot="1">
      <c r="A6" s="73" t="s">
        <v>24</v>
      </c>
      <c r="B6" s="119">
        <v>45383</v>
      </c>
      <c r="C6" s="120">
        <v>45352</v>
      </c>
      <c r="D6" s="664">
        <v>45323</v>
      </c>
      <c r="E6" s="728" t="s">
        <v>5</v>
      </c>
      <c r="F6" s="808" t="s">
        <v>6</v>
      </c>
    </row>
    <row r="7" spans="1:6">
      <c r="A7" s="578" t="s">
        <v>57</v>
      </c>
      <c r="B7" s="579">
        <v>819</v>
      </c>
      <c r="C7" s="579">
        <v>822</v>
      </c>
      <c r="D7" s="591">
        <v>798</v>
      </c>
      <c r="E7" s="592">
        <f t="shared" ref="E7:E17" si="0">SUM(B7:D7)</f>
        <v>2439</v>
      </c>
      <c r="F7" s="595">
        <f t="shared" ref="F7:F16" si="1">AVERAGE(B7:D7)</f>
        <v>813</v>
      </c>
    </row>
    <row r="8" spans="1:6">
      <c r="A8" s="580" t="s">
        <v>444</v>
      </c>
      <c r="B8" s="579">
        <v>369</v>
      </c>
      <c r="C8" s="579">
        <v>418</v>
      </c>
      <c r="D8" s="591">
        <v>336</v>
      </c>
      <c r="E8" s="806">
        <f t="shared" si="0"/>
        <v>1123</v>
      </c>
      <c r="F8" s="807">
        <f t="shared" si="1"/>
        <v>374.33333333333331</v>
      </c>
    </row>
    <row r="9" spans="1:6">
      <c r="A9" s="588" t="s">
        <v>43</v>
      </c>
      <c r="B9" s="589">
        <v>283</v>
      </c>
      <c r="C9" s="589">
        <v>316</v>
      </c>
      <c r="D9" s="590">
        <v>303</v>
      </c>
      <c r="E9" s="593">
        <f t="shared" si="0"/>
        <v>902</v>
      </c>
      <c r="F9" s="596">
        <f t="shared" si="1"/>
        <v>300.66666666666669</v>
      </c>
    </row>
    <row r="10" spans="1:6">
      <c r="A10" s="580" t="s">
        <v>144</v>
      </c>
      <c r="B10" s="579">
        <v>314</v>
      </c>
      <c r="C10" s="579">
        <v>148</v>
      </c>
      <c r="D10" s="591">
        <v>252</v>
      </c>
      <c r="E10" s="593">
        <f t="shared" si="0"/>
        <v>714</v>
      </c>
      <c r="F10" s="596">
        <f t="shared" si="1"/>
        <v>238</v>
      </c>
    </row>
    <row r="11" spans="1:6">
      <c r="A11" s="580" t="s">
        <v>168</v>
      </c>
      <c r="B11" s="579">
        <v>266</v>
      </c>
      <c r="C11" s="579">
        <v>169</v>
      </c>
      <c r="D11" s="591">
        <v>172</v>
      </c>
      <c r="E11" s="593">
        <f t="shared" si="0"/>
        <v>607</v>
      </c>
      <c r="F11" s="596">
        <f t="shared" si="1"/>
        <v>202.33333333333334</v>
      </c>
    </row>
    <row r="12" spans="1:6">
      <c r="A12" s="580" t="s">
        <v>153</v>
      </c>
      <c r="B12" s="579">
        <v>236</v>
      </c>
      <c r="C12" s="579">
        <v>184</v>
      </c>
      <c r="D12" s="591">
        <v>180</v>
      </c>
      <c r="E12" s="593">
        <f t="shared" si="0"/>
        <v>600</v>
      </c>
      <c r="F12" s="596">
        <f t="shared" si="1"/>
        <v>200</v>
      </c>
    </row>
    <row r="13" spans="1:6">
      <c r="A13" s="580" t="s">
        <v>159</v>
      </c>
      <c r="B13" s="579">
        <v>167</v>
      </c>
      <c r="C13" s="579">
        <v>182</v>
      </c>
      <c r="D13" s="591">
        <v>198</v>
      </c>
      <c r="E13" s="593">
        <f t="shared" si="0"/>
        <v>547</v>
      </c>
      <c r="F13" s="596">
        <f t="shared" si="1"/>
        <v>182.33333333333334</v>
      </c>
    </row>
    <row r="14" spans="1:6">
      <c r="A14" s="580" t="s">
        <v>141</v>
      </c>
      <c r="B14" s="579">
        <v>195</v>
      </c>
      <c r="C14" s="579">
        <v>158</v>
      </c>
      <c r="D14" s="591">
        <v>108</v>
      </c>
      <c r="E14" s="593">
        <f t="shared" si="0"/>
        <v>461</v>
      </c>
      <c r="F14" s="596">
        <f t="shared" si="1"/>
        <v>153.66666666666666</v>
      </c>
    </row>
    <row r="15" spans="1:6">
      <c r="A15" s="580" t="s">
        <v>184</v>
      </c>
      <c r="B15" s="579">
        <v>176</v>
      </c>
      <c r="C15" s="579">
        <v>151</v>
      </c>
      <c r="D15" s="591">
        <v>131</v>
      </c>
      <c r="E15" s="593">
        <f t="shared" si="0"/>
        <v>458</v>
      </c>
      <c r="F15" s="596">
        <f t="shared" si="1"/>
        <v>152.66666666666666</v>
      </c>
    </row>
    <row r="16" spans="1:6" ht="15.75" thickBot="1">
      <c r="A16" s="578" t="s">
        <v>60</v>
      </c>
      <c r="B16" s="579">
        <v>141</v>
      </c>
      <c r="C16" s="579">
        <v>167</v>
      </c>
      <c r="D16" s="591">
        <v>145</v>
      </c>
      <c r="E16" s="594">
        <f t="shared" si="0"/>
        <v>453</v>
      </c>
      <c r="F16" s="597">
        <f t="shared" si="1"/>
        <v>151</v>
      </c>
    </row>
    <row r="17" spans="1:23" ht="15.75" thickBot="1">
      <c r="A17" s="122" t="s">
        <v>15</v>
      </c>
      <c r="B17" s="123">
        <f>SUM(B12:B16)</f>
        <v>915</v>
      </c>
      <c r="C17" s="123">
        <f>SUM(C12:C16)</f>
        <v>842</v>
      </c>
      <c r="D17" s="123">
        <f>SUM(D12:D16)</f>
        <v>762</v>
      </c>
      <c r="E17" s="665">
        <f t="shared" si="0"/>
        <v>2519</v>
      </c>
      <c r="F17" s="666">
        <f>AVERAGE(B17:D17)</f>
        <v>839.66666666666663</v>
      </c>
    </row>
    <row r="19" spans="1:23">
      <c r="G19" s="2"/>
      <c r="H19" s="6"/>
      <c r="I19" s="124"/>
      <c r="J19" s="124"/>
      <c r="K19" s="124"/>
      <c r="L19" s="125"/>
    </row>
    <row r="20" spans="1:23">
      <c r="G20" s="2"/>
      <c r="I20" s="126"/>
      <c r="J20" s="90"/>
      <c r="K20" s="90"/>
      <c r="L20" s="126"/>
    </row>
    <row r="21" spans="1:23">
      <c r="G21" s="2"/>
      <c r="I21" s="126"/>
      <c r="K21" s="71"/>
      <c r="L21" s="71"/>
      <c r="M21" s="71"/>
      <c r="N21" s="127"/>
      <c r="O21" s="128"/>
    </row>
    <row r="22" spans="1:23">
      <c r="G22" s="2"/>
      <c r="I22" s="126"/>
      <c r="K22" s="70"/>
      <c r="L22" s="129"/>
      <c r="M22" s="129"/>
      <c r="N22" s="130"/>
      <c r="O22" s="129"/>
      <c r="V22" s="129"/>
      <c r="W22" s="129"/>
    </row>
    <row r="23" spans="1:23">
      <c r="G23" s="2"/>
      <c r="I23" s="126"/>
      <c r="L23" s="71"/>
      <c r="M23" s="71"/>
      <c r="N23" s="71"/>
      <c r="O23" s="71"/>
    </row>
    <row r="24" spans="1:23">
      <c r="G24" s="2"/>
      <c r="I24" s="126"/>
      <c r="L24" s="71"/>
      <c r="M24" s="71"/>
      <c r="N24" s="71"/>
      <c r="O24" s="71"/>
      <c r="V24" s="71"/>
      <c r="W24" s="71"/>
    </row>
    <row r="25" spans="1:23">
      <c r="G25" s="2"/>
      <c r="I25" s="126"/>
      <c r="L25" s="71"/>
      <c r="M25" s="71"/>
      <c r="N25" s="71"/>
      <c r="O25" s="71"/>
      <c r="V25" s="71"/>
      <c r="W25" s="71"/>
    </row>
    <row r="26" spans="1:23">
      <c r="G26" s="2"/>
      <c r="I26" s="126"/>
      <c r="L26" s="71"/>
      <c r="M26" s="71"/>
      <c r="N26" s="71"/>
      <c r="O26" s="71"/>
      <c r="V26" s="71"/>
      <c r="W26" s="71"/>
    </row>
    <row r="27" spans="1:23">
      <c r="G27" s="2"/>
      <c r="I27" s="126"/>
      <c r="L27" s="71"/>
      <c r="M27" s="71"/>
      <c r="N27" s="71"/>
      <c r="O27" s="71"/>
      <c r="P27" s="71"/>
      <c r="Q27" s="71"/>
      <c r="R27" s="127"/>
      <c r="S27" s="127"/>
      <c r="T27" s="71"/>
      <c r="U27" s="71"/>
      <c r="V27" s="71"/>
      <c r="W27" s="71"/>
    </row>
    <row r="28" spans="1:23">
      <c r="G28" s="2"/>
      <c r="I28" s="126"/>
      <c r="L28" s="71"/>
      <c r="M28" s="71"/>
      <c r="N28" s="71"/>
      <c r="O28" s="71"/>
      <c r="P28" s="71"/>
      <c r="Q28" s="71"/>
      <c r="R28" s="127"/>
      <c r="S28" s="127"/>
      <c r="T28" s="71"/>
      <c r="U28" s="71"/>
      <c r="V28" s="71"/>
      <c r="W28" s="71"/>
    </row>
    <row r="29" spans="1:23">
      <c r="I29" s="126"/>
      <c r="L29" s="71"/>
      <c r="M29" s="71"/>
      <c r="N29" s="71"/>
      <c r="O29" s="71"/>
      <c r="P29" s="71"/>
      <c r="Q29" s="71"/>
      <c r="R29" s="127"/>
      <c r="S29" s="127"/>
      <c r="T29" s="71"/>
      <c r="U29" s="71"/>
      <c r="V29" s="71"/>
      <c r="W29" s="71"/>
    </row>
    <row r="30" spans="1:23">
      <c r="H30" s="85"/>
      <c r="I30" s="131"/>
      <c r="L30" s="71"/>
      <c r="M30" s="71"/>
      <c r="N30" s="71"/>
      <c r="O30" s="71"/>
      <c r="P30" s="71"/>
      <c r="Q30" s="71"/>
      <c r="R30" s="127"/>
      <c r="S30" s="127"/>
      <c r="T30" s="71"/>
      <c r="U30" s="71"/>
      <c r="V30" s="71"/>
      <c r="W30" s="71"/>
    </row>
    <row r="31" spans="1:23">
      <c r="L31" s="71"/>
      <c r="M31" s="71"/>
      <c r="N31" s="71"/>
      <c r="O31" s="71"/>
      <c r="P31" s="71"/>
      <c r="Q31" s="71"/>
      <c r="R31" s="127"/>
      <c r="S31" s="127"/>
      <c r="T31" s="71"/>
      <c r="U31" s="71"/>
      <c r="V31" s="71"/>
      <c r="W31" s="71"/>
    </row>
    <row r="32" spans="1:23">
      <c r="L32" s="71"/>
      <c r="M32" s="71"/>
      <c r="N32" s="71"/>
      <c r="O32" s="71"/>
      <c r="P32" s="71"/>
      <c r="Q32" s="71"/>
      <c r="R32" s="127"/>
      <c r="S32" s="127"/>
      <c r="T32" s="71"/>
      <c r="U32" s="71"/>
      <c r="V32" s="71"/>
      <c r="W32" s="7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32" customWidth="1"/>
    <col min="13" max="13" width="8.7109375" style="132" customWidth="1"/>
    <col min="14" max="14" width="7.7109375" style="132" customWidth="1"/>
    <col min="15" max="15" width="9.7109375" style="132" customWidth="1"/>
    <col min="16" max="16" width="8.42578125" style="132" customWidth="1"/>
    <col min="17" max="17" width="9.140625" style="132" customWidth="1"/>
    <col min="18" max="18" width="9.42578125" style="132" customWidth="1"/>
    <col min="19" max="19" width="9.85546875" style="132" customWidth="1"/>
    <col min="20" max="20" width="10.28515625" style="132" customWidth="1"/>
    <col min="21" max="21" width="8" style="132" customWidth="1"/>
    <col min="22" max="22" width="9.140625" style="132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515</v>
      </c>
    </row>
    <row r="5" spans="1:2" ht="15.75" thickBot="1"/>
    <row r="6" spans="1:2" ht="15.75" thickBot="1">
      <c r="A6" s="691" t="s">
        <v>24</v>
      </c>
      <c r="B6" s="696">
        <v>45383</v>
      </c>
    </row>
    <row r="7" spans="1:2">
      <c r="A7" s="692" t="s">
        <v>57</v>
      </c>
      <c r="B7" s="688">
        <v>819</v>
      </c>
    </row>
    <row r="8" spans="1:2">
      <c r="A8" s="693" t="s">
        <v>444</v>
      </c>
      <c r="B8" s="689">
        <v>369</v>
      </c>
    </row>
    <row r="9" spans="1:2">
      <c r="A9" s="693" t="s">
        <v>144</v>
      </c>
      <c r="B9" s="689">
        <v>314</v>
      </c>
    </row>
    <row r="10" spans="1:2">
      <c r="A10" s="694" t="s">
        <v>43</v>
      </c>
      <c r="B10" s="689">
        <v>283</v>
      </c>
    </row>
    <row r="11" spans="1:2">
      <c r="A11" s="693" t="s">
        <v>168</v>
      </c>
      <c r="B11" s="689">
        <v>266</v>
      </c>
    </row>
    <row r="12" spans="1:2">
      <c r="A12" s="693" t="s">
        <v>153</v>
      </c>
      <c r="B12" s="689">
        <v>236</v>
      </c>
    </row>
    <row r="13" spans="1:2">
      <c r="A13" s="694" t="s">
        <v>141</v>
      </c>
      <c r="B13" s="689">
        <v>195</v>
      </c>
    </row>
    <row r="14" spans="1:2">
      <c r="A14" s="694" t="s">
        <v>184</v>
      </c>
      <c r="B14" s="689">
        <v>176</v>
      </c>
    </row>
    <row r="15" spans="1:2">
      <c r="A15" s="693" t="s">
        <v>159</v>
      </c>
      <c r="B15" s="689">
        <v>167</v>
      </c>
    </row>
    <row r="16" spans="1:2" ht="15.75" thickBot="1">
      <c r="A16" s="697" t="s">
        <v>98</v>
      </c>
      <c r="B16" s="690">
        <v>155</v>
      </c>
    </row>
    <row r="17" spans="1:25" s="80" customFormat="1" ht="15.75" thickBot="1">
      <c r="A17" s="698" t="s">
        <v>5</v>
      </c>
      <c r="B17" s="695">
        <f>SUM(B7:B16)</f>
        <v>2980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</row>
    <row r="18" spans="1:25" s="518" customFormat="1">
      <c r="A18" s="1006"/>
      <c r="B18" s="1007"/>
      <c r="C18" s="1008"/>
      <c r="D18" s="1008"/>
      <c r="E18" s="1008"/>
      <c r="F18" s="1008"/>
      <c r="G18" s="1008"/>
      <c r="H18" s="1008"/>
      <c r="I18" s="1008"/>
      <c r="J18" s="1008"/>
      <c r="K18" s="1008"/>
      <c r="L18" s="1008"/>
      <c r="M18" s="1008"/>
    </row>
    <row r="19" spans="1:25" s="500" customFormat="1">
      <c r="A19" s="1009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</row>
    <row r="20" spans="1:25" s="500" customFormat="1">
      <c r="A20" s="1009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</row>
    <row r="21" spans="1:25" s="500" customFormat="1" ht="15" customHeight="1">
      <c r="A21" s="1009"/>
      <c r="B21" s="564"/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</row>
    <row r="22" spans="1:25" s="500" customFormat="1" ht="15" customHeight="1">
      <c r="A22" s="1010"/>
      <c r="B22" s="977"/>
      <c r="C22" s="977"/>
      <c r="D22" s="977"/>
      <c r="E22" s="977"/>
      <c r="F22" s="977"/>
      <c r="G22" s="977"/>
      <c r="H22" s="977"/>
      <c r="I22" s="977"/>
      <c r="J22" s="977"/>
      <c r="K22" s="977"/>
      <c r="L22" s="977"/>
      <c r="M22" s="977"/>
    </row>
    <row r="23" spans="1:25" s="500" customFormat="1" ht="66" customHeight="1">
      <c r="A23" s="922"/>
      <c r="B23" s="921"/>
      <c r="C23" s="921"/>
      <c r="D23" s="921"/>
      <c r="E23" s="921"/>
      <c r="F23" s="921"/>
      <c r="G23" s="921"/>
      <c r="H23" s="921"/>
      <c r="I23" s="921"/>
      <c r="J23" s="921"/>
      <c r="K23" s="921"/>
      <c r="L23" s="921"/>
      <c r="M23" s="977"/>
    </row>
    <row r="24" spans="1:25" s="500" customFormat="1">
      <c r="A24" s="921"/>
      <c r="B24" s="921" t="str">
        <f>A7</f>
        <v>Cadastro Único (CadÚnico)</v>
      </c>
      <c r="C24" s="921" t="str">
        <f>A8</f>
        <v>Buraco e Pavimentação</v>
      </c>
      <c r="D24" s="921" t="str">
        <f>A9</f>
        <v>Órgão externo</v>
      </c>
      <c r="E24" s="921" t="str">
        <f>A10</f>
        <v>Árvore</v>
      </c>
      <c r="F24" s="921" t="str">
        <f>A11</f>
        <v>Qualidade de atendimento</v>
      </c>
      <c r="G24" s="921" t="str">
        <f>A12</f>
        <v>Poluição sonora - PSIU</v>
      </c>
      <c r="H24" s="921" t="str">
        <f>A13</f>
        <v>Ônibus</v>
      </c>
      <c r="I24" s="921" t="str">
        <f>A14</f>
        <v>Sinalização e Circulação de veículos e Pedestres</v>
      </c>
      <c r="J24" s="921" t="str">
        <f>A15</f>
        <v>Processo Administrativo</v>
      </c>
      <c r="K24" s="921" t="str">
        <f>A16</f>
        <v>Estabelecimentos comerciais, indústrias e serviços</v>
      </c>
      <c r="L24" s="921" t="s">
        <v>5</v>
      </c>
      <c r="M24" s="977"/>
      <c r="N24" s="503"/>
      <c r="O24" s="503"/>
      <c r="P24" s="503"/>
      <c r="Q24" s="503"/>
      <c r="R24" s="503"/>
      <c r="S24" s="503"/>
      <c r="T24" s="504"/>
      <c r="U24" s="504"/>
      <c r="V24" s="503"/>
      <c r="W24" s="503"/>
      <c r="X24" s="503"/>
      <c r="Y24" s="503"/>
    </row>
    <row r="25" spans="1:25" s="500" customFormat="1">
      <c r="A25" s="921"/>
      <c r="B25" s="921">
        <f>B7</f>
        <v>819</v>
      </c>
      <c r="C25" s="921">
        <f>B8</f>
        <v>369</v>
      </c>
      <c r="D25" s="921">
        <f>B9</f>
        <v>314</v>
      </c>
      <c r="E25" s="921">
        <f>B10</f>
        <v>283</v>
      </c>
      <c r="F25" s="921">
        <f>B11</f>
        <v>266</v>
      </c>
      <c r="G25" s="921">
        <f>B12</f>
        <v>236</v>
      </c>
      <c r="H25" s="921">
        <f>B13</f>
        <v>195</v>
      </c>
      <c r="I25" s="921">
        <f>B14</f>
        <v>176</v>
      </c>
      <c r="J25" s="921">
        <f>B15</f>
        <v>167</v>
      </c>
      <c r="K25" s="921">
        <f>B16</f>
        <v>155</v>
      </c>
      <c r="L25" s="921"/>
      <c r="M25" s="977"/>
      <c r="N25" s="503"/>
      <c r="O25" s="503"/>
      <c r="P25" s="503"/>
      <c r="Q25" s="503"/>
      <c r="R25" s="503"/>
      <c r="S25" s="503"/>
      <c r="T25" s="504"/>
      <c r="U25" s="504"/>
      <c r="V25" s="503"/>
      <c r="W25" s="503"/>
      <c r="X25" s="503"/>
      <c r="Y25" s="503"/>
    </row>
    <row r="26" spans="1:25" s="500" customFormat="1">
      <c r="A26" s="921"/>
      <c r="B26" s="921"/>
      <c r="C26" s="921"/>
      <c r="D26" s="921"/>
      <c r="E26" s="921"/>
      <c r="F26" s="921"/>
      <c r="G26" s="921"/>
      <c r="H26" s="921"/>
      <c r="I26" s="921"/>
      <c r="J26" s="921"/>
      <c r="K26" s="921"/>
      <c r="L26" s="921">
        <f>Assuntos!J238</f>
        <v>6191</v>
      </c>
      <c r="M26" s="977"/>
      <c r="N26" s="503"/>
      <c r="O26" s="503"/>
      <c r="P26" s="503"/>
      <c r="Q26" s="503"/>
      <c r="R26" s="503"/>
      <c r="S26" s="503"/>
      <c r="T26" s="504"/>
      <c r="U26" s="504"/>
      <c r="V26" s="503"/>
      <c r="W26" s="503"/>
      <c r="X26" s="503"/>
      <c r="Y26" s="503"/>
    </row>
    <row r="27" spans="1:25" s="500" customFormat="1">
      <c r="A27" s="977"/>
      <c r="B27" s="977"/>
      <c r="C27" s="977"/>
      <c r="D27" s="977"/>
      <c r="E27" s="977"/>
      <c r="F27" s="977"/>
      <c r="G27" s="977"/>
      <c r="H27" s="977"/>
      <c r="I27" s="977"/>
      <c r="J27" s="977"/>
      <c r="K27" s="977"/>
      <c r="L27" s="977"/>
      <c r="M27" s="977"/>
      <c r="N27" s="503"/>
      <c r="O27" s="503"/>
      <c r="P27" s="503"/>
      <c r="Q27" s="503"/>
      <c r="R27" s="503"/>
      <c r="S27" s="503"/>
      <c r="T27" s="504"/>
      <c r="U27" s="504"/>
      <c r="V27" s="503"/>
      <c r="W27" s="503"/>
      <c r="X27" s="503"/>
      <c r="Y27" s="503"/>
    </row>
    <row r="28" spans="1:25" s="500" customFormat="1">
      <c r="A28" s="977"/>
      <c r="B28" s="977"/>
      <c r="C28" s="977"/>
      <c r="D28" s="977"/>
      <c r="E28" s="977"/>
      <c r="F28" s="977"/>
      <c r="G28" s="977"/>
      <c r="H28" s="977"/>
      <c r="I28" s="977"/>
      <c r="J28" s="977"/>
      <c r="K28" s="977"/>
      <c r="L28" s="977"/>
      <c r="M28" s="977"/>
      <c r="N28" s="503"/>
      <c r="O28" s="503"/>
      <c r="P28" s="503"/>
      <c r="Q28" s="503"/>
      <c r="R28" s="503"/>
      <c r="S28" s="503"/>
      <c r="T28" s="504"/>
      <c r="U28" s="504"/>
      <c r="V28" s="503"/>
      <c r="W28" s="503"/>
      <c r="X28" s="503"/>
      <c r="Y28" s="503"/>
    </row>
    <row r="29" spans="1:25" s="500" customFormat="1">
      <c r="A29" s="564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03"/>
      <c r="O29" s="503"/>
      <c r="P29" s="503"/>
      <c r="Q29" s="503"/>
      <c r="R29" s="503"/>
      <c r="S29" s="503"/>
      <c r="T29" s="504"/>
      <c r="U29" s="504"/>
      <c r="V29" s="503"/>
      <c r="W29" s="503"/>
      <c r="X29" s="503"/>
      <c r="Y29" s="503"/>
    </row>
    <row r="30" spans="1:25" s="132" customFormat="1">
      <c r="A30" s="564"/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136"/>
      <c r="R30" s="136"/>
    </row>
    <row r="31" spans="1:25" s="132" customFormat="1">
      <c r="A31" s="564"/>
      <c r="B31" s="564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00"/>
      <c r="O31" s="500"/>
      <c r="P31" s="136"/>
      <c r="Q31" s="136"/>
      <c r="R31" s="136"/>
    </row>
    <row r="32" spans="1:25" s="132" customFormat="1">
      <c r="A32" s="564"/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00"/>
      <c r="O32" s="500"/>
      <c r="P32"/>
      <c r="Q32"/>
      <c r="R32"/>
    </row>
    <row r="33" spans="1:22" s="132" customFormat="1">
      <c r="A33" s="564"/>
      <c r="B33" s="564"/>
      <c r="C33" s="564"/>
      <c r="D33" s="564"/>
      <c r="E33" s="564"/>
      <c r="F33" s="564"/>
      <c r="G33" s="564"/>
      <c r="H33" s="564"/>
      <c r="I33" s="564"/>
      <c r="J33" s="564"/>
      <c r="K33" s="564"/>
      <c r="L33" s="564"/>
      <c r="M33" s="564"/>
      <c r="N33" s="500"/>
      <c r="O33" s="500"/>
      <c r="P33"/>
    </row>
    <row r="34" spans="1:22" s="132" customFormat="1">
      <c r="A34" s="564"/>
      <c r="B34" s="564"/>
      <c r="C34" s="564"/>
      <c r="D34" s="564"/>
      <c r="E34" s="564"/>
      <c r="F34" s="564"/>
      <c r="G34" s="564"/>
      <c r="H34" s="564"/>
      <c r="I34" s="564"/>
      <c r="J34" s="564"/>
      <c r="K34" s="564"/>
      <c r="L34" s="564"/>
      <c r="M34" s="564"/>
      <c r="N34" s="500"/>
      <c r="O34" s="500"/>
      <c r="P34"/>
    </row>
    <row r="35" spans="1:22" s="132" customFormat="1">
      <c r="A35" s="564"/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00"/>
      <c r="O35" s="500"/>
      <c r="P35"/>
    </row>
    <row r="36" spans="1:22" s="132" customFormat="1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/>
      <c r="M36"/>
      <c r="N36"/>
      <c r="O36"/>
      <c r="P36"/>
    </row>
    <row r="37" spans="1:22" s="132" customForma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/>
      <c r="M37"/>
      <c r="N37"/>
      <c r="O37"/>
      <c r="P37"/>
    </row>
    <row r="38" spans="1:22" s="132" customFormat="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/>
      <c r="M38"/>
      <c r="N38"/>
      <c r="O38"/>
      <c r="P38"/>
    </row>
    <row r="39" spans="1:22" s="132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32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32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32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32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Texto</vt:lpstr>
      <vt:lpstr>Protocolos</vt:lpstr>
      <vt:lpstr>Canais_atendimento</vt:lpstr>
      <vt:lpstr>Assuntos</vt:lpstr>
      <vt:lpstr>Buraco-Pavimentação_Abr_2024</vt:lpstr>
      <vt:lpstr>10+_Assuntos_2024</vt:lpstr>
      <vt:lpstr>Assuntos-variação_10_mais_2024</vt:lpstr>
      <vt:lpstr>ASSUNTOS_10+_últimos_3_meses</vt:lpstr>
      <vt:lpstr>10_ASSUNTOS+_Assuntos_ABR_24</vt:lpstr>
      <vt:lpstr>UNIDADES</vt:lpstr>
      <vt:lpstr>10+_UNIDADES_2024</vt:lpstr>
      <vt:lpstr>Unidades_-variação_10_mais_2024</vt:lpstr>
      <vt:lpstr>UNIDADES_-_10+_últimos_3_meses</vt:lpstr>
      <vt:lpstr>10+_Unidades__ABR_24</vt:lpstr>
      <vt:lpstr>Subprefeituras_2024</vt:lpstr>
      <vt:lpstr>10+_SUB's_2024</vt:lpstr>
      <vt:lpstr>Subs_-Variação_10_mais_2024</vt:lpstr>
      <vt:lpstr>10+_Subprefeituras__ABR_24</vt:lpstr>
      <vt:lpstr>Georref_3+_Subs_2024</vt:lpstr>
      <vt:lpstr>Denúncia_Unidades_Mensal_2024</vt:lpstr>
      <vt:lpstr>Denúncia_Unidades_Total_2024</vt:lpstr>
      <vt:lpstr>Denúncia_Órgãos_Deferidas</vt:lpstr>
      <vt:lpstr>Denúncia_Órgãos_Indeferidas</vt:lpstr>
      <vt:lpstr>Denúncia_Protocolos_2024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Marcio Ramires</cp:lastModifiedBy>
  <cp:revision/>
  <dcterms:created xsi:type="dcterms:W3CDTF">2018-08-01T11:52:47Z</dcterms:created>
  <dcterms:modified xsi:type="dcterms:W3CDTF">2024-05-21T13:03:10Z</dcterms:modified>
  <cp:category/>
  <cp:contentStatus/>
</cp:coreProperties>
</file>