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io Ramires\Desktop\2023\"/>
    </mc:Choice>
  </mc:AlternateContent>
  <bookViews>
    <workbookView xWindow="0" yWindow="0" windowWidth="19050" windowHeight="6645"/>
  </bookViews>
  <sheets>
    <sheet name="Texto" sheetId="1" r:id="rId1"/>
    <sheet name="Protocolos" sheetId="2" r:id="rId2"/>
    <sheet name="Canais_atendimento" sheetId="3" r:id="rId3"/>
    <sheet name="Assuntos" sheetId="4" r:id="rId4"/>
    <sheet name="10_Assuntos_+_demadados_2023" sheetId="5" r:id="rId5"/>
    <sheet name="Assuntos-variação_10_mais_2023" sheetId="6" r:id="rId6"/>
    <sheet name="ASSUNTOS_10+_últimos_3_meses" sheetId="7" r:id="rId7"/>
    <sheet name="10_ASSUNTOS_+_demandados_ABR_23" sheetId="8" r:id="rId8"/>
    <sheet name="UNIDADES" sheetId="9" r:id="rId9"/>
    <sheet name="10_UNIDADES_+_demandadas_2023" sheetId="10" r:id="rId10"/>
    <sheet name="Unidades_-variação_10_mais_2023" sheetId="11" r:id="rId11"/>
    <sheet name="UNIDADES_-_10+_últimos_3_meses" sheetId="12" r:id="rId12"/>
    <sheet name="10_Unidades+_demandados__MAR_23" sheetId="13" r:id="rId13"/>
    <sheet name="Subprefeituras_2023" sheetId="14" r:id="rId14"/>
    <sheet name="10_SUB's_+_demandadas_2023" sheetId="15" r:id="rId15"/>
    <sheet name="Subs_-Variação_10_mais_2023" sheetId="16" r:id="rId16"/>
    <sheet name="Ranking_subprefeituras_ABR_23" sheetId="17" r:id="rId17"/>
    <sheet name="Denúncia_Protocolos_2023" sheetId="18" r:id="rId18"/>
    <sheet name="e-SIC_2023" sheetId="19" r:id="rId19"/>
    <sheet name="P" sheetId="20" state="hidden" r:id="rId20"/>
    <sheet name="Pandemia" sheetId="21" r:id="rId21"/>
  </sheets>
  <calcPr calcId="162913"/>
</workbook>
</file>

<file path=xl/calcChain.xml><?xml version="1.0" encoding="utf-8"?>
<calcChain xmlns="http://schemas.openxmlformats.org/spreadsheetml/2006/main">
  <c r="F46" i="16" l="1"/>
  <c r="B46" i="16"/>
  <c r="F45" i="16"/>
  <c r="B45" i="16"/>
  <c r="F44" i="16"/>
  <c r="B44" i="16"/>
  <c r="F43" i="16"/>
  <c r="G43" i="16" s="1"/>
  <c r="B43" i="16"/>
  <c r="C43" i="16" s="1"/>
  <c r="E41" i="16"/>
  <c r="A41" i="16"/>
  <c r="N30" i="16"/>
  <c r="J30" i="16"/>
  <c r="F30" i="16"/>
  <c r="B30" i="16"/>
  <c r="N29" i="16"/>
  <c r="O30" i="16" s="1"/>
  <c r="J29" i="16"/>
  <c r="K30" i="16" s="1"/>
  <c r="F29" i="16"/>
  <c r="B29" i="16"/>
  <c r="N28" i="16"/>
  <c r="J28" i="16"/>
  <c r="F28" i="16"/>
  <c r="B28" i="16"/>
  <c r="N27" i="16"/>
  <c r="O28" i="16" s="1"/>
  <c r="J27" i="16"/>
  <c r="K28" i="16" s="1"/>
  <c r="F27" i="16"/>
  <c r="B27" i="16"/>
  <c r="M25" i="16"/>
  <c r="I25" i="16"/>
  <c r="E25" i="16"/>
  <c r="A25" i="16"/>
  <c r="N14" i="16"/>
  <c r="O14" i="16" s="1"/>
  <c r="J14" i="16"/>
  <c r="K14" i="16" s="1"/>
  <c r="F14" i="16"/>
  <c r="B14" i="16"/>
  <c r="N13" i="16"/>
  <c r="J13" i="16"/>
  <c r="F13" i="16"/>
  <c r="B13" i="16"/>
  <c r="N12" i="16"/>
  <c r="O12" i="16" s="1"/>
  <c r="J12" i="16"/>
  <c r="K12" i="16" s="1"/>
  <c r="F12" i="16"/>
  <c r="B12" i="16"/>
  <c r="N11" i="16"/>
  <c r="J11" i="16"/>
  <c r="F11" i="16"/>
  <c r="B11" i="16"/>
  <c r="M9" i="16"/>
  <c r="I9" i="16"/>
  <c r="E9" i="16"/>
  <c r="A9" i="16"/>
  <c r="F46" i="11"/>
  <c r="B46" i="11"/>
  <c r="F45" i="11"/>
  <c r="B45" i="11"/>
  <c r="F44" i="11"/>
  <c r="G45" i="11" s="1"/>
  <c r="B44" i="11"/>
  <c r="C45" i="11" s="1"/>
  <c r="F43" i="11"/>
  <c r="B43" i="11"/>
  <c r="E41" i="11"/>
  <c r="A41" i="11"/>
  <c r="N30" i="11"/>
  <c r="J30" i="11"/>
  <c r="F30" i="11"/>
  <c r="G30" i="11" s="1"/>
  <c r="B30" i="11"/>
  <c r="C30" i="11" s="1"/>
  <c r="N29" i="11"/>
  <c r="J29" i="11"/>
  <c r="F29" i="11"/>
  <c r="B29" i="11"/>
  <c r="N28" i="11"/>
  <c r="J28" i="11"/>
  <c r="F28" i="11"/>
  <c r="G28" i="11" s="1"/>
  <c r="B28" i="11"/>
  <c r="N27" i="11"/>
  <c r="J27" i="11"/>
  <c r="F27" i="11"/>
  <c r="B27" i="11"/>
  <c r="M25" i="11"/>
  <c r="I25" i="11"/>
  <c r="E25" i="11"/>
  <c r="A25" i="11"/>
  <c r="N14" i="11"/>
  <c r="J14" i="11"/>
  <c r="F14" i="11"/>
  <c r="B14" i="11"/>
  <c r="N13" i="11"/>
  <c r="J13" i="11"/>
  <c r="F13" i="11"/>
  <c r="G14" i="11" s="1"/>
  <c r="B13" i="11"/>
  <c r="N12" i="11"/>
  <c r="J12" i="11"/>
  <c r="F12" i="11"/>
  <c r="B12" i="11"/>
  <c r="N11" i="11"/>
  <c r="J11" i="11"/>
  <c r="F11" i="11"/>
  <c r="G12" i="11" s="1"/>
  <c r="B11" i="11"/>
  <c r="M9" i="11"/>
  <c r="I9" i="11"/>
  <c r="E9" i="11"/>
  <c r="A9" i="11"/>
  <c r="F46" i="6"/>
  <c r="B46" i="6"/>
  <c r="F45" i="6"/>
  <c r="G46" i="6" s="1"/>
  <c r="B45" i="6"/>
  <c r="F44" i="6"/>
  <c r="B44" i="6"/>
  <c r="F43" i="6"/>
  <c r="B43" i="6"/>
  <c r="E41" i="6"/>
  <c r="A41" i="6"/>
  <c r="N30" i="6"/>
  <c r="O30" i="6" s="1"/>
  <c r="J30" i="6"/>
  <c r="K30" i="6" s="1"/>
  <c r="F30" i="6"/>
  <c r="B30" i="6"/>
  <c r="N29" i="6"/>
  <c r="J29" i="6"/>
  <c r="F29" i="6"/>
  <c r="B29" i="6"/>
  <c r="N28" i="6"/>
  <c r="O28" i="6" s="1"/>
  <c r="J28" i="6"/>
  <c r="K28" i="6" s="1"/>
  <c r="F28" i="6"/>
  <c r="B28" i="6"/>
  <c r="N27" i="6"/>
  <c r="J27" i="6"/>
  <c r="F27" i="6"/>
  <c r="B27" i="6"/>
  <c r="M25" i="6"/>
  <c r="I25" i="6"/>
  <c r="E25" i="6"/>
  <c r="A25" i="6"/>
  <c r="N14" i="6"/>
  <c r="J14" i="6"/>
  <c r="F14" i="6"/>
  <c r="B14" i="6"/>
  <c r="N13" i="6"/>
  <c r="O14" i="6" s="1"/>
  <c r="J13" i="6"/>
  <c r="K14" i="6" s="1"/>
  <c r="F13" i="6"/>
  <c r="B13" i="6"/>
  <c r="N12" i="6"/>
  <c r="J12" i="6"/>
  <c r="F12" i="6"/>
  <c r="B12" i="6"/>
  <c r="N11" i="6"/>
  <c r="O12" i="6" s="1"/>
  <c r="J11" i="6"/>
  <c r="K12" i="6" s="1"/>
  <c r="F11" i="6"/>
  <c r="B11" i="6"/>
  <c r="M9" i="6"/>
  <c r="I9" i="6"/>
  <c r="E9" i="6"/>
  <c r="A9" i="6"/>
  <c r="C10" i="21"/>
  <c r="B13" i="20"/>
  <c r="N194" i="19"/>
  <c r="N193" i="19"/>
  <c r="N192" i="19"/>
  <c r="N191" i="19"/>
  <c r="N190" i="19"/>
  <c r="N189" i="19"/>
  <c r="N188" i="19"/>
  <c r="N187" i="19"/>
  <c r="N186" i="19"/>
  <c r="N185" i="19"/>
  <c r="N184" i="19"/>
  <c r="N183" i="19"/>
  <c r="N182" i="19"/>
  <c r="N181" i="19"/>
  <c r="N180" i="19"/>
  <c r="N179" i="19"/>
  <c r="N178" i="19"/>
  <c r="N177" i="19"/>
  <c r="N176" i="19"/>
  <c r="N175" i="19"/>
  <c r="N174" i="19"/>
  <c r="N173" i="19"/>
  <c r="N172" i="19"/>
  <c r="N171" i="19"/>
  <c r="N170" i="19"/>
  <c r="N169" i="19"/>
  <c r="N168" i="19"/>
  <c r="N167" i="19"/>
  <c r="N166" i="19"/>
  <c r="N165" i="19"/>
  <c r="N164" i="19"/>
  <c r="N163" i="19"/>
  <c r="N162" i="19"/>
  <c r="N161" i="19"/>
  <c r="N160" i="19"/>
  <c r="N159" i="19"/>
  <c r="N158" i="19"/>
  <c r="N157" i="19"/>
  <c r="N156" i="19"/>
  <c r="N155" i="19"/>
  <c r="N154" i="19"/>
  <c r="N153" i="19"/>
  <c r="N152" i="19"/>
  <c r="N151" i="19"/>
  <c r="N150" i="19"/>
  <c r="N149" i="19"/>
  <c r="N148" i="19"/>
  <c r="N147" i="19"/>
  <c r="N146" i="19"/>
  <c r="N145" i="19"/>
  <c r="N144" i="19"/>
  <c r="N143" i="19"/>
  <c r="N142" i="19"/>
  <c r="N141" i="19"/>
  <c r="N140" i="19"/>
  <c r="N139" i="19"/>
  <c r="N138" i="19"/>
  <c r="N137" i="19"/>
  <c r="N136" i="19"/>
  <c r="N135" i="19"/>
  <c r="N134" i="19"/>
  <c r="N133" i="19"/>
  <c r="N132" i="19"/>
  <c r="N131" i="19"/>
  <c r="N130" i="19"/>
  <c r="N129" i="19"/>
  <c r="N128" i="19"/>
  <c r="N127" i="19"/>
  <c r="N126" i="19"/>
  <c r="N125" i="19"/>
  <c r="N124" i="19"/>
  <c r="N123" i="19"/>
  <c r="N122" i="19"/>
  <c r="N121" i="19"/>
  <c r="N120" i="19"/>
  <c r="N119" i="19"/>
  <c r="N118" i="19"/>
  <c r="N117" i="19"/>
  <c r="N114" i="19"/>
  <c r="N113" i="19"/>
  <c r="N112" i="19"/>
  <c r="N111" i="19"/>
  <c r="N110" i="19"/>
  <c r="N109" i="19"/>
  <c r="N108" i="19"/>
  <c r="N107" i="19"/>
  <c r="N106" i="19"/>
  <c r="N105" i="19"/>
  <c r="M100" i="19"/>
  <c r="B6" i="19" s="1"/>
  <c r="L100" i="19"/>
  <c r="K100" i="19"/>
  <c r="J100" i="19"/>
  <c r="O100" i="19" s="1"/>
  <c r="O99" i="19"/>
  <c r="N99" i="19"/>
  <c r="O98" i="19"/>
  <c r="N98" i="19"/>
  <c r="O97" i="19"/>
  <c r="N97" i="19"/>
  <c r="O96" i="19"/>
  <c r="N96" i="19"/>
  <c r="O95" i="19"/>
  <c r="N95" i="19"/>
  <c r="O94" i="19"/>
  <c r="N94" i="19"/>
  <c r="O93" i="19"/>
  <c r="N93" i="19"/>
  <c r="O92" i="19"/>
  <c r="N92" i="19"/>
  <c r="O91" i="19"/>
  <c r="N91" i="19"/>
  <c r="O90" i="19"/>
  <c r="N90" i="19"/>
  <c r="O89" i="19"/>
  <c r="N89" i="19"/>
  <c r="O88" i="19"/>
  <c r="N88" i="19"/>
  <c r="O87" i="19"/>
  <c r="N87" i="19"/>
  <c r="O86" i="19"/>
  <c r="N86" i="19"/>
  <c r="O85" i="19"/>
  <c r="N85" i="19"/>
  <c r="O84" i="19"/>
  <c r="N84" i="19"/>
  <c r="O83" i="19"/>
  <c r="N83" i="19"/>
  <c r="O82" i="19"/>
  <c r="N82" i="19"/>
  <c r="O81" i="19"/>
  <c r="N81" i="19"/>
  <c r="O80" i="19"/>
  <c r="N80" i="19"/>
  <c r="O79" i="19"/>
  <c r="N79" i="19"/>
  <c r="O78" i="19"/>
  <c r="N78" i="19"/>
  <c r="O77" i="19"/>
  <c r="N77" i="19"/>
  <c r="O76" i="19"/>
  <c r="N76" i="19"/>
  <c r="O75" i="19"/>
  <c r="N75" i="19"/>
  <c r="O74" i="19"/>
  <c r="N74" i="19"/>
  <c r="O73" i="19"/>
  <c r="N73" i="19"/>
  <c r="O72" i="19"/>
  <c r="N72" i="19"/>
  <c r="O71" i="19"/>
  <c r="N71" i="19"/>
  <c r="O70" i="19"/>
  <c r="N70" i="19"/>
  <c r="O69" i="19"/>
  <c r="N69" i="19"/>
  <c r="O68" i="19"/>
  <c r="N68" i="19"/>
  <c r="O67" i="19"/>
  <c r="N67" i="19"/>
  <c r="O66" i="19"/>
  <c r="N66" i="19"/>
  <c r="O65" i="19"/>
  <c r="N65" i="19"/>
  <c r="O64" i="19"/>
  <c r="N64" i="19"/>
  <c r="O63" i="19"/>
  <c r="N63" i="19"/>
  <c r="O62" i="19"/>
  <c r="N62" i="19"/>
  <c r="O61" i="19"/>
  <c r="N61" i="19"/>
  <c r="O60" i="19"/>
  <c r="N60" i="19"/>
  <c r="O59" i="19"/>
  <c r="N59" i="19"/>
  <c r="O58" i="19"/>
  <c r="N58" i="19"/>
  <c r="O57" i="19"/>
  <c r="N57" i="19"/>
  <c r="O56" i="19"/>
  <c r="N56" i="19"/>
  <c r="O55" i="19"/>
  <c r="N55" i="19"/>
  <c r="O54" i="19"/>
  <c r="N54" i="19"/>
  <c r="O53" i="19"/>
  <c r="N53" i="19"/>
  <c r="O52" i="19"/>
  <c r="N52" i="19"/>
  <c r="O51" i="19"/>
  <c r="N51" i="19"/>
  <c r="O50" i="19"/>
  <c r="N50" i="19"/>
  <c r="AG49" i="19"/>
  <c r="AF49" i="19"/>
  <c r="O49" i="19"/>
  <c r="N49" i="19"/>
  <c r="AG48" i="19"/>
  <c r="AF48" i="19"/>
  <c r="O48" i="19"/>
  <c r="N48" i="19"/>
  <c r="AG47" i="19"/>
  <c r="AE47" i="19"/>
  <c r="AD47" i="19"/>
  <c r="AA47" i="19"/>
  <c r="Z47" i="19"/>
  <c r="Y47" i="19"/>
  <c r="X47" i="19"/>
  <c r="W47" i="19"/>
  <c r="V47" i="19"/>
  <c r="U47" i="19"/>
  <c r="T47" i="19"/>
  <c r="O47" i="19"/>
  <c r="N47" i="19"/>
  <c r="AG46" i="19"/>
  <c r="AF46" i="19"/>
  <c r="O46" i="19"/>
  <c r="N46" i="19"/>
  <c r="O45" i="19"/>
  <c r="N45" i="19"/>
  <c r="O44" i="19"/>
  <c r="N44" i="19"/>
  <c r="AG43" i="19"/>
  <c r="AF43" i="19"/>
  <c r="O43" i="19"/>
  <c r="N43" i="19"/>
  <c r="AG42" i="19"/>
  <c r="AF42" i="19"/>
  <c r="O42" i="19"/>
  <c r="N42" i="19"/>
  <c r="AG41" i="19"/>
  <c r="AG39" i="19" s="1"/>
  <c r="AF41" i="19"/>
  <c r="O41" i="19"/>
  <c r="N41" i="19"/>
  <c r="AG40" i="19"/>
  <c r="AF40" i="19"/>
  <c r="O40" i="19"/>
  <c r="N40" i="19"/>
  <c r="AE39" i="19"/>
  <c r="AD39" i="19"/>
  <c r="AA39" i="19"/>
  <c r="Z39" i="19"/>
  <c r="Y39" i="19"/>
  <c r="X39" i="19"/>
  <c r="W39" i="19"/>
  <c r="V39" i="19"/>
  <c r="U39" i="19"/>
  <c r="AF39" i="19" s="1"/>
  <c r="T39" i="19"/>
  <c r="O39" i="19"/>
  <c r="N39" i="19"/>
  <c r="AG38" i="19"/>
  <c r="AF38" i="19"/>
  <c r="O38" i="19"/>
  <c r="N38" i="19"/>
  <c r="O37" i="19"/>
  <c r="N37" i="19"/>
  <c r="O36" i="19"/>
  <c r="N36" i="19"/>
  <c r="AG35" i="19"/>
  <c r="AG33" i="19" s="1"/>
  <c r="AF35" i="19"/>
  <c r="O35" i="19"/>
  <c r="N35" i="19"/>
  <c r="AG34" i="19"/>
  <c r="AF34" i="19"/>
  <c r="O34" i="19"/>
  <c r="N34" i="19"/>
  <c r="AE33" i="19"/>
  <c r="AD33" i="19"/>
  <c r="AA33" i="19"/>
  <c r="Z33" i="19"/>
  <c r="Y33" i="19"/>
  <c r="X33" i="19"/>
  <c r="W33" i="19"/>
  <c r="V33" i="19"/>
  <c r="U33" i="19"/>
  <c r="T33" i="19"/>
  <c r="O33" i="19"/>
  <c r="N33" i="19"/>
  <c r="AG32" i="19"/>
  <c r="AF32" i="19"/>
  <c r="O32" i="19"/>
  <c r="N32" i="19"/>
  <c r="O31" i="19"/>
  <c r="N31" i="19"/>
  <c r="O30" i="19"/>
  <c r="N30" i="19"/>
  <c r="AG29" i="19"/>
  <c r="AG27" i="19" s="1"/>
  <c r="AF29" i="19"/>
  <c r="O29" i="19"/>
  <c r="N29" i="19"/>
  <c r="AG28" i="19"/>
  <c r="AF28" i="19"/>
  <c r="O28" i="19"/>
  <c r="N28" i="19"/>
  <c r="AE27" i="19"/>
  <c r="AD27" i="19"/>
  <c r="AB27" i="19"/>
  <c r="AA27" i="19"/>
  <c r="Z27" i="19"/>
  <c r="Y27" i="19"/>
  <c r="X27" i="19"/>
  <c r="W27" i="19"/>
  <c r="V27" i="19"/>
  <c r="AF27" i="19" s="1"/>
  <c r="U27" i="19"/>
  <c r="T27" i="19"/>
  <c r="O27" i="19"/>
  <c r="N27" i="19"/>
  <c r="O26" i="19"/>
  <c r="N26" i="19"/>
  <c r="O25" i="19"/>
  <c r="N25" i="19"/>
  <c r="AG24" i="19"/>
  <c r="AF24" i="19"/>
  <c r="O24" i="19"/>
  <c r="N24" i="19"/>
  <c r="O23" i="19"/>
  <c r="N23" i="19"/>
  <c r="O22" i="19"/>
  <c r="N22" i="19"/>
  <c r="B18" i="19"/>
  <c r="C9" i="19"/>
  <c r="C8" i="19"/>
  <c r="G65" i="18"/>
  <c r="F65" i="18"/>
  <c r="C65" i="18"/>
  <c r="B65" i="18"/>
  <c r="G63" i="18"/>
  <c r="F63" i="18"/>
  <c r="E63" i="18"/>
  <c r="D63" i="18"/>
  <c r="C63" i="18"/>
  <c r="B63" i="18"/>
  <c r="H62" i="18"/>
  <c r="H61" i="18"/>
  <c r="H60" i="18"/>
  <c r="H59" i="18"/>
  <c r="H58" i="18"/>
  <c r="H57" i="18"/>
  <c r="H56" i="18"/>
  <c r="H55" i="18"/>
  <c r="H54" i="18"/>
  <c r="H53" i="18"/>
  <c r="H52" i="18"/>
  <c r="H51" i="18"/>
  <c r="G48" i="18"/>
  <c r="F48" i="18"/>
  <c r="E48" i="18"/>
  <c r="D48" i="18"/>
  <c r="D65" i="18" s="1"/>
  <c r="C48" i="18"/>
  <c r="B48" i="18"/>
  <c r="H47" i="18"/>
  <c r="H46" i="18"/>
  <c r="H45" i="18"/>
  <c r="H44" i="18"/>
  <c r="H43" i="18"/>
  <c r="H42" i="18"/>
  <c r="H41" i="18"/>
  <c r="H40" i="18"/>
  <c r="H39" i="18"/>
  <c r="H38" i="18"/>
  <c r="H48" i="18" s="1"/>
  <c r="H37" i="18"/>
  <c r="H36" i="18"/>
  <c r="B30" i="18"/>
  <c r="B29" i="18"/>
  <c r="B28" i="18"/>
  <c r="B27" i="18"/>
  <c r="B26" i="18"/>
  <c r="B25" i="18"/>
  <c r="B24" i="18"/>
  <c r="B23" i="18"/>
  <c r="F22" i="18"/>
  <c r="G22" i="18" s="1"/>
  <c r="F21" i="18"/>
  <c r="F20" i="18"/>
  <c r="G20" i="18" s="1"/>
  <c r="F19" i="18"/>
  <c r="L15" i="18"/>
  <c r="K15" i="18"/>
  <c r="O13" i="18"/>
  <c r="N13" i="18"/>
  <c r="N10" i="18"/>
  <c r="N15" i="18" s="1"/>
  <c r="M10" i="18"/>
  <c r="M15" i="18" s="1"/>
  <c r="L10" i="18"/>
  <c r="K10" i="18"/>
  <c r="J10" i="18"/>
  <c r="O10" i="18" s="1"/>
  <c r="P9" i="18"/>
  <c r="M9" i="18"/>
  <c r="B19" i="18" s="1"/>
  <c r="L9" i="18"/>
  <c r="O9" i="18" s="1"/>
  <c r="K9" i="18"/>
  <c r="B21" i="18" s="1"/>
  <c r="J9" i="18"/>
  <c r="B22" i="18" s="1"/>
  <c r="C22" i="18" s="1"/>
  <c r="O8" i="18"/>
  <c r="N8" i="18"/>
  <c r="P7" i="18"/>
  <c r="O7" i="18"/>
  <c r="N7" i="18"/>
  <c r="P6" i="18"/>
  <c r="O6" i="18"/>
  <c r="N6" i="18"/>
  <c r="N9" i="18" s="1"/>
  <c r="B37" i="17"/>
  <c r="G46" i="16"/>
  <c r="C46" i="16"/>
  <c r="G45" i="16"/>
  <c r="C45" i="16"/>
  <c r="G44" i="16"/>
  <c r="C44" i="16"/>
  <c r="G30" i="16"/>
  <c r="C30" i="16"/>
  <c r="O29" i="16"/>
  <c r="K29" i="16"/>
  <c r="G29" i="16"/>
  <c r="C29" i="16"/>
  <c r="G28" i="16"/>
  <c r="C28" i="16"/>
  <c r="O27" i="16"/>
  <c r="K27" i="16"/>
  <c r="G27" i="16"/>
  <c r="C27" i="16"/>
  <c r="G14" i="16"/>
  <c r="C14" i="16"/>
  <c r="O13" i="16"/>
  <c r="G13" i="16"/>
  <c r="C13" i="16"/>
  <c r="G12" i="16"/>
  <c r="C12" i="16"/>
  <c r="O11" i="16"/>
  <c r="K11" i="16"/>
  <c r="G11" i="16"/>
  <c r="C11" i="16"/>
  <c r="M17" i="15"/>
  <c r="N17" i="15" s="1"/>
  <c r="L17" i="15"/>
  <c r="K17" i="15"/>
  <c r="J17" i="15"/>
  <c r="P17" i="15" s="1"/>
  <c r="P18" i="15" s="1"/>
  <c r="P16" i="15"/>
  <c r="O16" i="15"/>
  <c r="N16" i="15"/>
  <c r="P15" i="15"/>
  <c r="O15" i="15"/>
  <c r="N15" i="15"/>
  <c r="P14" i="15"/>
  <c r="O14" i="15"/>
  <c r="N14" i="15"/>
  <c r="P13" i="15"/>
  <c r="O13" i="15"/>
  <c r="N13" i="15"/>
  <c r="P12" i="15"/>
  <c r="O12" i="15"/>
  <c r="N12" i="15"/>
  <c r="P11" i="15"/>
  <c r="O11" i="15"/>
  <c r="N11" i="15"/>
  <c r="P10" i="15"/>
  <c r="O10" i="15"/>
  <c r="N10" i="15"/>
  <c r="N18" i="15" s="1"/>
  <c r="P9" i="15"/>
  <c r="O9" i="15"/>
  <c r="N9" i="15"/>
  <c r="P8" i="15"/>
  <c r="O8" i="15"/>
  <c r="N8" i="15"/>
  <c r="P7" i="15"/>
  <c r="O7" i="15"/>
  <c r="N7" i="15"/>
  <c r="M37" i="14"/>
  <c r="L37" i="14"/>
  <c r="K37" i="14"/>
  <c r="J37" i="14"/>
  <c r="O37" i="14" s="1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O8" i="14"/>
  <c r="N8" i="14"/>
  <c r="O7" i="14"/>
  <c r="N7" i="14"/>
  <c r="O6" i="14"/>
  <c r="N6" i="14"/>
  <c r="O5" i="14"/>
  <c r="N5" i="14"/>
  <c r="K23" i="13"/>
  <c r="J23" i="13"/>
  <c r="I23" i="13"/>
  <c r="H23" i="13"/>
  <c r="G23" i="13"/>
  <c r="F23" i="13"/>
  <c r="E23" i="13"/>
  <c r="D23" i="13"/>
  <c r="C23" i="13"/>
  <c r="B23" i="13"/>
  <c r="K22" i="13"/>
  <c r="J22" i="13"/>
  <c r="I22" i="13"/>
  <c r="H22" i="13"/>
  <c r="G22" i="13"/>
  <c r="F22" i="13"/>
  <c r="E22" i="13"/>
  <c r="D22" i="13"/>
  <c r="C22" i="13"/>
  <c r="B22" i="13"/>
  <c r="B17" i="13"/>
  <c r="D17" i="12"/>
  <c r="C17" i="12"/>
  <c r="B17" i="12"/>
  <c r="F17" i="12" s="1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E17" i="12" s="1"/>
  <c r="F9" i="12"/>
  <c r="E9" i="12"/>
  <c r="F8" i="12"/>
  <c r="E8" i="12"/>
  <c r="F7" i="12"/>
  <c r="E7" i="12"/>
  <c r="G46" i="11"/>
  <c r="C46" i="11"/>
  <c r="G43" i="11"/>
  <c r="C43" i="11"/>
  <c r="O30" i="11"/>
  <c r="K30" i="11"/>
  <c r="O29" i="11"/>
  <c r="K29" i="11"/>
  <c r="O28" i="11"/>
  <c r="K28" i="11"/>
  <c r="O27" i="11"/>
  <c r="K27" i="11"/>
  <c r="G27" i="11"/>
  <c r="C27" i="11"/>
  <c r="O14" i="11"/>
  <c r="K14" i="11"/>
  <c r="O13" i="11"/>
  <c r="K13" i="11"/>
  <c r="O12" i="11"/>
  <c r="K12" i="11"/>
  <c r="O11" i="11"/>
  <c r="K11" i="11"/>
  <c r="P17" i="10"/>
  <c r="P18" i="10" s="1"/>
  <c r="O17" i="10"/>
  <c r="M17" i="10"/>
  <c r="L17" i="10"/>
  <c r="K17" i="10"/>
  <c r="J17" i="10"/>
  <c r="P16" i="10"/>
  <c r="O16" i="10"/>
  <c r="N16" i="10"/>
  <c r="P15" i="10"/>
  <c r="O15" i="10"/>
  <c r="N15" i="10"/>
  <c r="P14" i="10"/>
  <c r="O14" i="10"/>
  <c r="N14" i="10"/>
  <c r="P13" i="10"/>
  <c r="O13" i="10"/>
  <c r="N13" i="10"/>
  <c r="P12" i="10"/>
  <c r="O12" i="10"/>
  <c r="N12" i="10"/>
  <c r="P11" i="10"/>
  <c r="O11" i="10"/>
  <c r="N11" i="10"/>
  <c r="P10" i="10"/>
  <c r="O10" i="10"/>
  <c r="N10" i="10"/>
  <c r="P9" i="10"/>
  <c r="O9" i="10"/>
  <c r="N9" i="10"/>
  <c r="P8" i="10"/>
  <c r="O8" i="10"/>
  <c r="N8" i="10"/>
  <c r="P7" i="10"/>
  <c r="O7" i="10"/>
  <c r="N7" i="10"/>
  <c r="M72" i="9"/>
  <c r="L72" i="9"/>
  <c r="K72" i="9"/>
  <c r="J72" i="9"/>
  <c r="O72" i="9" s="1"/>
  <c r="O71" i="9"/>
  <c r="N71" i="9"/>
  <c r="O70" i="9"/>
  <c r="N70" i="9"/>
  <c r="O69" i="9"/>
  <c r="N69" i="9"/>
  <c r="O68" i="9"/>
  <c r="N68" i="9"/>
  <c r="O67" i="9"/>
  <c r="N67" i="9"/>
  <c r="O66" i="9"/>
  <c r="N66" i="9"/>
  <c r="O65" i="9"/>
  <c r="N65" i="9"/>
  <c r="O64" i="9"/>
  <c r="N64" i="9"/>
  <c r="O63" i="9"/>
  <c r="N63" i="9"/>
  <c r="O62" i="9"/>
  <c r="N62" i="9"/>
  <c r="O61" i="9"/>
  <c r="N61" i="9"/>
  <c r="O60" i="9"/>
  <c r="N60" i="9"/>
  <c r="O59" i="9"/>
  <c r="N59" i="9"/>
  <c r="O58" i="9"/>
  <c r="N58" i="9"/>
  <c r="O57" i="9"/>
  <c r="N57" i="9"/>
  <c r="O56" i="9"/>
  <c r="N56" i="9"/>
  <c r="O55" i="9"/>
  <c r="N55" i="9"/>
  <c r="O54" i="9"/>
  <c r="N54" i="9"/>
  <c r="O53" i="9"/>
  <c r="N53" i="9"/>
  <c r="O52" i="9"/>
  <c r="N52" i="9"/>
  <c r="O51" i="9"/>
  <c r="N51" i="9"/>
  <c r="O50" i="9"/>
  <c r="N50" i="9"/>
  <c r="O49" i="9"/>
  <c r="N49" i="9"/>
  <c r="O48" i="9"/>
  <c r="N48" i="9"/>
  <c r="O47" i="9"/>
  <c r="N47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O23" i="9"/>
  <c r="N23" i="9"/>
  <c r="O22" i="9"/>
  <c r="N22" i="9"/>
  <c r="O21" i="9"/>
  <c r="N21" i="9"/>
  <c r="O20" i="9"/>
  <c r="N20" i="9"/>
  <c r="O19" i="9"/>
  <c r="N19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O5" i="9"/>
  <c r="N5" i="9"/>
  <c r="B26" i="8"/>
  <c r="K25" i="8"/>
  <c r="J25" i="8"/>
  <c r="I25" i="8"/>
  <c r="H25" i="8"/>
  <c r="G25" i="8"/>
  <c r="F25" i="8"/>
  <c r="E25" i="8"/>
  <c r="D25" i="8"/>
  <c r="C25" i="8"/>
  <c r="K24" i="8"/>
  <c r="J24" i="8"/>
  <c r="I24" i="8"/>
  <c r="H24" i="8"/>
  <c r="G24" i="8"/>
  <c r="F24" i="8"/>
  <c r="E24" i="8"/>
  <c r="D24" i="8"/>
  <c r="C24" i="8"/>
  <c r="B24" i="8"/>
  <c r="B17" i="8"/>
  <c r="D17" i="7"/>
  <c r="C17" i="7"/>
  <c r="B17" i="7"/>
  <c r="F17" i="7" s="1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44" i="6"/>
  <c r="C44" i="6"/>
  <c r="G43" i="6"/>
  <c r="C43" i="6"/>
  <c r="G30" i="6"/>
  <c r="C30" i="6"/>
  <c r="O29" i="6"/>
  <c r="G29" i="6"/>
  <c r="C29" i="6"/>
  <c r="G28" i="6"/>
  <c r="C28" i="6"/>
  <c r="O27" i="6"/>
  <c r="K27" i="6"/>
  <c r="G27" i="6"/>
  <c r="C27" i="6"/>
  <c r="G14" i="6"/>
  <c r="C14" i="6"/>
  <c r="O13" i="6"/>
  <c r="G13" i="6"/>
  <c r="C13" i="6"/>
  <c r="G12" i="6"/>
  <c r="C12" i="6"/>
  <c r="O11" i="6"/>
  <c r="G11" i="6"/>
  <c r="C11" i="6"/>
  <c r="P17" i="5"/>
  <c r="P18" i="5" s="1"/>
  <c r="M17" i="5"/>
  <c r="L17" i="5"/>
  <c r="K17" i="5"/>
  <c r="J17" i="5"/>
  <c r="O17" i="5" s="1"/>
  <c r="P16" i="5"/>
  <c r="O16" i="5"/>
  <c r="N16" i="5"/>
  <c r="P15" i="5"/>
  <c r="O15" i="5"/>
  <c r="N15" i="5"/>
  <c r="P14" i="5"/>
  <c r="O14" i="5"/>
  <c r="N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P7" i="5"/>
  <c r="O7" i="5"/>
  <c r="N7" i="5"/>
  <c r="N17" i="5" s="1"/>
  <c r="M187" i="4"/>
  <c r="L187" i="4"/>
  <c r="K187" i="4"/>
  <c r="J187" i="4"/>
  <c r="O186" i="4"/>
  <c r="N186" i="4"/>
  <c r="O185" i="4"/>
  <c r="N185" i="4"/>
  <c r="O184" i="4"/>
  <c r="N184" i="4"/>
  <c r="O183" i="4"/>
  <c r="N183" i="4"/>
  <c r="O182" i="4"/>
  <c r="N182" i="4"/>
  <c r="O181" i="4"/>
  <c r="N181" i="4"/>
  <c r="O180" i="4"/>
  <c r="N180" i="4"/>
  <c r="O179" i="4"/>
  <c r="N179" i="4"/>
  <c r="O178" i="4"/>
  <c r="N178" i="4"/>
  <c r="O177" i="4"/>
  <c r="N177" i="4"/>
  <c r="O176" i="4"/>
  <c r="N176" i="4"/>
  <c r="O175" i="4"/>
  <c r="N175" i="4"/>
  <c r="O174" i="4"/>
  <c r="N174" i="4"/>
  <c r="O173" i="4"/>
  <c r="N173" i="4"/>
  <c r="O172" i="4"/>
  <c r="N172" i="4"/>
  <c r="O171" i="4"/>
  <c r="N171" i="4"/>
  <c r="O170" i="4"/>
  <c r="N170" i="4"/>
  <c r="O169" i="4"/>
  <c r="N169" i="4"/>
  <c r="O168" i="4"/>
  <c r="N168" i="4"/>
  <c r="O167" i="4"/>
  <c r="N167" i="4"/>
  <c r="O166" i="4"/>
  <c r="N166" i="4"/>
  <c r="O165" i="4"/>
  <c r="N165" i="4"/>
  <c r="O164" i="4"/>
  <c r="N164" i="4"/>
  <c r="O163" i="4"/>
  <c r="N163" i="4"/>
  <c r="O162" i="4"/>
  <c r="N162" i="4"/>
  <c r="O161" i="4"/>
  <c r="N161" i="4"/>
  <c r="O160" i="4"/>
  <c r="N160" i="4"/>
  <c r="O159" i="4"/>
  <c r="N159" i="4"/>
  <c r="O158" i="4"/>
  <c r="N158" i="4"/>
  <c r="O157" i="4"/>
  <c r="N157" i="4"/>
  <c r="O156" i="4"/>
  <c r="N156" i="4"/>
  <c r="O155" i="4"/>
  <c r="N155" i="4"/>
  <c r="O154" i="4"/>
  <c r="N154" i="4"/>
  <c r="O153" i="4"/>
  <c r="N153" i="4"/>
  <c r="O152" i="4"/>
  <c r="N152" i="4"/>
  <c r="O151" i="4"/>
  <c r="N151" i="4"/>
  <c r="O150" i="4"/>
  <c r="N150" i="4"/>
  <c r="O149" i="4"/>
  <c r="N149" i="4"/>
  <c r="O148" i="4"/>
  <c r="N148" i="4"/>
  <c r="O147" i="4"/>
  <c r="N147" i="4"/>
  <c r="O146" i="4"/>
  <c r="N146" i="4"/>
  <c r="O145" i="4"/>
  <c r="N145" i="4"/>
  <c r="O144" i="4"/>
  <c r="N144" i="4"/>
  <c r="O143" i="4"/>
  <c r="N143" i="4"/>
  <c r="O142" i="4"/>
  <c r="N142" i="4"/>
  <c r="O141" i="4"/>
  <c r="N141" i="4"/>
  <c r="O140" i="4"/>
  <c r="N140" i="4"/>
  <c r="O139" i="4"/>
  <c r="N139" i="4"/>
  <c r="O138" i="4"/>
  <c r="N138" i="4"/>
  <c r="O137" i="4"/>
  <c r="N137" i="4"/>
  <c r="O136" i="4"/>
  <c r="N136" i="4"/>
  <c r="O135" i="4"/>
  <c r="N135" i="4"/>
  <c r="O134" i="4"/>
  <c r="N134" i="4"/>
  <c r="O133" i="4"/>
  <c r="N133" i="4"/>
  <c r="O132" i="4"/>
  <c r="N132" i="4"/>
  <c r="O131" i="4"/>
  <c r="N131" i="4"/>
  <c r="O130" i="4"/>
  <c r="N130" i="4"/>
  <c r="O129" i="4"/>
  <c r="N129" i="4"/>
  <c r="O128" i="4"/>
  <c r="N128" i="4"/>
  <c r="O127" i="4"/>
  <c r="N127" i="4"/>
  <c r="O126" i="4"/>
  <c r="N126" i="4"/>
  <c r="O125" i="4"/>
  <c r="N125" i="4"/>
  <c r="O124" i="4"/>
  <c r="N124" i="4"/>
  <c r="O123" i="4"/>
  <c r="N123" i="4"/>
  <c r="O122" i="4"/>
  <c r="N122" i="4"/>
  <c r="O121" i="4"/>
  <c r="N121" i="4"/>
  <c r="O120" i="4"/>
  <c r="N120" i="4"/>
  <c r="O119" i="4"/>
  <c r="N119" i="4"/>
  <c r="O118" i="4"/>
  <c r="N118" i="4"/>
  <c r="O117" i="4"/>
  <c r="N117" i="4"/>
  <c r="O116" i="4"/>
  <c r="N116" i="4"/>
  <c r="O115" i="4"/>
  <c r="N115" i="4"/>
  <c r="O114" i="4"/>
  <c r="N114" i="4"/>
  <c r="O113" i="4"/>
  <c r="N113" i="4"/>
  <c r="O112" i="4"/>
  <c r="N112" i="4"/>
  <c r="O111" i="4"/>
  <c r="N111" i="4"/>
  <c r="O110" i="4"/>
  <c r="N110" i="4"/>
  <c r="O109" i="4"/>
  <c r="N109" i="4"/>
  <c r="O108" i="4"/>
  <c r="N108" i="4"/>
  <c r="O107" i="4"/>
  <c r="N107" i="4"/>
  <c r="O106" i="4"/>
  <c r="N106" i="4"/>
  <c r="O105" i="4"/>
  <c r="N105" i="4"/>
  <c r="O104" i="4"/>
  <c r="N104" i="4"/>
  <c r="O103" i="4"/>
  <c r="N103" i="4"/>
  <c r="O102" i="4"/>
  <c r="N102" i="4"/>
  <c r="O101" i="4"/>
  <c r="N101" i="4"/>
  <c r="O100" i="4"/>
  <c r="N100" i="4"/>
  <c r="O99" i="4"/>
  <c r="N99" i="4"/>
  <c r="O98" i="4"/>
  <c r="N98" i="4"/>
  <c r="O97" i="4"/>
  <c r="N97" i="4"/>
  <c r="O96" i="4"/>
  <c r="N96" i="4"/>
  <c r="O95" i="4"/>
  <c r="N95" i="4"/>
  <c r="O94" i="4"/>
  <c r="N94" i="4"/>
  <c r="O93" i="4"/>
  <c r="N93" i="4"/>
  <c r="O92" i="4"/>
  <c r="N92" i="4"/>
  <c r="O91" i="4"/>
  <c r="N91" i="4"/>
  <c r="O90" i="4"/>
  <c r="N90" i="4"/>
  <c r="O89" i="4"/>
  <c r="N89" i="4"/>
  <c r="O88" i="4"/>
  <c r="N88" i="4"/>
  <c r="O87" i="4"/>
  <c r="N87" i="4"/>
  <c r="O86" i="4"/>
  <c r="N86" i="4"/>
  <c r="O85" i="4"/>
  <c r="N85" i="4"/>
  <c r="O84" i="4"/>
  <c r="N84" i="4"/>
  <c r="O83" i="4"/>
  <c r="N83" i="4"/>
  <c r="O82" i="4"/>
  <c r="N82" i="4"/>
  <c r="O81" i="4"/>
  <c r="N81" i="4"/>
  <c r="O80" i="4"/>
  <c r="N80" i="4"/>
  <c r="O79" i="4"/>
  <c r="N79" i="4"/>
  <c r="O78" i="4"/>
  <c r="N78" i="4"/>
  <c r="O77" i="4"/>
  <c r="N77" i="4"/>
  <c r="O76" i="4"/>
  <c r="N76" i="4"/>
  <c r="O75" i="4"/>
  <c r="N75" i="4"/>
  <c r="O74" i="4"/>
  <c r="N74" i="4"/>
  <c r="O73" i="4"/>
  <c r="N73" i="4"/>
  <c r="O72" i="4"/>
  <c r="N72" i="4"/>
  <c r="O71" i="4"/>
  <c r="N71" i="4"/>
  <c r="O70" i="4"/>
  <c r="N70" i="4"/>
  <c r="O69" i="4"/>
  <c r="N69" i="4"/>
  <c r="O68" i="4"/>
  <c r="N68" i="4"/>
  <c r="O67" i="4"/>
  <c r="N67" i="4"/>
  <c r="O66" i="4"/>
  <c r="N66" i="4"/>
  <c r="O65" i="4"/>
  <c r="N65" i="4"/>
  <c r="O64" i="4"/>
  <c r="N64" i="4"/>
  <c r="O63" i="4"/>
  <c r="N63" i="4"/>
  <c r="O62" i="4"/>
  <c r="N62" i="4"/>
  <c r="O61" i="4"/>
  <c r="N61" i="4"/>
  <c r="O60" i="4"/>
  <c r="N60" i="4"/>
  <c r="O59" i="4"/>
  <c r="N59" i="4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N50" i="4"/>
  <c r="O49" i="4"/>
  <c r="N49" i="4"/>
  <c r="O48" i="4"/>
  <c r="N48" i="4"/>
  <c r="O47" i="4"/>
  <c r="N47" i="4"/>
  <c r="O46" i="4"/>
  <c r="N46" i="4"/>
  <c r="O45" i="4"/>
  <c r="N45" i="4"/>
  <c r="O44" i="4"/>
  <c r="N44" i="4"/>
  <c r="O43" i="4"/>
  <c r="N43" i="4"/>
  <c r="O42" i="4"/>
  <c r="N42" i="4"/>
  <c r="O41" i="4"/>
  <c r="N41" i="4"/>
  <c r="O40" i="4"/>
  <c r="N40" i="4"/>
  <c r="O39" i="4"/>
  <c r="N39" i="4"/>
  <c r="O38" i="4"/>
  <c r="N38" i="4"/>
  <c r="O37" i="4"/>
  <c r="N37" i="4"/>
  <c r="O36" i="4"/>
  <c r="N36" i="4"/>
  <c r="O35" i="4"/>
  <c r="N35" i="4"/>
  <c r="O34" i="4"/>
  <c r="N34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O16" i="4"/>
  <c r="N16" i="4"/>
  <c r="O15" i="4"/>
  <c r="N15" i="4"/>
  <c r="O14" i="4"/>
  <c r="N14" i="4"/>
  <c r="O13" i="4"/>
  <c r="N13" i="4"/>
  <c r="O12" i="4"/>
  <c r="N12" i="4"/>
  <c r="O11" i="4"/>
  <c r="N11" i="4"/>
  <c r="O10" i="4"/>
  <c r="N10" i="4"/>
  <c r="O9" i="4"/>
  <c r="N9" i="4"/>
  <c r="O8" i="4"/>
  <c r="N8" i="4"/>
  <c r="O7" i="4"/>
  <c r="N7" i="4"/>
  <c r="O6" i="4"/>
  <c r="N6" i="4"/>
  <c r="O5" i="4"/>
  <c r="N5" i="4"/>
  <c r="M11" i="3"/>
  <c r="L11" i="3"/>
  <c r="K11" i="3"/>
  <c r="J11" i="3"/>
  <c r="Q11" i="3" s="1"/>
  <c r="O10" i="3"/>
  <c r="N10" i="3"/>
  <c r="O9" i="3"/>
  <c r="N9" i="3"/>
  <c r="O8" i="3"/>
  <c r="N8" i="3"/>
  <c r="O7" i="3"/>
  <c r="N7" i="3"/>
  <c r="O6" i="3"/>
  <c r="N6" i="3"/>
  <c r="O5" i="3"/>
  <c r="N5" i="3"/>
  <c r="N11" i="3" s="1"/>
  <c r="P24" i="2"/>
  <c r="O24" i="2"/>
  <c r="N24" i="2"/>
  <c r="M24" i="2"/>
  <c r="S24" i="2" s="1"/>
  <c r="S23" i="2"/>
  <c r="Q23" i="2"/>
  <c r="S22" i="2"/>
  <c r="Q22" i="2"/>
  <c r="R22" i="2" s="1"/>
  <c r="S21" i="2"/>
  <c r="Q21" i="2"/>
  <c r="S20" i="2"/>
  <c r="Q20" i="2"/>
  <c r="S19" i="2"/>
  <c r="Q19" i="2"/>
  <c r="Q24" i="2" s="1"/>
  <c r="R21" i="2" s="1"/>
  <c r="B18" i="2"/>
  <c r="B17" i="2"/>
  <c r="C8" i="2"/>
  <c r="C7" i="2"/>
  <c r="C6" i="2"/>
  <c r="C5" i="2"/>
  <c r="O187" i="4" l="1"/>
  <c r="P7" i="3"/>
  <c r="P5" i="3"/>
  <c r="P11" i="3"/>
  <c r="P9" i="3"/>
  <c r="P65" i="9"/>
  <c r="P8" i="14"/>
  <c r="P12" i="14"/>
  <c r="P37" i="19"/>
  <c r="R23" i="2"/>
  <c r="P6" i="3"/>
  <c r="P10" i="3"/>
  <c r="K13" i="6"/>
  <c r="P5" i="9"/>
  <c r="N72" i="9"/>
  <c r="P20" i="9"/>
  <c r="P69" i="9"/>
  <c r="N37" i="14"/>
  <c r="P16" i="14" s="1"/>
  <c r="P5" i="14"/>
  <c r="P20" i="14"/>
  <c r="F32" i="18"/>
  <c r="P69" i="19"/>
  <c r="P57" i="9"/>
  <c r="C12" i="11"/>
  <c r="C11" i="11"/>
  <c r="P13" i="9"/>
  <c r="K11" i="6"/>
  <c r="P36" i="9"/>
  <c r="N17" i="10"/>
  <c r="P17" i="14"/>
  <c r="P21" i="14"/>
  <c r="P32" i="14"/>
  <c r="P36" i="14"/>
  <c r="K13" i="16"/>
  <c r="Q7" i="18"/>
  <c r="Q8" i="18"/>
  <c r="G21" i="18"/>
  <c r="P23" i="19"/>
  <c r="C46" i="6"/>
  <c r="C45" i="6"/>
  <c r="C28" i="11"/>
  <c r="C29" i="11"/>
  <c r="P44" i="9"/>
  <c r="P25" i="14"/>
  <c r="P29" i="14"/>
  <c r="Q13" i="18"/>
  <c r="E65" i="18"/>
  <c r="AF47" i="19"/>
  <c r="P53" i="9"/>
  <c r="P53" i="19"/>
  <c r="C14" i="11"/>
  <c r="C13" i="11"/>
  <c r="H63" i="18"/>
  <c r="H65" i="18" s="1"/>
  <c r="P28" i="9"/>
  <c r="P9" i="14"/>
  <c r="P24" i="14"/>
  <c r="P8" i="3"/>
  <c r="K29" i="6"/>
  <c r="P37" i="9"/>
  <c r="P41" i="9"/>
  <c r="P52" i="9"/>
  <c r="P33" i="14"/>
  <c r="B32" i="18"/>
  <c r="C19" i="18"/>
  <c r="AF33" i="19"/>
  <c r="R20" i="2"/>
  <c r="P17" i="9"/>
  <c r="P13" i="14"/>
  <c r="P28" i="14"/>
  <c r="P35" i="19"/>
  <c r="P81" i="19"/>
  <c r="P45" i="9"/>
  <c r="P49" i="9"/>
  <c r="P60" i="19"/>
  <c r="P64" i="19"/>
  <c r="C7" i="19"/>
  <c r="C6" i="19"/>
  <c r="B19" i="19"/>
  <c r="R19" i="2"/>
  <c r="Q5" i="3"/>
  <c r="Q7" i="3"/>
  <c r="Q9" i="3"/>
  <c r="O17" i="15"/>
  <c r="Q6" i="18"/>
  <c r="G45" i="6"/>
  <c r="G11" i="11"/>
  <c r="G13" i="11"/>
  <c r="G29" i="11"/>
  <c r="J15" i="18"/>
  <c r="O15" i="18" s="1"/>
  <c r="F31" i="18"/>
  <c r="O11" i="3"/>
  <c r="C44" i="11"/>
  <c r="N187" i="4"/>
  <c r="P89" i="4" s="1"/>
  <c r="E17" i="7"/>
  <c r="G44" i="11"/>
  <c r="G19" i="18"/>
  <c r="N100" i="19"/>
  <c r="P80" i="19" s="1"/>
  <c r="Q6" i="3"/>
  <c r="Q8" i="3"/>
  <c r="Q10" i="3"/>
  <c r="B20" i="18"/>
  <c r="C20" i="18" s="1"/>
  <c r="P76" i="4" l="1"/>
  <c r="P171" i="4"/>
  <c r="P75" i="4"/>
  <c r="P67" i="4"/>
  <c r="P12" i="4"/>
  <c r="P88" i="4"/>
  <c r="P116" i="4"/>
  <c r="P56" i="4"/>
  <c r="P136" i="4"/>
  <c r="P52" i="4"/>
  <c r="P48" i="4"/>
  <c r="P184" i="4"/>
  <c r="P176" i="4"/>
  <c r="P164" i="4"/>
  <c r="P144" i="4"/>
  <c r="P59" i="4"/>
  <c r="P121" i="4"/>
  <c r="P124" i="4"/>
  <c r="P169" i="4"/>
  <c r="P44" i="4"/>
  <c r="P99" i="4"/>
  <c r="P36" i="4"/>
  <c r="P27" i="4"/>
  <c r="P72" i="4"/>
  <c r="P139" i="4"/>
  <c r="P107" i="4"/>
  <c r="P155" i="4"/>
  <c r="P65" i="4"/>
  <c r="P96" i="4"/>
  <c r="P132" i="4"/>
  <c r="P41" i="4"/>
  <c r="P108" i="4"/>
  <c r="P152" i="4"/>
  <c r="P128" i="4"/>
  <c r="P11" i="4"/>
  <c r="P84" i="4"/>
  <c r="P131" i="4"/>
  <c r="P123" i="4"/>
  <c r="P73" i="4"/>
  <c r="P153" i="4"/>
  <c r="P25" i="4"/>
  <c r="P43" i="4"/>
  <c r="P115" i="4"/>
  <c r="P17" i="4"/>
  <c r="P140" i="4"/>
  <c r="P16" i="4"/>
  <c r="P33" i="4"/>
  <c r="P35" i="4"/>
  <c r="P83" i="4"/>
  <c r="P105" i="4"/>
  <c r="P113" i="4"/>
  <c r="P172" i="4"/>
  <c r="P180" i="4"/>
  <c r="P160" i="4"/>
  <c r="P163" i="4"/>
  <c r="P100" i="4"/>
  <c r="P46" i="19"/>
  <c r="P56" i="19"/>
  <c r="P77" i="19"/>
  <c r="P25" i="19"/>
  <c r="P64" i="9"/>
  <c r="P56" i="9"/>
  <c r="P48" i="9"/>
  <c r="P40" i="9"/>
  <c r="P32" i="9"/>
  <c r="P24" i="9"/>
  <c r="P16" i="9"/>
  <c r="P8" i="9"/>
  <c r="P66" i="9"/>
  <c r="P58" i="9"/>
  <c r="P50" i="9"/>
  <c r="P42" i="9"/>
  <c r="P34" i="9"/>
  <c r="P26" i="9"/>
  <c r="P18" i="9"/>
  <c r="P10" i="9"/>
  <c r="P38" i="9"/>
  <c r="P22" i="9"/>
  <c r="P71" i="9"/>
  <c r="P63" i="9"/>
  <c r="P55" i="9"/>
  <c r="P47" i="9"/>
  <c r="P39" i="9"/>
  <c r="P31" i="9"/>
  <c r="P23" i="9"/>
  <c r="P15" i="9"/>
  <c r="P7" i="9"/>
  <c r="P70" i="9"/>
  <c r="P62" i="9"/>
  <c r="P54" i="9"/>
  <c r="P30" i="9"/>
  <c r="P14" i="9"/>
  <c r="P46" i="9"/>
  <c r="P6" i="9"/>
  <c r="P72" i="9" s="1"/>
  <c r="P67" i="9"/>
  <c r="P11" i="9"/>
  <c r="P59" i="9"/>
  <c r="P51" i="9"/>
  <c r="P43" i="9"/>
  <c r="P35" i="9"/>
  <c r="P27" i="9"/>
  <c r="P19" i="9"/>
  <c r="P137" i="4"/>
  <c r="P41" i="19"/>
  <c r="P52" i="19"/>
  <c r="P48" i="19"/>
  <c r="P9" i="9"/>
  <c r="P104" i="4"/>
  <c r="P20" i="4"/>
  <c r="P39" i="19"/>
  <c r="P68" i="19"/>
  <c r="P97" i="19"/>
  <c r="P36" i="19"/>
  <c r="P129" i="4"/>
  <c r="P19" i="4"/>
  <c r="P161" i="4"/>
  <c r="P57" i="19"/>
  <c r="P24" i="19"/>
  <c r="P68" i="4"/>
  <c r="P33" i="19"/>
  <c r="P145" i="4"/>
  <c r="P93" i="19"/>
  <c r="P33" i="9"/>
  <c r="P64" i="4"/>
  <c r="P81" i="4"/>
  <c r="P24" i="4"/>
  <c r="C21" i="18"/>
  <c r="P25" i="9"/>
  <c r="P92" i="19"/>
  <c r="P92" i="4"/>
  <c r="P9" i="4"/>
  <c r="P61" i="9"/>
  <c r="P94" i="19"/>
  <c r="P34" i="19"/>
  <c r="P98" i="19"/>
  <c r="P90" i="19"/>
  <c r="P82" i="19"/>
  <c r="P74" i="19"/>
  <c r="P66" i="19"/>
  <c r="P58" i="19"/>
  <c r="P50" i="19"/>
  <c r="P40" i="19"/>
  <c r="P32" i="19"/>
  <c r="P28" i="19"/>
  <c r="P27" i="19"/>
  <c r="P78" i="19"/>
  <c r="P54" i="19"/>
  <c r="P95" i="19"/>
  <c r="P87" i="19"/>
  <c r="P79" i="19"/>
  <c r="P71" i="19"/>
  <c r="P63" i="19"/>
  <c r="P55" i="19"/>
  <c r="P47" i="19"/>
  <c r="P45" i="19"/>
  <c r="P43" i="19"/>
  <c r="P22" i="19"/>
  <c r="P62" i="19"/>
  <c r="P44" i="19"/>
  <c r="P38" i="19"/>
  <c r="P86" i="19"/>
  <c r="P70" i="19"/>
  <c r="P67" i="19"/>
  <c r="P59" i="19"/>
  <c r="P49" i="19"/>
  <c r="P51" i="19"/>
  <c r="P99" i="19"/>
  <c r="P75" i="19"/>
  <c r="P91" i="19"/>
  <c r="P83" i="19"/>
  <c r="R24" i="2"/>
  <c r="P96" i="19"/>
  <c r="P187" i="4"/>
  <c r="P183" i="4"/>
  <c r="P175" i="4"/>
  <c r="P167" i="4"/>
  <c r="P159" i="4"/>
  <c r="P151" i="4"/>
  <c r="P143" i="4"/>
  <c r="P135" i="4"/>
  <c r="P127" i="4"/>
  <c r="P119" i="4"/>
  <c r="P111" i="4"/>
  <c r="P103" i="4"/>
  <c r="P95" i="4"/>
  <c r="P87" i="4"/>
  <c r="P79" i="4"/>
  <c r="P71" i="4"/>
  <c r="P63" i="4"/>
  <c r="P55" i="4"/>
  <c r="P47" i="4"/>
  <c r="P39" i="4"/>
  <c r="P31" i="4"/>
  <c r="P23" i="4"/>
  <c r="P15" i="4"/>
  <c r="P7" i="4"/>
  <c r="P53" i="4"/>
  <c r="P141" i="4"/>
  <c r="P101" i="4"/>
  <c r="P37" i="4"/>
  <c r="P173" i="4"/>
  <c r="P165" i="4"/>
  <c r="P85" i="4"/>
  <c r="P45" i="4"/>
  <c r="P13" i="4"/>
  <c r="P182" i="4"/>
  <c r="P174" i="4"/>
  <c r="P166" i="4"/>
  <c r="P158" i="4"/>
  <c r="P150" i="4"/>
  <c r="P142" i="4"/>
  <c r="P134" i="4"/>
  <c r="P126" i="4"/>
  <c r="P118" i="4"/>
  <c r="P110" i="4"/>
  <c r="P102" i="4"/>
  <c r="P94" i="4"/>
  <c r="P86" i="4"/>
  <c r="P78" i="4"/>
  <c r="P70" i="4"/>
  <c r="P62" i="4"/>
  <c r="P54" i="4"/>
  <c r="P46" i="4"/>
  <c r="P38" i="4"/>
  <c r="P30" i="4"/>
  <c r="P22" i="4"/>
  <c r="P14" i="4"/>
  <c r="P6" i="4"/>
  <c r="P149" i="4"/>
  <c r="P133" i="4"/>
  <c r="P117" i="4"/>
  <c r="P93" i="4"/>
  <c r="P77" i="4"/>
  <c r="P61" i="4"/>
  <c r="P21" i="4"/>
  <c r="P181" i="4"/>
  <c r="P157" i="4"/>
  <c r="P109" i="4"/>
  <c r="P29" i="4"/>
  <c r="P5" i="4"/>
  <c r="P125" i="4"/>
  <c r="P69" i="4"/>
  <c r="P162" i="4"/>
  <c r="P98" i="4"/>
  <c r="P34" i="4"/>
  <c r="P114" i="4"/>
  <c r="P50" i="4"/>
  <c r="P170" i="4"/>
  <c r="P154" i="4"/>
  <c r="P90" i="4"/>
  <c r="P26" i="4"/>
  <c r="P138" i="4"/>
  <c r="P74" i="4"/>
  <c r="P146" i="4"/>
  <c r="P82" i="4"/>
  <c r="P18" i="4"/>
  <c r="P10" i="4"/>
  <c r="P130" i="4"/>
  <c r="P66" i="4"/>
  <c r="P178" i="4"/>
  <c r="P186" i="4"/>
  <c r="P122" i="4"/>
  <c r="P58" i="4"/>
  <c r="P106" i="4"/>
  <c r="P42" i="4"/>
  <c r="P29" i="19"/>
  <c r="P91" i="4"/>
  <c r="P8" i="4"/>
  <c r="P112" i="4"/>
  <c r="P68" i="9"/>
  <c r="B31" i="18"/>
  <c r="P185" i="4"/>
  <c r="P57" i="4"/>
  <c r="P32" i="4"/>
  <c r="P29" i="9"/>
  <c r="P60" i="4"/>
  <c r="P28" i="4"/>
  <c r="P89" i="19"/>
  <c r="P21" i="9"/>
  <c r="P42" i="19"/>
  <c r="P88" i="19"/>
  <c r="P179" i="4"/>
  <c r="P51" i="4"/>
  <c r="P76" i="19"/>
  <c r="P12" i="9"/>
  <c r="Q10" i="18"/>
  <c r="Q15" i="18" s="1"/>
  <c r="P60" i="9"/>
  <c r="P80" i="4"/>
  <c r="P120" i="4"/>
  <c r="P97" i="4"/>
  <c r="P148" i="4"/>
  <c r="P147" i="4"/>
  <c r="P31" i="19"/>
  <c r="P177" i="4"/>
  <c r="P49" i="4"/>
  <c r="P85" i="19"/>
  <c r="P30" i="19"/>
  <c r="P84" i="19"/>
  <c r="P34" i="14"/>
  <c r="P30" i="14"/>
  <c r="P22" i="14"/>
  <c r="P14" i="14"/>
  <c r="P6" i="14"/>
  <c r="P37" i="14" s="1"/>
  <c r="P18" i="14"/>
  <c r="P35" i="14"/>
  <c r="P27" i="14"/>
  <c r="P19" i="14"/>
  <c r="P11" i="14"/>
  <c r="P26" i="14"/>
  <c r="P10" i="14"/>
  <c r="P31" i="14"/>
  <c r="P23" i="14"/>
  <c r="P15" i="14"/>
  <c r="P7" i="14"/>
  <c r="P168" i="4"/>
  <c r="P40" i="4"/>
  <c r="P65" i="19"/>
  <c r="P156" i="4"/>
  <c r="P26" i="19"/>
  <c r="P72" i="19"/>
  <c r="P73" i="19"/>
  <c r="P61" i="19"/>
  <c r="P100" i="19" l="1"/>
</calcChain>
</file>

<file path=xl/sharedStrings.xml><?xml version="1.0" encoding="utf-8"?>
<sst xmlns="http://schemas.openxmlformats.org/spreadsheetml/2006/main" count="900" uniqueCount="446">
  <si>
    <t>Controladoria Geral do Município - Ouvidoria Geral</t>
  </si>
  <si>
    <t>SIGRC - Sistema Integrado de Gerenciamento e Relacionamento com o Cidadão</t>
  </si>
  <si>
    <t>Meses</t>
  </si>
  <si>
    <t>Protocolos</t>
  </si>
  <si>
    <t>Variação*</t>
  </si>
  <si>
    <t>Total</t>
  </si>
  <si>
    <t>Média</t>
  </si>
  <si>
    <t>Tipo de manifestação</t>
  </si>
  <si>
    <t>%Total</t>
  </si>
  <si>
    <t>Denúncia</t>
  </si>
  <si>
    <t>* Variação percentual em relação ao mês imediatamente anterior.</t>
  </si>
  <si>
    <t>Elogio</t>
  </si>
  <si>
    <t>Reclamação</t>
  </si>
  <si>
    <t>Solicitação</t>
  </si>
  <si>
    <t>Sugestão</t>
  </si>
  <si>
    <t>Total Geral</t>
  </si>
  <si>
    <t>ATENDIMENTOS</t>
  </si>
  <si>
    <t>% Canais de entrada ABR/23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</si>
  <si>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</si>
  <si>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</si>
  <si>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</si>
  <si>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</si>
  <si>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</si>
  <si>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</si>
  <si>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TOTAL</t>
  </si>
  <si>
    <t>ASSUNTO (Guia Portal 156)*</t>
  </si>
  <si>
    <t>% Total</t>
  </si>
  <si>
    <t>Acessibilidade</t>
  </si>
  <si>
    <t>Acessibilidade digital</t>
  </si>
  <si>
    <t>Acessibilidade em edificações</t>
  </si>
  <si>
    <t>Adoção de animais</t>
  </si>
  <si>
    <t>Agendamento eletrônico</t>
  </si>
  <si>
    <t>Água subterrânea/Curso d'água</t>
  </si>
  <si>
    <t xml:space="preserve">Alimentação escolar </t>
  </si>
  <si>
    <t>Alistamento e Serviço Militar</t>
  </si>
  <si>
    <t>Ambulantes</t>
  </si>
  <si>
    <t>Animais que podem causar doenças e/ou agravos à saúde</t>
  </si>
  <si>
    <t>Animais silvestres</t>
  </si>
  <si>
    <t>Animal agressor e/ou invasor</t>
  </si>
  <si>
    <t>Animal em via pública</t>
  </si>
  <si>
    <t>Apoio à aprendizagem</t>
  </si>
  <si>
    <t>Apoio terapêutico</t>
  </si>
  <si>
    <t>Áreas contaminadas</t>
  </si>
  <si>
    <t>Áreas municipais</t>
  </si>
  <si>
    <t>Árvore</t>
  </si>
  <si>
    <t>Assistência a saúde na urgência e emergência (portas)</t>
  </si>
  <si>
    <t>Assistência domiciliar</t>
  </si>
  <si>
    <t>Assistência farmacêutica</t>
  </si>
  <si>
    <t>ATENDE - Transporte Pessoas com Deficiência</t>
  </si>
  <si>
    <t>Autos de Infração</t>
  </si>
  <si>
    <t>Auxílio Aluguel</t>
  </si>
  <si>
    <t>Auxílio Brasil</t>
  </si>
  <si>
    <t>Bibliotecas municipais</t>
  </si>
  <si>
    <t>Bicicleta</t>
  </si>
  <si>
    <t>Bilhete único</t>
  </si>
  <si>
    <t>Boletim e frequência escolar</t>
  </si>
  <si>
    <t>Bolsa Primeira Infância</t>
  </si>
  <si>
    <t>Buraco e pavimentação</t>
  </si>
  <si>
    <t>Cadastro Municipal de Vigilância em Saúde - CMVS</t>
  </si>
  <si>
    <t>Cadastro Único (CadÚnico)</t>
  </si>
  <si>
    <t>CADIN - Cadastro Informativo Municipal</t>
  </si>
  <si>
    <t>Calçadas, guias e postes</t>
  </si>
  <si>
    <t>Capinação e roçada de áreas verdes</t>
  </si>
  <si>
    <t>Carga e frete</t>
  </si>
  <si>
    <t>Carro híbrido</t>
  </si>
  <si>
    <t>Cartão SUS</t>
  </si>
  <si>
    <t>CCM - Cadastro de Contribuintes Mobiliários</t>
  </si>
  <si>
    <t>Cemitérios</t>
  </si>
  <si>
    <t>Central 156</t>
  </si>
  <si>
    <t>Centro de Apoio ao Trabalho e Empreendedorismo - CATe</t>
  </si>
  <si>
    <t>Centros de Referência, Convivência e Desenvolvimento</t>
  </si>
  <si>
    <t>Centros esportivos</t>
  </si>
  <si>
    <t>Certidão Ambiental</t>
  </si>
  <si>
    <t>Certidões</t>
  </si>
  <si>
    <t>Cirurgias</t>
  </si>
  <si>
    <t>COHAB</t>
  </si>
  <si>
    <t>Coleta de lixo domiciliar</t>
  </si>
  <si>
    <t>Coleta de resíduos de serviços de saúde</t>
  </si>
  <si>
    <t>Coleta seletiva</t>
  </si>
  <si>
    <t>Comida de rua e foodtruck</t>
  </si>
  <si>
    <t>Condições sanitárias inadequadas</t>
  </si>
  <si>
    <t>Conduta de funcionário da CET</t>
  </si>
  <si>
    <t>Conduta de funcionários</t>
  </si>
  <si>
    <t>Consulta de débitos e DUC</t>
  </si>
  <si>
    <t>Consultas médicas</t>
  </si>
  <si>
    <t>CPOM - cadastro de prestadores de serviços de outro município</t>
  </si>
  <si>
    <t>CRAS - Centro de Refência de Assistência Social</t>
  </si>
  <si>
    <t>Criação inadequada de animais</t>
  </si>
  <si>
    <t>Criança e adolescente</t>
  </si>
  <si>
    <t>Defesa civil</t>
  </si>
  <si>
    <t>Dengue/chikungunya/zika (mosquito aedes aegypti)</t>
  </si>
  <si>
    <t>Devoluções, restituições e indenizações</t>
  </si>
  <si>
    <t>Dívida Ativa</t>
  </si>
  <si>
    <t>Documentações de edificações</t>
  </si>
  <si>
    <t>Documentações e alvarás para obras</t>
  </si>
  <si>
    <t>Documentações de ruas e logradouros</t>
  </si>
  <si>
    <t>Drenagem de água de chuva</t>
  </si>
  <si>
    <t xml:space="preserve">Ecoponto </t>
  </si>
  <si>
    <t>Elevador, escada rolante, esteira rolante, plataforma de elevação</t>
  </si>
  <si>
    <t>Empreenda fácil</t>
  </si>
  <si>
    <t>Esgoto e água usada</t>
  </si>
  <si>
    <t>Estabelecimentos comerciais, indústrias e serviços</t>
  </si>
  <si>
    <t>Estacionamento</t>
  </si>
  <si>
    <t>Eutanásia</t>
  </si>
  <si>
    <t>Eventos</t>
  </si>
  <si>
    <t>Exames médicos</t>
  </si>
  <si>
    <t>Exames, vacinas e castração</t>
  </si>
  <si>
    <t>Exumação e translado/transferência de corpos</t>
  </si>
  <si>
    <t>Feira livre</t>
  </si>
  <si>
    <t>Ferro velho</t>
  </si>
  <si>
    <t>Fiscalização de obras</t>
  </si>
  <si>
    <t>Grande gerador de resíduos (serviço, comércio, indústria)</t>
  </si>
  <si>
    <t>Guarda Civil Metropolitana</t>
  </si>
  <si>
    <t>Guias rebaixadas</t>
  </si>
  <si>
    <t>Habite-se</t>
  </si>
  <si>
    <t>Heliponto</t>
  </si>
  <si>
    <t>Homenagem fúnebre, velório, sepultamento e cremação</t>
  </si>
  <si>
    <t>Hospital veterinário público</t>
  </si>
  <si>
    <t>Iluminação pública</t>
  </si>
  <si>
    <t>Imigrante</t>
  </si>
  <si>
    <t>Imunidades, isenções e demais benefícios fiscais</t>
  </si>
  <si>
    <t>IPREM</t>
  </si>
  <si>
    <t>IPTU - Imposto Predial e Territorial Urbano</t>
  </si>
  <si>
    <t>ISS - Imposto Sobre Serviços</t>
  </si>
  <si>
    <t>ITBI -  Imposto sobre a Transmissão de Bens Imóveis</t>
  </si>
  <si>
    <t>Lei Aldir Blanc - apoio emergencial a cultura</t>
  </si>
  <si>
    <t>Leve leite</t>
  </si>
  <si>
    <t>Licenciamento Ambiental</t>
  </si>
  <si>
    <t>Lixeiras públicas</t>
  </si>
  <si>
    <t>Locais com lotação superior a 250 pessoas (cinemas, teatros, casas de shows)</t>
  </si>
  <si>
    <t>Material e uniforme escolar</t>
  </si>
  <si>
    <t>Matrícula e transferência escolar</t>
  </si>
  <si>
    <t>Mediação de conflitos</t>
  </si>
  <si>
    <t>Medicamento de controle especial</t>
  </si>
  <si>
    <t xml:space="preserve">Mercados e Sacolões </t>
  </si>
  <si>
    <t>Microempreendedor Individual - MEI</t>
  </si>
  <si>
    <t>Moto frete</t>
  </si>
  <si>
    <t>Multa ambiental</t>
  </si>
  <si>
    <t>Multas de trânsito</t>
  </si>
  <si>
    <t>Multas e contestações</t>
  </si>
  <si>
    <t>Não identificado***</t>
  </si>
  <si>
    <t>Nota do Milhão</t>
  </si>
  <si>
    <t>Numeração de imóveis</t>
  </si>
  <si>
    <t>Obras no viário</t>
  </si>
  <si>
    <t>Ocupação irregular</t>
  </si>
  <si>
    <t>Ônibus</t>
  </si>
  <si>
    <t>Organizações da Sociedade Civil</t>
  </si>
  <si>
    <t>Ônibus fretado</t>
  </si>
  <si>
    <t>Órgão externo</t>
  </si>
  <si>
    <t>Pandemia - COVID 19</t>
  </si>
  <si>
    <t>Parcelamento de tributo</t>
  </si>
  <si>
    <t>Parques</t>
  </si>
  <si>
    <t>Patrimônio histórico e cultural</t>
  </si>
  <si>
    <t>Pedido de orientação ou informação</t>
  </si>
  <si>
    <t>Pessoa idosa</t>
  </si>
  <si>
    <t>Placas com nome de rua</t>
  </si>
  <si>
    <t>Planetário</t>
  </si>
  <si>
    <t>Poluição do ar</t>
  </si>
  <si>
    <t>Poluição sonora - PSIU</t>
  </si>
  <si>
    <t>Ponto de ônibus</t>
  </si>
  <si>
    <t>Ponto viciado, entulho e caçamba de entulho</t>
  </si>
  <si>
    <t>População ou pessoa em situação de rua</t>
  </si>
  <si>
    <t>Portal SP156</t>
  </si>
  <si>
    <t>Praças</t>
  </si>
  <si>
    <t>Precatórios</t>
  </si>
  <si>
    <t>Processo Administrativo</t>
  </si>
  <si>
    <t>PRCON Cidade de São Paulo</t>
  </si>
  <si>
    <t>Programa Ação Jovem</t>
  </si>
  <si>
    <t>Programa Bolsa Família</t>
  </si>
  <si>
    <t>Programa Bolsa Trabalho</t>
  </si>
  <si>
    <t>Programa Cidade Solidária</t>
  </si>
  <si>
    <t>Programa Operação Trabalho - POT</t>
  </si>
  <si>
    <t>Programa Renda Cidadã</t>
  </si>
  <si>
    <t>Programa Renda Mínima</t>
  </si>
  <si>
    <t>Publicidade e poluição visual</t>
  </si>
  <si>
    <t>Qualidade de atendimento</t>
  </si>
  <si>
    <t>RBE - Regularizar situação do RG ou RNE</t>
  </si>
  <si>
    <t>Reciclagem</t>
  </si>
  <si>
    <t>Regime Especial de Tributação</t>
  </si>
  <si>
    <t>Registro de animais - RGA</t>
  </si>
  <si>
    <t>Regularização de imóveis</t>
  </si>
  <si>
    <t>Remoção de grandes objetos</t>
  </si>
  <si>
    <t>Renda Básica Emergencial</t>
  </si>
  <si>
    <t>Reparação de danos</t>
  </si>
  <si>
    <t>Rios e córregos</t>
  </si>
  <si>
    <t>Ruas, vilas, vielas e escadarias</t>
  </si>
  <si>
    <t>Saúde bucal</t>
  </si>
  <si>
    <t>SAV - Solução de Atendimento Eletrônico</t>
  </si>
  <si>
    <t>Seguro desemprego</t>
  </si>
  <si>
    <t>Segurança de edificação</t>
  </si>
  <si>
    <t>Senha Web</t>
  </si>
  <si>
    <t>Serviços de apoio terapêutico</t>
  </si>
  <si>
    <t>Sinalização e Circulação de veículos e Pedestres</t>
  </si>
  <si>
    <t>Solicitação de callback durante atendimento receptivo</t>
  </si>
  <si>
    <t>Solicitar que acesso ao processo da OGM seja público*****</t>
  </si>
  <si>
    <t>Taxas mobiliárias</t>
  </si>
  <si>
    <t>Táxi e App</t>
  </si>
  <si>
    <t>Telecentro</t>
  </si>
  <si>
    <t>Terrenos e imóveis</t>
  </si>
  <si>
    <t>Transporte Escolar</t>
  </si>
  <si>
    <t>Unidade habitacional</t>
  </si>
  <si>
    <t>Unidades escolares</t>
  </si>
  <si>
    <t>Urgências e Emergências</t>
  </si>
  <si>
    <t>Vacinação</t>
  </si>
  <si>
    <t>Varrição e limpeza urbana</t>
  </si>
  <si>
    <t>Veículos abandonados</t>
  </si>
  <si>
    <t>Zona Azul</t>
  </si>
  <si>
    <t>WiFi Livre SP</t>
  </si>
  <si>
    <t xml:space="preserve">* Em decorrência da troca de sistema ocorrida em Dez/2016, a metodologia atualmente aplicada para a classificação dos assuntos é a Guia de Serviços do Portal 156.  
</t>
  </si>
  <si>
    <t>**Os assunto "colmeia e vespeiro, pernilongo e mosquito"  passou a ser classificado como um serviço dentro do assunto "animais que podem causar doenças e agravos à saúde"  no portal 156 a partir de maio/2018</t>
  </si>
  <si>
    <t>***Os protocolos classificadas como assunto não especificado, são reclamações recebidas no sistema sem que se tenha o registro do assunto demandado.</t>
  </si>
  <si>
    <t>****Em decorrência a atualização da Guia de Serviços no Portal 156, o serviço "Matricula e transferência"  passou a ser classificado como assunto a partir de Julho/2018</t>
  </si>
  <si>
    <t>*****O assunto "Solicitar que acesso ao processo da OGM seja público" passou a ser classificado após implantação de formulário SIGRC.</t>
  </si>
  <si>
    <t>Assuntos - 10 mais demandados de 2023 (Média)</t>
  </si>
  <si>
    <t>Unidades PMSP</t>
  </si>
  <si>
    <t>% em relação ao todo de ABR/23 (exetuando-se denúncias)</t>
  </si>
  <si>
    <t>Outros</t>
  </si>
  <si>
    <t>%total</t>
  </si>
  <si>
    <t>Assuntos - variação dos 10 mais demandados de 2023 (MÉDIA)</t>
  </si>
  <si>
    <t>*Protocolos - valores absolutos do mês</t>
  </si>
  <si>
    <t>** Variação percentual em relação ao mês imediatamente anterior.</t>
  </si>
  <si>
    <t>Protocolos*</t>
  </si>
  <si>
    <t>Variação**</t>
  </si>
  <si>
    <t>Assuntos - 10 mais demandados dos 3 últimos meses (Média)</t>
  </si>
  <si>
    <t>10 assuntos mais demandados de ABRIL/2023</t>
  </si>
  <si>
    <t xml:space="preserve">Agência Reguladora de Serviços Públicos do Município de São Paulo** </t>
  </si>
  <si>
    <t>Casa Civil</t>
  </si>
  <si>
    <t>Companhia de Engenharia de Tráfego - CET</t>
  </si>
  <si>
    <t>Companhia Metropolitana de Habitação - COHAB</t>
  </si>
  <si>
    <t>Controladoria Geral do Município</t>
  </si>
  <si>
    <t>Não identificado</t>
  </si>
  <si>
    <t>Procuradoria Geral do Município</t>
  </si>
  <si>
    <t>São Paulo Obras - SPObras</t>
  </si>
  <si>
    <t>São Paulo Transportes - SPTRANS</t>
  </si>
  <si>
    <t>Secretaria de Relações Institucionais</t>
  </si>
  <si>
    <t>Secretaria de Relações Internacionais</t>
  </si>
  <si>
    <t>Secretaria do Governo Municipal</t>
  </si>
  <si>
    <t>Secretaria Executiva de Limpeza Urbana**</t>
  </si>
  <si>
    <t>Secretaria Municipal da Fazenda</t>
  </si>
  <si>
    <t>Secretaria Municipal da Pessoa com Deficiência</t>
  </si>
  <si>
    <t>Secretaria Municipal da Saúde</t>
  </si>
  <si>
    <t>Secretaria Municipal das Subprefeituras</t>
  </si>
  <si>
    <t>Secretaria Municipal de Assistência e Desenvolvimento Social</t>
  </si>
  <si>
    <t>Secretaria Municipal de Cultura</t>
  </si>
  <si>
    <t>Secretaria Municipal de Desenvolvimento Econômico e Trabalho</t>
  </si>
  <si>
    <t>Secretaria Municipal de Direitos Humanos e Cidadania</t>
  </si>
  <si>
    <t>Secretaria Municipal de Educação</t>
  </si>
  <si>
    <t>Secretaria Municipal de Esportes e Lazer</t>
  </si>
  <si>
    <t>Secretaria Municipal de Gestão</t>
  </si>
  <si>
    <t>Secretaria Municipal de Habitação</t>
  </si>
  <si>
    <t>Secretaria Municipal de Infraestrutura Urbana e Obras</t>
  </si>
  <si>
    <t>Secretaria Municipal de Inovação e Tecnologia</t>
  </si>
  <si>
    <t>Secretaria Municipal de Justiça</t>
  </si>
  <si>
    <t>Secretaria Municipal de Mobilidade e Trânsito</t>
  </si>
  <si>
    <t>Secretaria Municipal de Segurança Urbana</t>
  </si>
  <si>
    <t>Secretaria Municipal de Turismo</t>
  </si>
  <si>
    <t>Secretaria Municipal de Urbanismo e Licenciamento*</t>
  </si>
  <si>
    <t>Secretaria Municipal do Verde e Meio Ambiente</t>
  </si>
  <si>
    <t>Serviço Funerário do Município de São Paulo - SFMSP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</si>
  <si>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</si>
  <si>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</si>
  <si>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</si>
  <si>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</si>
  <si>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</si>
  <si>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</si>
  <si>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</si>
  <si>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</si>
  <si>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</si>
  <si>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</si>
  <si>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</si>
  <si>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</si>
  <si>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</si>
  <si>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</si>
  <si>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</si>
  <si>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</si>
  <si>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M'Boi Mirim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</si>
  <si>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</si>
  <si>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</si>
  <si>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</si>
  <si>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</si>
  <si>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</si>
  <si>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</si>
  <si>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</si>
  <si>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</si>
  <si>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</si>
  <si>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</si>
  <si>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</si>
  <si>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</si>
  <si>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</si>
  <si>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</si>
  <si>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</si>
  <si>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*Em 2021 ILUME passou para a competencia de SMUL</t>
  </si>
  <si>
    <t>** Apartir de março_22 AMLURB desmembrada em SPRegula e SELimp</t>
  </si>
  <si>
    <t>Unidades - 10 mais demandadas de 2023 (Média)</t>
  </si>
  <si>
    <t>Agência Reguladora de Serviços Públicos do Município de São Paulo</t>
  </si>
  <si>
    <t>Unidades - variação dos 10 mais demandados de 2023 (MÉDIA)</t>
  </si>
  <si>
    <t>Unidades - 10 mais demandadas dos 3 últimos meses (Média)</t>
  </si>
  <si>
    <t>10 unidades mais demandadas de ABRIL/23</t>
  </si>
  <si>
    <t>P3A19:U38</t>
  </si>
  <si>
    <t>% Total dentre as subprefeituras</t>
  </si>
  <si>
    <t>Aricanduva</t>
  </si>
  <si>
    <t>Butantã</t>
  </si>
  <si>
    <t>Campo Limpo</t>
  </si>
  <si>
    <t>Capela do Socorro</t>
  </si>
  <si>
    <t>Casa Verde</t>
  </si>
  <si>
    <t>Cidade Ademar</t>
  </si>
  <si>
    <t>Cidade Tiradentes</t>
  </si>
  <si>
    <t>Ermelino Matarazzo</t>
  </si>
  <si>
    <t>Freguesia/Brasilândia</t>
  </si>
  <si>
    <t>Guaianases</t>
  </si>
  <si>
    <t>Ipiranga</t>
  </si>
  <si>
    <t>Itaim Paulista</t>
  </si>
  <si>
    <t>Itaquera</t>
  </si>
  <si>
    <t>Jabaquara</t>
  </si>
  <si>
    <t>Jaçanã/Tremembé</t>
  </si>
  <si>
    <t>Lapa</t>
  </si>
  <si>
    <t>M'Boi Mirim</t>
  </si>
  <si>
    <t>Mooca</t>
  </si>
  <si>
    <t>Parelheiros</t>
  </si>
  <si>
    <t>Penha</t>
  </si>
  <si>
    <t>Perus</t>
  </si>
  <si>
    <t>Pinheiros</t>
  </si>
  <si>
    <t>Pirituba/Jaraguá</t>
  </si>
  <si>
    <t>Santana/Tucuruvi</t>
  </si>
  <si>
    <t>Santo Amaro</t>
  </si>
  <si>
    <t>São Mateus</t>
  </si>
  <si>
    <t>São Miguel Paulista</t>
  </si>
  <si>
    <t>Sapopemba</t>
  </si>
  <si>
    <t>Sé</t>
  </si>
  <si>
    <t>Vila Maria/Vila Guilherme</t>
  </si>
  <si>
    <t>Vila Mariana</t>
  </si>
  <si>
    <t>Vila Prudente</t>
  </si>
  <si>
    <t>Subprefeituras - 10 mais demandados de 2023 (Média)</t>
  </si>
  <si>
    <t>Subprefeituras - variação dos 10 mais demandados de 2023 (MÉDIA)</t>
  </si>
  <si>
    <t xml:space="preserve">Total </t>
  </si>
  <si>
    <t>Média anual</t>
  </si>
  <si>
    <t>% Total ABR/23 dentro do STATUS</t>
  </si>
  <si>
    <t>% Total 2023</t>
  </si>
  <si>
    <t>Denúncias</t>
  </si>
  <si>
    <t>Deferidas</t>
  </si>
  <si>
    <t>Indeferidas</t>
  </si>
  <si>
    <t>Canceladas</t>
  </si>
  <si>
    <t>Total de denúncias *(exceto canceladas)</t>
  </si>
  <si>
    <t xml:space="preserve"> </t>
  </si>
  <si>
    <t>Total denúncias</t>
  </si>
  <si>
    <t>Reclassificadas</t>
  </si>
  <si>
    <t>Denúncias* (exceto canceladas)</t>
  </si>
  <si>
    <t>Assédio moral</t>
  </si>
  <si>
    <t>Assédio sexual</t>
  </si>
  <si>
    <t>Conduta inadequada de funcionário(a) público(a)</t>
  </si>
  <si>
    <t>Desvio de verbas, materiais e bens públicos</t>
  </si>
  <si>
    <t>Ilegalidade na gestão pública</t>
  </si>
  <si>
    <t>Irregularidade da contratação e/ou gestão de serviço público</t>
  </si>
  <si>
    <t>Total indeferidas</t>
  </si>
  <si>
    <t>Total deferidas</t>
  </si>
  <si>
    <t>Pedidos e-SIC</t>
  </si>
  <si>
    <t>Órgão</t>
  </si>
  <si>
    <t>SITUAÇÃO</t>
  </si>
  <si>
    <t>ADE SAMPA - Agência São Paulo de Desenvolvimento</t>
  </si>
  <si>
    <t>AMLURB - Autoridade Municipal de Limpeza Urbana</t>
  </si>
  <si>
    <t>Pedidos registrados</t>
  </si>
  <si>
    <t>CET - Companhia de Engenharia de Tráfego</t>
  </si>
  <si>
    <t>CGM - Controladoria Geral do Município</t>
  </si>
  <si>
    <t>Decisões iniciais</t>
  </si>
  <si>
    <t>COHAB - Companhia Metropolitana de Habitação</t>
  </si>
  <si>
    <t>Total (decisões iniciais)</t>
  </si>
  <si>
    <t>FPETC_ Fundação Paulistana de Educação, Tecnologia e Cultura</t>
  </si>
  <si>
    <t>Atendidos</t>
  </si>
  <si>
    <t>FTMSP - Fundação Theatro Municipal de São Paulo</t>
  </si>
  <si>
    <t>Indeferidos</t>
  </si>
  <si>
    <t>HSPM - Hospital do Servidor Público Municipal</t>
  </si>
  <si>
    <t>IPREM - Instituto de Previdência Municipal de São Paulo</t>
  </si>
  <si>
    <t>1ª instância</t>
  </si>
  <si>
    <t>PGM - Procuradoria Geral do Município</t>
  </si>
  <si>
    <t>Solicitações</t>
  </si>
  <si>
    <t>Prodam-Empresa de Tecnologia da Informação e Comunicação do Munic.SP</t>
  </si>
  <si>
    <t>Total (decisões 1ª instância)</t>
  </si>
  <si>
    <t>SPTrans - São Paulo Transportes S/A</t>
  </si>
  <si>
    <t>Deferidos</t>
  </si>
  <si>
    <t>SECOM - Secretaria Especial de Comunicação</t>
  </si>
  <si>
    <t>SEGES - Secretaria Executiva de Gestão</t>
  </si>
  <si>
    <t>SEHAB - Secretaria Municipal de Habitação</t>
  </si>
  <si>
    <t>2ª instância</t>
  </si>
  <si>
    <t>SEME - Secretaria Municipal de Esportes e Lazer</t>
  </si>
  <si>
    <t>SERI – Secretaria Executiva de Relações Institucionais</t>
  </si>
  <si>
    <t>Total (decisões 2ª instância)</t>
  </si>
  <si>
    <t>SF - Secretaria Municipal da Fazenda</t>
  </si>
  <si>
    <t>SFMSP - Serviço Funerário</t>
  </si>
  <si>
    <t>SGM - Secretaria de Governo Municipal</t>
  </si>
  <si>
    <t>Recurso de Ofício (RO)</t>
  </si>
  <si>
    <t>SIURB - Secretaria Municipal de Infraestrutura Urbana e Obras</t>
  </si>
  <si>
    <t>Encaminhado para o órgão para complemento</t>
  </si>
  <si>
    <t>SMADS - Secretaria Municipal de Assistência e Desenvolvimento Social</t>
  </si>
  <si>
    <t>SMC - Secretaria Municipal de Cultura</t>
  </si>
  <si>
    <t>3ª instância</t>
  </si>
  <si>
    <t>SMDET - Secretaria Municipal de Desenvolvimento Econômico e Trabalho</t>
  </si>
  <si>
    <t>SMDHC - Secretaria Municipal de Direitos Humanos e Cidadania</t>
  </si>
  <si>
    <t>Total (decisões 3ª instância)</t>
  </si>
  <si>
    <t>SME - Secretaria Municipal de Educação</t>
  </si>
  <si>
    <t>SMIT - Secretaria Municipal de Inovação e Tecnologia</t>
  </si>
  <si>
    <t>SMJ - Secretaria Municipal de Justiça</t>
  </si>
  <si>
    <t>SMPED - Secretaria Municipal da Pessoa com Deficiência</t>
  </si>
  <si>
    <t>SMRI - Secretaria Municipal de Relações Internacionais</t>
  </si>
  <si>
    <t>SMS - Secretaria Municipal da Saúde</t>
  </si>
  <si>
    <t>SMSU - Secretaria Municipal de Segurança Urbana</t>
  </si>
  <si>
    <t>SMSUB - Secretaria Municipal das Subprefeituras</t>
  </si>
  <si>
    <t>SMT - Secretaria Municipal de Mobilidade e Transportes</t>
  </si>
  <si>
    <t>SMTUR - Secretaria Municipal de Turismo</t>
  </si>
  <si>
    <t>SMUL - Secretaria Municipal de Urbanismo e Licenciamento</t>
  </si>
  <si>
    <t>SP CINE - Empresa de Cinema e Audiovisual de São Paulo</t>
  </si>
  <si>
    <t>SP OBRAS - São Paulo Obras</t>
  </si>
  <si>
    <t>São Paulo Parcerias S/A</t>
  </si>
  <si>
    <t>SP Regula - Agência Reguladora de Serviços Públicos do Município de São Paulo</t>
  </si>
  <si>
    <t>SP URBANISMO - São Paulo Urbanismo</t>
  </si>
  <si>
    <t>SPDA - Companhia São Paulo de Desenvolvimento e Mobilização de Ativos</t>
  </si>
  <si>
    <t>SPSEC - Companhia Paulistana de Securitização</t>
  </si>
  <si>
    <t>SPTURIS - São Paulo Turismo S/A</t>
  </si>
  <si>
    <t>Subprefeitura Aricanduva/Formosa/Carrão</t>
  </si>
  <si>
    <t>Subprefeitura Casa Verde/Cachoeirinha</t>
  </si>
  <si>
    <t>Subprefeitura Freguesia / Brasilândia</t>
  </si>
  <si>
    <t>Subprefeitura M’ Boi Mirim</t>
  </si>
  <si>
    <t>SVMA - Secretaria Municipal do Verde e do Meio Ambiente</t>
  </si>
  <si>
    <t>SMS</t>
  </si>
  <si>
    <t>CET</t>
  </si>
  <si>
    <t>SME</t>
  </si>
  <si>
    <t>SF</t>
  </si>
  <si>
    <t>SPTrans</t>
  </si>
  <si>
    <t>SMSUB</t>
  </si>
  <si>
    <t>SMT</t>
  </si>
  <si>
    <t>SMADS</t>
  </si>
  <si>
    <t>SMUL</t>
  </si>
  <si>
    <t>SEGES</t>
  </si>
  <si>
    <t>SEHAB</t>
  </si>
  <si>
    <t>Serviço</t>
  </si>
  <si>
    <t>Quantidade</t>
  </si>
  <si>
    <t>Alimentação escolar</t>
  </si>
  <si>
    <t>Denunciar estabelecimento que não fornece álcool em gel ou permite entrada sem máscara durante a crise do Coronavírus</t>
  </si>
  <si>
    <t>Denunciar estabelecimento que não segue as regras de funcionamento previstas durante a pandemia do Coronavírus</t>
  </si>
  <si>
    <t>Material escolar</t>
  </si>
  <si>
    <t>Manifestação livre</t>
  </si>
  <si>
    <t xml:space="preserve">Renda Básica Emergencial </t>
  </si>
  <si>
    <t>Vacinas</t>
  </si>
  <si>
    <t>Denunciar irregularidade da contratação e/ou gestão de serviço público</t>
  </si>
  <si>
    <t>ASSUNTO</t>
  </si>
  <si>
    <t>SERVIÇO</t>
  </si>
  <si>
    <t>Material e Uniforme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</si>
</sst>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&quot; &quot;#,##0.00&quot; &quot;;&quot;-&quot;#,##0.00&quot; &quot;;&quot; -&quot;00&quot; &quot;;&quot; &quot;@&quot; &quot;"/>
  </numFmts>
  <fonts count="4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sz val="10"/>
      <color rgb="FF000000"/>
      <name val="Arial"/>
      <family val="2"/>
    </font>
    <font>
      <b/>
      <sz val="11"/>
      <color rgb="FF44546A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 "/>
    </font>
    <font>
      <b/>
      <sz val="12"/>
      <color rgb="FF000000"/>
      <name val="Arial "/>
    </font>
    <font>
      <sz val="11"/>
      <color rgb="FF000000"/>
      <name val="Arial "/>
    </font>
    <font>
      <b/>
      <sz val="11"/>
      <color rgb="FF000000"/>
      <name val="Arial "/>
    </font>
    <font>
      <sz val="11"/>
      <color rgb="FFFFFFFF"/>
      <name val="Arial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sz val="9"/>
      <color rgb="FF000000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i/>
      <sz val="10"/>
      <color rgb="FF000000"/>
      <name val="Calibri"/>
      <family val="2"/>
    </font>
    <font>
      <b/>
      <sz val="8"/>
      <color rgb="FF000000"/>
      <name val="Calibri"/>
      <family val="2"/>
    </font>
    <font>
      <sz val="11"/>
      <color rgb="FFFFFFFF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FFFF"/>
      <name val="Calibri"/>
      <family val="2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FFFF"/>
      <name val="Calibri"/>
      <family val="2"/>
    </font>
    <font>
      <sz val="8"/>
      <color rgb="FFFFFFFF"/>
      <name val="Calibri"/>
      <family val="2"/>
    </font>
    <font>
      <b/>
      <sz val="10"/>
      <color rgb="FFFFFFFF"/>
      <name val="Calibri"/>
      <family val="2"/>
    </font>
    <font>
      <b/>
      <sz val="8"/>
      <color rgb="FFFFFFFF"/>
      <name val="Calibri"/>
      <family val="2"/>
    </font>
    <font>
      <sz val="11"/>
      <color rgb="FF375623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FC7CE"/>
        <bgColor rgb="FFFFC7CE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000000"/>
        <bgColor rgb="FF00000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99FFCC"/>
        <bgColor rgb="FF99FFCC"/>
      </patternFill>
    </fill>
    <fill>
      <patternFill patternType="solid">
        <fgColor rgb="FFBF8F00"/>
        <bgColor rgb="FFBF8F00"/>
      </patternFill>
    </fill>
    <fill>
      <patternFill patternType="solid">
        <fgColor rgb="FFFFD966"/>
        <bgColor rgb="FFFFD966"/>
      </patternFill>
    </fill>
    <fill>
      <patternFill patternType="solid">
        <fgColor rgb="FFFFF2CC"/>
        <bgColor rgb="FFFFF2CC"/>
      </patternFill>
    </fill>
    <fill>
      <patternFill patternType="solid">
        <fgColor rgb="FFCC00CC"/>
        <bgColor rgb="FFCC00CC"/>
      </patternFill>
    </fill>
    <fill>
      <patternFill patternType="solid">
        <fgColor rgb="FFFF3399"/>
        <bgColor rgb="FFFF3399"/>
      </patternFill>
    </fill>
    <fill>
      <patternFill patternType="solid">
        <fgColor rgb="FFFFCCCC"/>
        <bgColor rgb="FFFFCCCC"/>
      </patternFill>
    </fill>
    <fill>
      <patternFill patternType="solid">
        <fgColor rgb="FF3333CC"/>
        <bgColor rgb="FF3333CC"/>
      </patternFill>
    </fill>
    <fill>
      <patternFill patternType="solid">
        <fgColor rgb="FF6699FF"/>
        <bgColor rgb="FF6699FF"/>
      </patternFill>
    </fill>
    <fill>
      <patternFill patternType="solid">
        <fgColor rgb="FFDDEBF7"/>
        <bgColor rgb="FFDDEBF7"/>
      </patternFill>
    </fill>
    <fill>
      <patternFill patternType="solid">
        <fgColor rgb="FFD9E1F2"/>
        <bgColor rgb="FFD9E1F2"/>
      </patternFill>
    </fill>
    <fill>
      <patternFill patternType="solid">
        <fgColor rgb="FF2F75B5"/>
        <bgColor rgb="FF2F75B5"/>
      </patternFill>
    </fill>
  </fills>
  <borders count="148">
    <border>
      <left/>
      <right/>
      <top/>
      <bottom/>
      <diagonal/>
    </border>
    <border>
      <left/>
      <right/>
      <top/>
      <bottom style="medium">
        <color rgb="FF8EA9DB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548235"/>
      </bottom>
      <diagonal/>
    </border>
    <border>
      <left style="medium">
        <color rgb="FF548235"/>
      </left>
      <right/>
      <top style="medium">
        <color rgb="FF548235"/>
      </top>
      <bottom style="medium">
        <color rgb="FF548235"/>
      </bottom>
      <diagonal/>
    </border>
    <border>
      <left style="thin">
        <color rgb="FF548235"/>
      </left>
      <right/>
      <top style="medium">
        <color rgb="FF548235"/>
      </top>
      <bottom style="medium">
        <color rgb="FF548235"/>
      </bottom>
      <diagonal/>
    </border>
    <border>
      <left style="medium">
        <color rgb="FF000000"/>
      </left>
      <right style="medium">
        <color rgb="FF548235"/>
      </right>
      <top style="medium">
        <color rgb="FF548235"/>
      </top>
      <bottom style="thin">
        <color rgb="FF548235"/>
      </bottom>
      <diagonal/>
    </border>
    <border>
      <left style="medium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 style="thin">
        <color rgb="FF548235"/>
      </bottom>
      <diagonal/>
    </border>
    <border>
      <left style="thin">
        <color rgb="FF548235"/>
      </left>
      <right style="thin">
        <color rgb="FF548235"/>
      </right>
      <top/>
      <bottom/>
      <diagonal/>
    </border>
    <border>
      <left style="thin">
        <color rgb="FF548235"/>
      </left>
      <right/>
      <top/>
      <bottom style="thin">
        <color rgb="FF548235"/>
      </bottom>
      <diagonal/>
    </border>
    <border>
      <left style="medium">
        <color rgb="FF000000"/>
      </left>
      <right style="medium">
        <color rgb="FF548235"/>
      </right>
      <top style="thin">
        <color rgb="FF548235"/>
      </top>
      <bottom style="medium">
        <color rgb="FF548235"/>
      </bottom>
      <diagonal/>
    </border>
    <border>
      <left style="medium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/>
      <bottom style="medium">
        <color rgb="FF548235"/>
      </bottom>
      <diagonal/>
    </border>
    <border>
      <left style="thin">
        <color rgb="FF548235"/>
      </left>
      <right style="thin">
        <color rgb="FF548235"/>
      </right>
      <top style="thin">
        <color rgb="FF548235"/>
      </top>
      <bottom style="medium">
        <color rgb="FF548235"/>
      </bottom>
      <diagonal/>
    </border>
    <border>
      <left style="thin">
        <color rgb="FF548235"/>
      </left>
      <right/>
      <top/>
      <bottom style="medium">
        <color rgb="FF548235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medium">
        <color rgb="FF806000"/>
      </bottom>
      <diagonal/>
    </border>
    <border>
      <left/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medium">
        <color rgb="FF806000"/>
      </top>
      <bottom style="medium">
        <color rgb="FF806000"/>
      </bottom>
      <diagonal/>
    </border>
    <border>
      <left style="thin">
        <color rgb="FF806000"/>
      </left>
      <right/>
      <top style="medium">
        <color rgb="FF806000"/>
      </top>
      <bottom style="medium">
        <color rgb="FF806000"/>
      </bottom>
      <diagonal/>
    </border>
    <border>
      <left style="medium">
        <color rgb="FF000000"/>
      </left>
      <right style="medium">
        <color rgb="FF806000"/>
      </right>
      <top style="medium">
        <color rgb="FF806000"/>
      </top>
      <bottom style="thin">
        <color rgb="FF806000"/>
      </bottom>
      <diagonal/>
    </border>
    <border>
      <left style="medium">
        <color rgb="FF806000"/>
      </left>
      <right/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 style="thin">
        <color rgb="FF806000"/>
      </bottom>
      <diagonal/>
    </border>
    <border>
      <left/>
      <right style="thin">
        <color rgb="FF806000"/>
      </right>
      <top/>
      <bottom style="thin">
        <color rgb="FF806000"/>
      </bottom>
      <diagonal/>
    </border>
    <border>
      <left style="thin">
        <color rgb="FF806000"/>
      </left>
      <right style="thin">
        <color rgb="FF806000"/>
      </right>
      <top/>
      <bottom/>
      <diagonal/>
    </border>
    <border>
      <left style="thin">
        <color rgb="FF806000"/>
      </left>
      <right/>
      <top/>
      <bottom style="thin">
        <color rgb="FF806000"/>
      </bottom>
      <diagonal/>
    </border>
    <border>
      <left style="medium">
        <color rgb="FF000000"/>
      </left>
      <right style="medium">
        <color rgb="FF806000"/>
      </right>
      <top style="thin">
        <color rgb="FF806000"/>
      </top>
      <bottom style="medium">
        <color rgb="FF806000"/>
      </bottom>
      <diagonal/>
    </border>
    <border>
      <left style="medium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/>
      <bottom style="medium">
        <color rgb="FF806000"/>
      </bottom>
      <diagonal/>
    </border>
    <border>
      <left style="thin">
        <color rgb="FF806000"/>
      </left>
      <right style="thin">
        <color rgb="FF806000"/>
      </right>
      <top style="thin">
        <color rgb="FF806000"/>
      </top>
      <bottom style="medium">
        <color rgb="FF806000"/>
      </bottom>
      <diagonal/>
    </border>
    <border>
      <left style="thin">
        <color rgb="FF806000"/>
      </left>
      <right/>
      <top/>
      <bottom style="medium">
        <color rgb="FF806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0066"/>
      </bottom>
      <diagonal/>
    </border>
    <border>
      <left style="medium">
        <color rgb="FF000000"/>
      </left>
      <right/>
      <top style="medium">
        <color rgb="FFFF0066"/>
      </top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 style="medium">
        <color rgb="FFFF0066"/>
      </top>
      <bottom style="medium">
        <color rgb="FFFF0066"/>
      </bottom>
      <diagonal/>
    </border>
    <border>
      <left style="thin">
        <color rgb="FFFF0066"/>
      </left>
      <right/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thin">
        <color rgb="FFFF0066"/>
      </bottom>
      <diagonal/>
    </border>
    <border>
      <left style="medium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 style="thin">
        <color rgb="FFFF0066"/>
      </bottom>
      <diagonal/>
    </border>
    <border>
      <left style="thin">
        <color rgb="FFFF0066"/>
      </left>
      <right style="thin">
        <color rgb="FFFF0066"/>
      </right>
      <top/>
      <bottom/>
      <diagonal/>
    </border>
    <border>
      <left style="thin">
        <color rgb="FFFF0066"/>
      </left>
      <right/>
      <top/>
      <bottom style="thin">
        <color rgb="FFFF0066"/>
      </bottom>
      <diagonal/>
    </border>
    <border>
      <left style="medium">
        <color rgb="FF000000"/>
      </left>
      <right style="medium">
        <color rgb="FFFF0066"/>
      </right>
      <top style="thin">
        <color rgb="FFFF0066"/>
      </top>
      <bottom style="medium">
        <color rgb="FFFF0066"/>
      </bottom>
      <diagonal/>
    </border>
    <border>
      <left/>
      <right style="thin">
        <color rgb="FFFF0066"/>
      </right>
      <top/>
      <bottom/>
      <diagonal/>
    </border>
    <border>
      <left style="thin">
        <color rgb="FFFF0066"/>
      </left>
      <right style="thin">
        <color rgb="FFFF0066"/>
      </right>
      <top style="thin">
        <color rgb="FFFF0066"/>
      </top>
      <bottom style="medium">
        <color rgb="FFFF0066"/>
      </bottom>
      <diagonal/>
    </border>
    <border>
      <left style="thin">
        <color rgb="FFFF0066"/>
      </left>
      <right/>
      <top/>
      <bottom/>
      <diagonal/>
    </border>
    <border>
      <left style="medium">
        <color rgb="FF000000"/>
      </left>
      <right style="medium">
        <color rgb="FFFF0066"/>
      </right>
      <top style="medium">
        <color rgb="FFFF0066"/>
      </top>
      <bottom style="medium">
        <color rgb="FFFF0066"/>
      </bottom>
      <diagonal/>
    </border>
    <border>
      <left style="medium">
        <color rgb="FF000000"/>
      </left>
      <right style="medium">
        <color rgb="FFFF0066"/>
      </right>
      <top/>
      <bottom style="medium">
        <color rgb="FFFF0066"/>
      </bottom>
      <diagonal/>
    </border>
    <border>
      <left style="medium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 style="thin">
        <color rgb="FFFF0066"/>
      </right>
      <top/>
      <bottom style="medium">
        <color rgb="FFFF0066"/>
      </bottom>
      <diagonal/>
    </border>
    <border>
      <left style="thin">
        <color rgb="FFFF0066"/>
      </left>
      <right/>
      <top/>
      <bottom style="medium">
        <color rgb="FFFF0066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/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00"/>
      </right>
      <top style="medium">
        <color rgb="FF0000FF"/>
      </top>
      <bottom style="medium">
        <color rgb="FF0000FF"/>
      </bottom>
      <diagonal/>
    </border>
    <border>
      <left style="medium">
        <color rgb="FF000000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medium">
        <color rgb="FF000000"/>
      </left>
      <right style="medium">
        <color rgb="FF0000FF"/>
      </right>
      <top style="thin">
        <color rgb="FF0000FF"/>
      </top>
      <bottom style="medium">
        <color rgb="FF00000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/>
      <bottom style="medium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00"/>
      </bottom>
      <diagonal/>
    </border>
    <border>
      <left style="thin">
        <color rgb="FF0000FF"/>
      </left>
      <right/>
      <top/>
      <bottom style="medium">
        <color rgb="FF000000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3">
    <xf numFmtId="0" fontId="0" fillId="0" borderId="0"/>
    <xf numFmtId="0" fontId="5" fillId="0" borderId="1" applyNumberFormat="0" applyFill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Border="0" applyProtection="0"/>
    <xf numFmtId="0" fontId="4" fillId="0" borderId="0" applyNumberFormat="0" applyBorder="0" applyProtection="0"/>
    <xf numFmtId="0" fontId="1" fillId="0" borderId="0" applyNumberFormat="0" applyFont="0" applyBorder="0" applyProtection="0"/>
    <xf numFmtId="166" fontId="1" fillId="0" borderId="0" applyFont="0" applyFill="0" applyBorder="0" applyAlignment="0" applyProtection="0"/>
  </cellStyleXfs>
  <cellXfs count="877">
    <xf numFmtId="0" fontId="0" fillId="0" borderId="0" xfId="0"/>
    <xf numFmtId="0" fontId="6" fillId="0" borderId="0" xfId="0" applyFont="1"/>
    <xf numFmtId="1" fontId="0" fillId="0" borderId="0" xfId="0" applyNumberFormat="1"/>
    <xf numFmtId="165" fontId="0" fillId="0" borderId="0" xfId="0" applyNumberFormat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7" fontId="6" fillId="0" borderId="4" xfId="0" applyNumberFormat="1" applyFont="1" applyFill="1" applyBorder="1" applyAlignment="1">
      <alignment horizontal="center"/>
    </xf>
    <xf numFmtId="3" fontId="7" fillId="0" borderId="5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17" fontId="6" fillId="0" borderId="6" xfId="0" applyNumberFormat="1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/>
    <xf numFmtId="165" fontId="7" fillId="0" borderId="0" xfId="0" applyNumberFormat="1" applyFont="1" applyFill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2" fontId="0" fillId="0" borderId="0" xfId="0" applyNumberFormat="1"/>
    <xf numFmtId="17" fontId="6" fillId="0" borderId="8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right"/>
    </xf>
    <xf numFmtId="3" fontId="7" fillId="0" borderId="11" xfId="0" applyNumberFormat="1" applyFont="1" applyBorder="1" applyAlignment="1">
      <alignment horizontal="center"/>
    </xf>
    <xf numFmtId="0" fontId="8" fillId="0" borderId="3" xfId="0" applyFont="1" applyBorder="1" applyAlignment="1">
      <alignment horizontal="right"/>
    </xf>
    <xf numFmtId="3" fontId="7" fillId="0" borderId="12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17" fontId="6" fillId="5" borderId="3" xfId="0" applyNumberFormat="1" applyFont="1" applyFill="1" applyBorder="1" applyAlignment="1">
      <alignment horizontal="center" vertical="center"/>
    </xf>
    <xf numFmtId="17" fontId="6" fillId="5" borderId="2" xfId="0" applyNumberFormat="1" applyFont="1" applyFill="1" applyBorder="1" applyAlignment="1">
      <alignment horizontal="center" vertical="center"/>
    </xf>
    <xf numFmtId="17" fontId="6" fillId="5" borderId="13" xfId="0" applyNumberFormat="1" applyFont="1" applyFill="1" applyBorder="1" applyAlignment="1">
      <alignment horizontal="center" vertical="center"/>
    </xf>
    <xf numFmtId="17" fontId="6" fillId="5" borderId="14" xfId="0" applyNumberFormat="1" applyFont="1" applyFill="1" applyBorder="1" applyAlignment="1">
      <alignment horizontal="center" vertical="center"/>
    </xf>
    <xf numFmtId="165" fontId="6" fillId="5" borderId="2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 vertical="top"/>
    </xf>
    <xf numFmtId="0" fontId="7" fillId="0" borderId="2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6" xfId="0" applyFont="1" applyBorder="1"/>
    <xf numFmtId="0" fontId="7" fillId="0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" fontId="6" fillId="0" borderId="28" xfId="0" applyNumberFormat="1" applyFont="1" applyBorder="1" applyAlignment="1">
      <alignment horizontal="center"/>
    </xf>
    <xf numFmtId="0" fontId="6" fillId="5" borderId="29" xfId="0" applyFont="1" applyFill="1" applyBorder="1" applyAlignment="1">
      <alignment horizontal="right"/>
    </xf>
    <xf numFmtId="0" fontId="6" fillId="5" borderId="3" xfId="0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/>
    </xf>
    <xf numFmtId="1" fontId="6" fillId="5" borderId="3" xfId="0" applyNumberFormat="1" applyFont="1" applyFill="1" applyBorder="1" applyAlignment="1">
      <alignment horizontal="center"/>
    </xf>
    <xf numFmtId="0" fontId="6" fillId="5" borderId="2" xfId="0" applyFont="1" applyFill="1" applyBorder="1" applyAlignment="1">
      <alignment horizontal="left" vertical="center"/>
    </xf>
    <xf numFmtId="17" fontId="6" fillId="5" borderId="31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left"/>
    </xf>
    <xf numFmtId="1" fontId="7" fillId="0" borderId="33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1" fontId="7" fillId="0" borderId="21" xfId="0" applyNumberFormat="1" applyFont="1" applyFill="1" applyBorder="1" applyAlignment="1">
      <alignment horizontal="center" vertical="center"/>
    </xf>
    <xf numFmtId="1" fontId="7" fillId="0" borderId="17" xfId="0" applyNumberFormat="1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165" fontId="6" fillId="5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34" xfId="0" applyFont="1" applyBorder="1" applyAlignment="1">
      <alignment horizontal="left"/>
    </xf>
    <xf numFmtId="1" fontId="7" fillId="0" borderId="35" xfId="0" applyNumberFormat="1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1" fontId="7" fillId="0" borderId="24" xfId="0" applyNumberFormat="1" applyFont="1" applyFill="1" applyBorder="1" applyAlignment="1">
      <alignment horizontal="center" vertical="center"/>
    </xf>
    <xf numFmtId="1" fontId="7" fillId="0" borderId="23" xfId="0" applyNumberFormat="1" applyFont="1" applyBorder="1" applyAlignment="1">
      <alignment horizontal="center"/>
    </xf>
    <xf numFmtId="3" fontId="11" fillId="0" borderId="0" xfId="0" applyNumberFormat="1" applyFont="1" applyFill="1" applyAlignment="1">
      <alignment horizontal="center" vertical="center"/>
    </xf>
    <xf numFmtId="0" fontId="8" fillId="0" borderId="36" xfId="0" applyFont="1" applyBorder="1" applyAlignment="1">
      <alignment horizontal="left"/>
    </xf>
    <xf numFmtId="1" fontId="7" fillId="0" borderId="37" xfId="0" applyNumberFormat="1" applyFont="1" applyFill="1" applyBorder="1" applyAlignment="1">
      <alignment horizontal="center" vertical="center"/>
    </xf>
    <xf numFmtId="1" fontId="7" fillId="0" borderId="38" xfId="0" applyNumberFormat="1" applyFont="1" applyFill="1" applyBorder="1" applyAlignment="1">
      <alignment horizontal="center" vertical="center"/>
    </xf>
    <xf numFmtId="1" fontId="7" fillId="0" borderId="39" xfId="0" applyNumberFormat="1" applyFont="1" applyFill="1" applyBorder="1" applyAlignment="1">
      <alignment horizontal="center" vertical="center"/>
    </xf>
    <xf numFmtId="1" fontId="7" fillId="0" borderId="40" xfId="0" applyNumberFormat="1" applyFont="1" applyBorder="1" applyAlignment="1">
      <alignment horizontal="center"/>
    </xf>
    <xf numFmtId="165" fontId="0" fillId="0" borderId="0" xfId="0" applyNumberFormat="1" applyFill="1"/>
    <xf numFmtId="0" fontId="12" fillId="5" borderId="41" xfId="0" applyFont="1" applyFill="1" applyBorder="1" applyAlignment="1">
      <alignment horizontal="left" vertical="center"/>
    </xf>
    <xf numFmtId="3" fontId="6" fillId="5" borderId="41" xfId="0" applyNumberFormat="1" applyFont="1" applyFill="1" applyBorder="1" applyAlignment="1">
      <alignment horizontal="center" vertical="center"/>
    </xf>
    <xf numFmtId="3" fontId="6" fillId="5" borderId="3" xfId="0" applyNumberFormat="1" applyFont="1" applyFill="1" applyBorder="1" applyAlignment="1">
      <alignment horizontal="center" vertical="center"/>
    </xf>
    <xf numFmtId="3" fontId="6" fillId="5" borderId="12" xfId="0" applyNumberFormat="1" applyFont="1" applyFill="1" applyBorder="1" applyAlignment="1">
      <alignment horizontal="center" vertical="center"/>
    </xf>
    <xf numFmtId="3" fontId="6" fillId="5" borderId="11" xfId="0" applyNumberFormat="1" applyFont="1" applyFill="1" applyBorder="1" applyAlignment="1">
      <alignment horizontal="center" vertical="center"/>
    </xf>
    <xf numFmtId="2" fontId="6" fillId="5" borderId="3" xfId="0" applyNumberFormat="1" applyFont="1" applyFill="1" applyBorder="1" applyAlignment="1">
      <alignment horizontal="center" vertical="center"/>
    </xf>
    <xf numFmtId="165" fontId="6" fillId="5" borderId="3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0" fillId="0" borderId="0" xfId="0" applyNumberFormat="1"/>
    <xf numFmtId="0" fontId="13" fillId="0" borderId="0" xfId="0" applyFont="1"/>
    <xf numFmtId="164" fontId="0" fillId="0" borderId="0" xfId="0" applyNumberFormat="1"/>
    <xf numFmtId="0" fontId="14" fillId="0" borderId="0" xfId="0" applyFont="1" applyFill="1"/>
    <xf numFmtId="3" fontId="14" fillId="0" borderId="0" xfId="0" applyNumberFormat="1" applyFont="1" applyFill="1"/>
    <xf numFmtId="0" fontId="6" fillId="0" borderId="0" xfId="0" applyFont="1" applyFill="1"/>
    <xf numFmtId="0" fontId="13" fillId="0" borderId="0" xfId="0" applyFont="1" applyFill="1"/>
    <xf numFmtId="3" fontId="13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6" borderId="3" xfId="0" applyFont="1" applyFill="1" applyBorder="1" applyAlignment="1">
      <alignment horizontal="center"/>
    </xf>
    <xf numFmtId="17" fontId="6" fillId="6" borderId="30" xfId="0" applyNumberFormat="1" applyFont="1" applyFill="1" applyBorder="1" applyAlignment="1">
      <alignment horizontal="center" vertical="center"/>
    </xf>
    <xf numFmtId="17" fontId="6" fillId="6" borderId="3" xfId="0" applyNumberFormat="1" applyFont="1" applyFill="1" applyBorder="1" applyAlignment="1">
      <alignment horizontal="center" vertical="center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9" xfId="0" applyNumberFormat="1" applyFont="1" applyFill="1" applyBorder="1" applyAlignment="1">
      <alignment horizontal="center" vertical="center"/>
    </xf>
    <xf numFmtId="17" fontId="6" fillId="5" borderId="11" xfId="0" applyNumberFormat="1" applyFont="1" applyFill="1" applyBorder="1" applyAlignment="1">
      <alignment horizontal="center" vertical="center"/>
    </xf>
    <xf numFmtId="1" fontId="6" fillId="5" borderId="29" xfId="0" applyNumberFormat="1" applyFont="1" applyFill="1" applyBorder="1" applyAlignment="1">
      <alignment horizontal="center" vertical="center"/>
    </xf>
    <xf numFmtId="0" fontId="0" fillId="0" borderId="42" xfId="4" applyFont="1" applyFill="1" applyBorder="1" applyAlignment="1"/>
    <xf numFmtId="0" fontId="0" fillId="0" borderId="43" xfId="4" applyFont="1" applyFill="1" applyBorder="1" applyAlignment="1">
      <alignment horizontal="center" vertical="center"/>
    </xf>
    <xf numFmtId="0" fontId="0" fillId="0" borderId="19" xfId="0" applyBorder="1"/>
    <xf numFmtId="1" fontId="0" fillId="0" borderId="19" xfId="4" applyNumberFormat="1" applyFont="1" applyFill="1" applyBorder="1" applyAlignment="1">
      <alignment horizontal="center" vertical="center"/>
    </xf>
    <xf numFmtId="0" fontId="0" fillId="0" borderId="19" xfId="4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42" xfId="4" applyFont="1" applyFill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2" fontId="8" fillId="0" borderId="42" xfId="4" applyNumberFormat="1" applyFont="1" applyFill="1" applyBorder="1" applyAlignment="1">
      <alignment horizontal="center" vertical="center"/>
    </xf>
    <xf numFmtId="0" fontId="0" fillId="0" borderId="0" xfId="4" applyFont="1" applyFill="1" applyAlignment="1"/>
    <xf numFmtId="0" fontId="0" fillId="0" borderId="6" xfId="4" applyFont="1" applyFill="1" applyBorder="1" applyAlignment="1"/>
    <xf numFmtId="0" fontId="0" fillId="0" borderId="45" xfId="4" applyFont="1" applyFill="1" applyBorder="1" applyAlignment="1">
      <alignment horizontal="center" vertical="center"/>
    </xf>
    <xf numFmtId="0" fontId="0" fillId="0" borderId="20" xfId="0" applyBorder="1"/>
    <xf numFmtId="1" fontId="0" fillId="0" borderId="20" xfId="4" applyNumberFormat="1" applyFont="1" applyFill="1" applyBorder="1" applyAlignment="1">
      <alignment horizontal="center" vertical="center"/>
    </xf>
    <xf numFmtId="0" fontId="0" fillId="0" borderId="20" xfId="4" applyFont="1" applyFill="1" applyBorder="1" applyAlignment="1">
      <alignment horizontal="center" vertical="center"/>
    </xf>
    <xf numFmtId="0" fontId="8" fillId="0" borderId="6" xfId="4" applyFont="1" applyFill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45" xfId="0" applyFill="1" applyBorder="1" applyAlignment="1">
      <alignment horizontal="center" vertical="center"/>
    </xf>
    <xf numFmtId="1" fontId="0" fillId="0" borderId="20" xfId="0" applyNumberForma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6" xfId="0" applyFill="1" applyBorder="1"/>
    <xf numFmtId="0" fontId="4" fillId="0" borderId="20" xfId="0" applyFont="1" applyBorder="1"/>
    <xf numFmtId="0" fontId="4" fillId="0" borderId="20" xfId="0" applyFont="1" applyBorder="1" applyAlignment="1">
      <alignment horizontal="center"/>
    </xf>
    <xf numFmtId="0" fontId="0" fillId="0" borderId="26" xfId="4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8" fillId="0" borderId="28" xfId="4" applyFont="1" applyFill="1" applyBorder="1" applyAlignment="1">
      <alignment horizontal="center" vertical="center"/>
    </xf>
    <xf numFmtId="1" fontId="8" fillId="0" borderId="46" xfId="0" applyNumberFormat="1" applyFont="1" applyBorder="1" applyAlignment="1">
      <alignment horizontal="center" vertical="center"/>
    </xf>
    <xf numFmtId="2" fontId="8" fillId="0" borderId="47" xfId="4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8" xfId="0" applyFill="1" applyBorder="1" applyAlignment="1">
      <alignment horizontal="center" vertical="center"/>
    </xf>
    <xf numFmtId="0" fontId="0" fillId="0" borderId="26" xfId="0" applyBorder="1"/>
    <xf numFmtId="1" fontId="0" fillId="0" borderId="26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8" fillId="0" borderId="28" xfId="4" applyNumberFormat="1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1" fontId="8" fillId="5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5" borderId="29" xfId="4" applyFont="1" applyFill="1" applyBorder="1" applyAlignment="1">
      <alignment horizontal="center" vertical="center"/>
    </xf>
    <xf numFmtId="1" fontId="8" fillId="5" borderId="3" xfId="0" applyNumberFormat="1" applyFont="1" applyFill="1" applyBorder="1" applyAlignment="1">
      <alignment horizontal="center" vertical="center"/>
    </xf>
    <xf numFmtId="2" fontId="8" fillId="5" borderId="3" xfId="4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justify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8" applyFont="1" applyFill="1" applyAlignment="1"/>
    <xf numFmtId="0" fontId="6" fillId="0" borderId="0" xfId="8" applyFont="1" applyFill="1" applyAlignment="1">
      <alignment horizontal="center" vertical="center"/>
    </xf>
    <xf numFmtId="1" fontId="7" fillId="0" borderId="0" xfId="0" applyNumberFormat="1" applyFont="1"/>
    <xf numFmtId="0" fontId="1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0" fillId="5" borderId="31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/>
    <xf numFmtId="1" fontId="0" fillId="0" borderId="2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5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/>
    </xf>
    <xf numFmtId="2" fontId="6" fillId="5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/>
    </xf>
    <xf numFmtId="0" fontId="6" fillId="0" borderId="42" xfId="0" applyFont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/>
    </xf>
    <xf numFmtId="0" fontId="4" fillId="0" borderId="6" xfId="0" applyFont="1" applyFill="1" applyBorder="1"/>
    <xf numFmtId="0" fontId="7" fillId="0" borderId="20" xfId="0" applyFon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/>
    </xf>
    <xf numFmtId="0" fontId="6" fillId="5" borderId="3" xfId="0" applyFont="1" applyFill="1" applyBorder="1" applyAlignment="1">
      <alignment horizontal="right"/>
    </xf>
    <xf numFmtId="1" fontId="6" fillId="5" borderId="29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2" fontId="15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9" fillId="0" borderId="0" xfId="0" applyFont="1"/>
    <xf numFmtId="17" fontId="7" fillId="0" borderId="0" xfId="0" applyNumberFormat="1" applyFont="1"/>
    <xf numFmtId="2" fontId="7" fillId="0" borderId="0" xfId="0" applyNumberFormat="1" applyFont="1" applyAlignment="1">
      <alignment horizontal="center"/>
    </xf>
    <xf numFmtId="0" fontId="7" fillId="0" borderId="35" xfId="0" applyFont="1" applyBorder="1"/>
    <xf numFmtId="1" fontId="7" fillId="0" borderId="20" xfId="0" applyNumberFormat="1" applyFont="1" applyBorder="1"/>
    <xf numFmtId="0" fontId="7" fillId="0" borderId="20" xfId="0" applyFont="1" applyBorder="1"/>
    <xf numFmtId="0" fontId="7" fillId="0" borderId="23" xfId="0" applyFont="1" applyBorder="1"/>
    <xf numFmtId="0" fontId="7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/>
    </xf>
    <xf numFmtId="17" fontId="6" fillId="4" borderId="4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3" fontId="7" fillId="0" borderId="4" xfId="0" applyNumberFormat="1" applyFont="1" applyFill="1" applyBorder="1" applyAlignment="1">
      <alignment horizontal="center"/>
    </xf>
    <xf numFmtId="17" fontId="6" fillId="4" borderId="6" xfId="0" applyNumberFormat="1" applyFont="1" applyFill="1" applyBorder="1" applyAlignment="1">
      <alignment horizontal="center"/>
    </xf>
    <xf numFmtId="3" fontId="7" fillId="0" borderId="6" xfId="0" applyNumberFormat="1" applyFont="1" applyFill="1" applyBorder="1" applyAlignment="1">
      <alignment horizontal="center"/>
    </xf>
    <xf numFmtId="3" fontId="7" fillId="0" borderId="28" xfId="0" applyNumberFormat="1" applyFont="1" applyFill="1" applyBorder="1" applyAlignment="1">
      <alignment horizontal="center"/>
    </xf>
    <xf numFmtId="17" fontId="6" fillId="4" borderId="8" xfId="0" applyNumberFormat="1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47" xfId="0" applyFont="1" applyFill="1" applyBorder="1" applyAlignment="1">
      <alignment horizontal="center"/>
    </xf>
    <xf numFmtId="3" fontId="7" fillId="0" borderId="42" xfId="0" applyNumberFormat="1" applyFont="1" applyFill="1" applyBorder="1" applyAlignment="1">
      <alignment horizontal="center"/>
    </xf>
    <xf numFmtId="17" fontId="6" fillId="6" borderId="29" xfId="0" applyNumberFormat="1" applyFont="1" applyFill="1" applyBorder="1" applyAlignment="1">
      <alignment horizontal="center"/>
    </xf>
    <xf numFmtId="17" fontId="6" fillId="5" borderId="3" xfId="0" applyNumberFormat="1" applyFont="1" applyFill="1" applyBorder="1"/>
    <xf numFmtId="1" fontId="6" fillId="5" borderId="3" xfId="0" applyNumberFormat="1" applyFont="1" applyFill="1" applyBorder="1" applyAlignment="1">
      <alignment horizontal="center" vertical="center"/>
    </xf>
    <xf numFmtId="0" fontId="0" fillId="0" borderId="42" xfId="0" applyFill="1" applyBorder="1"/>
    <xf numFmtId="0" fontId="0" fillId="0" borderId="19" xfId="0" applyFill="1" applyBorder="1" applyAlignment="1">
      <alignment horizontal="center" vertical="center"/>
    </xf>
    <xf numFmtId="0" fontId="0" fillId="0" borderId="4" xfId="4" applyFont="1" applyFill="1" applyBorder="1" applyAlignment="1">
      <alignment horizont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0" fillId="0" borderId="3" xfId="4" applyFont="1" applyFill="1" applyBorder="1" applyAlignment="1">
      <alignment horizontal="center"/>
    </xf>
    <xf numFmtId="0" fontId="8" fillId="5" borderId="3" xfId="0" applyFont="1" applyFill="1" applyBorder="1" applyAlignment="1">
      <alignment horizontal="right"/>
    </xf>
    <xf numFmtId="1" fontId="8" fillId="5" borderId="29" xfId="0" applyNumberFormat="1" applyFont="1" applyFill="1" applyBorder="1" applyAlignment="1">
      <alignment horizontal="center"/>
    </xf>
    <xf numFmtId="0" fontId="8" fillId="5" borderId="3" xfId="4" applyFont="1" applyFill="1" applyBorder="1" applyAlignment="1">
      <alignment horizontal="center" vertical="center"/>
    </xf>
    <xf numFmtId="17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4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" fontId="6" fillId="0" borderId="0" xfId="0" applyNumberFormat="1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0" fontId="16" fillId="0" borderId="0" xfId="0" applyFont="1"/>
    <xf numFmtId="17" fontId="6" fillId="5" borderId="3" xfId="0" applyNumberFormat="1" applyFont="1" applyFill="1" applyBorder="1" applyAlignment="1">
      <alignment horizontal="center"/>
    </xf>
    <xf numFmtId="0" fontId="0" fillId="0" borderId="19" xfId="0" applyFill="1" applyBorder="1"/>
    <xf numFmtId="0" fontId="0" fillId="0" borderId="20" xfId="0" applyBorder="1" applyAlignment="1">
      <alignment horizontal="left"/>
    </xf>
    <xf numFmtId="0" fontId="0" fillId="0" borderId="20" xfId="0" applyFill="1" applyBorder="1"/>
    <xf numFmtId="0" fontId="0" fillId="0" borderId="26" xfId="0" applyFill="1" applyBorder="1"/>
    <xf numFmtId="0" fontId="8" fillId="6" borderId="3" xfId="0" applyFont="1" applyFill="1" applyBorder="1" applyAlignment="1">
      <alignment horizontal="right"/>
    </xf>
    <xf numFmtId="0" fontId="8" fillId="5" borderId="3" xfId="0" applyFont="1" applyFill="1" applyBorder="1" applyAlignment="1">
      <alignment horizontal="center"/>
    </xf>
    <xf numFmtId="0" fontId="16" fillId="0" borderId="0" xfId="4" applyFont="1" applyFill="1" applyAlignment="1"/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wrapText="1"/>
    </xf>
    <xf numFmtId="0" fontId="16" fillId="0" borderId="0" xfId="0" applyFont="1" applyFill="1"/>
    <xf numFmtId="0" fontId="16" fillId="0" borderId="0" xfId="0" applyFont="1" applyAlignment="1">
      <alignment horizontal="center" vertical="center"/>
    </xf>
    <xf numFmtId="0" fontId="16" fillId="0" borderId="0" xfId="4" applyFont="1" applyFill="1" applyAlignment="1">
      <alignment horizontal="center" vertical="center"/>
    </xf>
    <xf numFmtId="0" fontId="17" fillId="0" borderId="0" xfId="0" applyFont="1" applyFill="1"/>
    <xf numFmtId="0" fontId="0" fillId="0" borderId="0" xfId="0" applyFont="1" applyAlignment="1">
      <alignment horizontal="center" vertical="center"/>
    </xf>
    <xf numFmtId="0" fontId="6" fillId="0" borderId="0" xfId="8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5" borderId="3" xfId="0" applyFont="1" applyFill="1" applyBorder="1" applyAlignment="1">
      <alignment horizontal="left"/>
    </xf>
    <xf numFmtId="17" fontId="6" fillId="5" borderId="14" xfId="0" applyNumberFormat="1" applyFont="1" applyFill="1" applyBorder="1" applyAlignment="1">
      <alignment horizontal="center"/>
    </xf>
    <xf numFmtId="17" fontId="6" fillId="5" borderId="31" xfId="0" applyNumberFormat="1" applyFont="1" applyFill="1" applyBorder="1" applyAlignment="1">
      <alignment horizontal="center"/>
    </xf>
    <xf numFmtId="17" fontId="6" fillId="5" borderId="30" xfId="0" applyNumberFormat="1" applyFont="1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19" xfId="0" applyFont="1" applyBorder="1"/>
    <xf numFmtId="1" fontId="6" fillId="0" borderId="5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7" fillId="0" borderId="20" xfId="0" applyFont="1" applyBorder="1" applyAlignment="1">
      <alignment horizontal="left"/>
    </xf>
    <xf numFmtId="0" fontId="7" fillId="0" borderId="43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26" xfId="0" applyFont="1" applyBorder="1" applyAlignment="1">
      <alignment horizontal="left"/>
    </xf>
    <xf numFmtId="0" fontId="7" fillId="0" borderId="50" xfId="0" applyFont="1" applyBorder="1" applyAlignment="1">
      <alignment horizontal="center"/>
    </xf>
    <xf numFmtId="0" fontId="7" fillId="0" borderId="26" xfId="0" applyFont="1" applyBorder="1"/>
    <xf numFmtId="0" fontId="7" fillId="0" borderId="38" xfId="0" applyFont="1" applyBorder="1" applyAlignment="1">
      <alignment horizontal="center"/>
    </xf>
    <xf numFmtId="0" fontId="7" fillId="0" borderId="38" xfId="0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/>
    </xf>
    <xf numFmtId="1" fontId="6" fillId="0" borderId="25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6" fillId="5" borderId="5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/>
    </xf>
    <xf numFmtId="1" fontId="6" fillId="5" borderId="5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" fontId="6" fillId="5" borderId="29" xfId="0" applyNumberFormat="1" applyFont="1" applyFill="1" applyBorder="1" applyAlignment="1">
      <alignment horizontal="center" vertical="center"/>
    </xf>
    <xf numFmtId="17" fontId="6" fillId="5" borderId="30" xfId="0" applyNumberFormat="1" applyFont="1" applyFill="1" applyBorder="1" applyAlignment="1">
      <alignment horizontal="center" vertical="center"/>
    </xf>
    <xf numFmtId="1" fontId="20" fillId="5" borderId="2" xfId="0" applyNumberFormat="1" applyFont="1" applyFill="1" applyBorder="1" applyAlignment="1">
      <alignment horizontal="center" vertical="center" wrapText="1"/>
    </xf>
    <xf numFmtId="1" fontId="7" fillId="0" borderId="43" xfId="0" applyNumberFormat="1" applyFont="1" applyBorder="1"/>
    <xf numFmtId="1" fontId="7" fillId="0" borderId="19" xfId="0" applyNumberFormat="1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/>
    </xf>
    <xf numFmtId="1" fontId="7" fillId="0" borderId="45" xfId="0" applyNumberFormat="1" applyFont="1" applyBorder="1"/>
    <xf numFmtId="1" fontId="7" fillId="0" borderId="20" xfId="0" applyNumberFormat="1" applyFont="1" applyBorder="1" applyAlignment="1">
      <alignment horizontal="center"/>
    </xf>
    <xf numFmtId="1" fontId="7" fillId="0" borderId="45" xfId="0" applyNumberFormat="1" applyFont="1" applyFill="1" applyBorder="1" applyAlignment="1">
      <alignment horizontal="center"/>
    </xf>
    <xf numFmtId="1" fontId="7" fillId="0" borderId="20" xfId="0" applyNumberFormat="1" applyFont="1" applyFill="1" applyBorder="1" applyAlignment="1">
      <alignment horizontal="center"/>
    </xf>
    <xf numFmtId="0" fontId="7" fillId="0" borderId="45" xfId="0" applyFont="1" applyBorder="1"/>
    <xf numFmtId="1" fontId="7" fillId="0" borderId="20" xfId="0" applyNumberFormat="1" applyFont="1" applyBorder="1" applyAlignment="1">
      <alignment horizontal="center" vertical="center"/>
    </xf>
    <xf numFmtId="1" fontId="7" fillId="0" borderId="48" xfId="0" applyNumberFormat="1" applyFont="1" applyBorder="1"/>
    <xf numFmtId="1" fontId="7" fillId="0" borderId="26" xfId="0" applyNumberFormat="1" applyFont="1" applyBorder="1" applyAlignment="1">
      <alignment horizontal="center"/>
    </xf>
    <xf numFmtId="0" fontId="6" fillId="5" borderId="10" xfId="0" applyFont="1" applyFill="1" applyBorder="1" applyAlignment="1">
      <alignment horizontal="right"/>
    </xf>
    <xf numFmtId="1" fontId="6" fillId="5" borderId="11" xfId="0" applyNumberFormat="1" applyFont="1" applyFill="1" applyBorder="1" applyAlignment="1">
      <alignment horizontal="center"/>
    </xf>
    <xf numFmtId="3" fontId="7" fillId="0" borderId="33" xfId="0" applyNumberFormat="1" applyFont="1" applyFill="1" applyBorder="1" applyAlignment="1">
      <alignment horizontal="center"/>
    </xf>
    <xf numFmtId="2" fontId="7" fillId="0" borderId="17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3" fontId="7" fillId="0" borderId="35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3" fontId="7" fillId="0" borderId="37" xfId="0" applyNumberFormat="1" applyFont="1" applyFill="1" applyBorder="1" applyAlignment="1">
      <alignment horizontal="center"/>
    </xf>
    <xf numFmtId="2" fontId="7" fillId="0" borderId="4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0" fontId="7" fillId="0" borderId="53" xfId="0" applyFont="1" applyBorder="1" applyAlignment="1">
      <alignment horizontal="center"/>
    </xf>
    <xf numFmtId="1" fontId="6" fillId="0" borderId="42" xfId="0" applyNumberFormat="1" applyFont="1" applyBorder="1" applyAlignment="1">
      <alignment horizontal="center"/>
    </xf>
    <xf numFmtId="1" fontId="6" fillId="0" borderId="5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36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6" fillId="5" borderId="10" xfId="0" applyFont="1" applyFill="1" applyBorder="1" applyAlignment="1">
      <alignment horizontal="left"/>
    </xf>
    <xf numFmtId="1" fontId="6" fillId="5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16" fillId="0" borderId="0" xfId="0" applyFont="1" applyFill="1" applyAlignment="1">
      <alignment wrapText="1"/>
    </xf>
    <xf numFmtId="0" fontId="15" fillId="0" borderId="0" xfId="0" applyFont="1" applyFill="1"/>
    <xf numFmtId="3" fontId="15" fillId="0" borderId="0" xfId="0" applyNumberFormat="1" applyFont="1" applyFill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0" fontId="22" fillId="0" borderId="0" xfId="0" applyFont="1"/>
    <xf numFmtId="0" fontId="15" fillId="0" borderId="0" xfId="0" applyFont="1" applyAlignment="1">
      <alignment horizontal="center"/>
    </xf>
    <xf numFmtId="0" fontId="19" fillId="0" borderId="0" xfId="0" applyFont="1" applyFill="1"/>
    <xf numFmtId="0" fontId="6" fillId="0" borderId="0" xfId="8" applyFont="1" applyFill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7" fontId="10" fillId="5" borderId="3" xfId="0" applyNumberFormat="1" applyFont="1" applyFill="1" applyBorder="1" applyAlignment="1">
      <alignment horizontal="center" vertical="center"/>
    </xf>
    <xf numFmtId="17" fontId="10" fillId="5" borderId="11" xfId="0" applyNumberFormat="1" applyFont="1" applyFill="1" applyBorder="1" applyAlignment="1">
      <alignment horizontal="center" vertical="center"/>
    </xf>
    <xf numFmtId="17" fontId="10" fillId="5" borderId="30" xfId="0" applyNumberFormat="1" applyFont="1" applyFill="1" applyBorder="1" applyAlignment="1">
      <alignment horizontal="center" vertical="center"/>
    </xf>
    <xf numFmtId="165" fontId="10" fillId="5" borderId="31" xfId="0" applyNumberFormat="1" applyFont="1" applyFill="1" applyBorder="1" applyAlignment="1">
      <alignment horizontal="center" wrapText="1"/>
    </xf>
    <xf numFmtId="0" fontId="7" fillId="0" borderId="55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 vertical="center"/>
    </xf>
    <xf numFmtId="1" fontId="6" fillId="0" borderId="55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  <xf numFmtId="0" fontId="7" fillId="0" borderId="25" xfId="0" applyFont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5" borderId="29" xfId="0" applyFont="1" applyFill="1" applyBorder="1" applyAlignment="1">
      <alignment horizontal="left"/>
    </xf>
    <xf numFmtId="1" fontId="6" fillId="5" borderId="11" xfId="0" applyNumberFormat="1" applyFont="1" applyFill="1" applyBorder="1" applyAlignment="1">
      <alignment horizontal="center" vertical="center"/>
    </xf>
    <xf numFmtId="1" fontId="6" fillId="5" borderId="30" xfId="0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17" fontId="6" fillId="5" borderId="56" xfId="0" applyNumberFormat="1" applyFont="1" applyFill="1" applyBorder="1" applyAlignment="1">
      <alignment horizontal="center" vertical="center"/>
    </xf>
    <xf numFmtId="17" fontId="6" fillId="5" borderId="57" xfId="0" applyNumberFormat="1" applyFont="1" applyFill="1" applyBorder="1" applyAlignment="1">
      <alignment horizontal="center" vertical="center"/>
    </xf>
    <xf numFmtId="17" fontId="6" fillId="5" borderId="58" xfId="0" applyNumberFormat="1" applyFont="1" applyFill="1" applyBorder="1" applyAlignment="1">
      <alignment horizontal="center" vertical="center"/>
    </xf>
    <xf numFmtId="17" fontId="6" fillId="5" borderId="59" xfId="0" applyNumberFormat="1" applyFont="1" applyFill="1" applyBorder="1" applyAlignment="1">
      <alignment horizontal="center" vertical="center"/>
    </xf>
    <xf numFmtId="17" fontId="6" fillId="5" borderId="60" xfId="0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1" fontId="6" fillId="0" borderId="16" xfId="0" applyNumberFormat="1" applyFont="1" applyBorder="1" applyAlignment="1">
      <alignment horizontal="center" vertical="center"/>
    </xf>
    <xf numFmtId="2" fontId="8" fillId="5" borderId="4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40" xfId="0" applyFont="1" applyBorder="1" applyAlignment="1">
      <alignment horizontal="center"/>
    </xf>
    <xf numFmtId="1" fontId="6" fillId="0" borderId="61" xfId="0" applyNumberFormat="1" applyFont="1" applyBorder="1" applyAlignment="1">
      <alignment horizontal="center" vertical="center"/>
    </xf>
    <xf numFmtId="1" fontId="6" fillId="5" borderId="51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/>
    </xf>
    <xf numFmtId="1" fontId="16" fillId="0" borderId="0" xfId="0" applyNumberFormat="1" applyFont="1"/>
    <xf numFmtId="2" fontId="16" fillId="0" borderId="0" xfId="0" applyNumberFormat="1" applyFont="1"/>
    <xf numFmtId="0" fontId="24" fillId="0" borderId="0" xfId="0" applyFont="1"/>
    <xf numFmtId="1" fontId="17" fillId="0" borderId="0" xfId="0" applyNumberFormat="1" applyFont="1"/>
    <xf numFmtId="3" fontId="7" fillId="0" borderId="32" xfId="0" applyNumberFormat="1" applyFont="1" applyFill="1" applyBorder="1" applyAlignment="1">
      <alignment horizontal="center"/>
    </xf>
    <xf numFmtId="3" fontId="7" fillId="0" borderId="34" xfId="0" applyNumberFormat="1" applyFont="1" applyFill="1" applyBorder="1" applyAlignment="1">
      <alignment horizontal="center"/>
    </xf>
    <xf numFmtId="3" fontId="7" fillId="0" borderId="46" xfId="0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1" fontId="7" fillId="0" borderId="34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  <xf numFmtId="0" fontId="8" fillId="5" borderId="29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52" xfId="0" applyFont="1" applyBorder="1" applyAlignment="1">
      <alignment horizontal="left"/>
    </xf>
    <xf numFmtId="0" fontId="8" fillId="4" borderId="29" xfId="0" applyFont="1" applyFill="1" applyBorder="1" applyAlignment="1">
      <alignment horizontal="right"/>
    </xf>
    <xf numFmtId="1" fontId="6" fillId="4" borderId="3" xfId="0" applyNumberFormat="1" applyFont="1" applyFill="1" applyBorder="1" applyAlignment="1">
      <alignment horizontal="center"/>
    </xf>
    <xf numFmtId="0" fontId="8" fillId="0" borderId="0" xfId="0" applyFont="1" applyFill="1"/>
    <xf numFmtId="0" fontId="25" fillId="0" borderId="62" xfId="0" applyFont="1" applyBorder="1" applyAlignment="1">
      <alignment horizontal="center" vertical="center" wrapText="1"/>
    </xf>
    <xf numFmtId="17" fontId="10" fillId="6" borderId="2" xfId="0" applyNumberFormat="1" applyFont="1" applyFill="1" applyBorder="1" applyAlignment="1">
      <alignment horizontal="center" vertical="center" wrapText="1"/>
    </xf>
    <xf numFmtId="17" fontId="10" fillId="6" borderId="13" xfId="0" applyNumberFormat="1" applyFont="1" applyFill="1" applyBorder="1" applyAlignment="1">
      <alignment horizontal="center" vertical="center" wrapText="1"/>
    </xf>
    <xf numFmtId="17" fontId="10" fillId="6" borderId="31" xfId="0" applyNumberFormat="1" applyFont="1" applyFill="1" applyBorder="1" applyAlignment="1">
      <alignment horizontal="center" vertical="center" wrapText="1"/>
    </xf>
    <xf numFmtId="17" fontId="10" fillId="5" borderId="2" xfId="0" applyNumberFormat="1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2" fontId="26" fillId="5" borderId="2" xfId="0" applyNumberFormat="1" applyFont="1" applyFill="1" applyBorder="1" applyAlignment="1">
      <alignment horizontal="center" vertical="center" wrapText="1"/>
    </xf>
    <xf numFmtId="2" fontId="10" fillId="5" borderId="2" xfId="0" applyNumberFormat="1" applyFont="1" applyFill="1" applyBorder="1" applyAlignment="1">
      <alignment horizontal="center" vertical="center" wrapText="1"/>
    </xf>
    <xf numFmtId="0" fontId="25" fillId="0" borderId="62" xfId="0" applyFont="1" applyBorder="1" applyAlignment="1">
      <alignment horizontal="center"/>
    </xf>
    <xf numFmtId="0" fontId="27" fillId="7" borderId="63" xfId="0" applyFont="1" applyFill="1" applyBorder="1"/>
    <xf numFmtId="0" fontId="27" fillId="7" borderId="60" xfId="0" applyFont="1" applyFill="1" applyBorder="1"/>
    <xf numFmtId="0" fontId="27" fillId="7" borderId="2" xfId="0" applyFont="1" applyFill="1" applyBorder="1"/>
    <xf numFmtId="1" fontId="27" fillId="7" borderId="14" xfId="0" applyNumberFormat="1" applyFont="1" applyFill="1" applyBorder="1"/>
    <xf numFmtId="2" fontId="27" fillId="7" borderId="2" xfId="0" applyNumberFormat="1" applyFont="1" applyFill="1" applyBorder="1"/>
    <xf numFmtId="2" fontId="27" fillId="7" borderId="31" xfId="0" applyNumberFormat="1" applyFont="1" applyFill="1" applyBorder="1"/>
    <xf numFmtId="0" fontId="27" fillId="0" borderId="32" xfId="0" applyFont="1" applyBorder="1" applyAlignment="1">
      <alignment vertical="center"/>
    </xf>
    <xf numFmtId="0" fontId="27" fillId="0" borderId="33" xfId="0" applyFont="1" applyBorder="1"/>
    <xf numFmtId="0" fontId="27" fillId="0" borderId="18" xfId="0" applyFont="1" applyBorder="1"/>
    <xf numFmtId="0" fontId="27" fillId="0" borderId="21" xfId="0" applyFont="1" applyBorder="1"/>
    <xf numFmtId="0" fontId="25" fillId="0" borderId="32" xfId="0" applyFont="1" applyBorder="1"/>
    <xf numFmtId="1" fontId="25" fillId="0" borderId="4" xfId="0" applyNumberFormat="1" applyFont="1" applyBorder="1"/>
    <xf numFmtId="2" fontId="25" fillId="0" borderId="5" xfId="0" applyNumberFormat="1" applyFont="1" applyBorder="1"/>
    <xf numFmtId="0" fontId="27" fillId="0" borderId="24" xfId="0" applyFont="1" applyBorder="1" applyAlignment="1">
      <alignment vertical="center"/>
    </xf>
    <xf numFmtId="0" fontId="27" fillId="0" borderId="35" xfId="0" applyFont="1" applyBorder="1"/>
    <xf numFmtId="0" fontId="27" fillId="0" borderId="20" xfId="0" applyFont="1" applyBorder="1"/>
    <xf numFmtId="0" fontId="27" fillId="0" borderId="24" xfId="0" applyFont="1" applyBorder="1"/>
    <xf numFmtId="0" fontId="25" fillId="0" borderId="34" xfId="0" applyFont="1" applyBorder="1"/>
    <xf numFmtId="1" fontId="25" fillId="0" borderId="6" xfId="0" applyNumberFormat="1" applyFont="1" applyBorder="1"/>
    <xf numFmtId="2" fontId="25" fillId="0" borderId="64" xfId="0" applyNumberFormat="1" applyFont="1" applyBorder="1"/>
    <xf numFmtId="0" fontId="27" fillId="0" borderId="65" xfId="0" applyFont="1" applyBorder="1" applyAlignment="1">
      <alignment horizontal="left"/>
    </xf>
    <xf numFmtId="0" fontId="27" fillId="0" borderId="37" xfId="0" applyFont="1" applyBorder="1"/>
    <xf numFmtId="0" fontId="27" fillId="0" borderId="38" xfId="0" applyFont="1" applyBorder="1"/>
    <xf numFmtId="0" fontId="27" fillId="0" borderId="39" xfId="0" applyFont="1" applyBorder="1"/>
    <xf numFmtId="0" fontId="25" fillId="0" borderId="36" xfId="0" applyFont="1" applyBorder="1"/>
    <xf numFmtId="1" fontId="25" fillId="0" borderId="8" xfId="0" applyNumberFormat="1" applyFont="1" applyBorder="1"/>
    <xf numFmtId="2" fontId="25" fillId="7" borderId="15" xfId="0" applyNumberFormat="1" applyFont="1" applyFill="1" applyBorder="1"/>
    <xf numFmtId="0" fontId="28" fillId="5" borderId="3" xfId="0" applyFont="1" applyFill="1" applyBorder="1" applyAlignment="1">
      <alignment horizontal="left" wrapText="1"/>
    </xf>
    <xf numFmtId="0" fontId="27" fillId="5" borderId="66" xfId="0" applyFont="1" applyFill="1" applyBorder="1"/>
    <xf numFmtId="0" fontId="27" fillId="5" borderId="67" xfId="0" applyFont="1" applyFill="1" applyBorder="1"/>
    <xf numFmtId="0" fontId="27" fillId="5" borderId="41" xfId="0" applyFont="1" applyFill="1" applyBorder="1"/>
    <xf numFmtId="1" fontId="25" fillId="8" borderId="3" xfId="0" applyNumberFormat="1" applyFont="1" applyFill="1" applyBorder="1"/>
    <xf numFmtId="2" fontId="25" fillId="5" borderId="64" xfId="0" applyNumberFormat="1" applyFont="1" applyFill="1" applyBorder="1"/>
    <xf numFmtId="2" fontId="25" fillId="7" borderId="64" xfId="0" applyNumberFormat="1" applyFont="1" applyFill="1" applyBorder="1"/>
    <xf numFmtId="0" fontId="25" fillId="9" borderId="3" xfId="0" applyFont="1" applyFill="1" applyBorder="1" applyAlignment="1">
      <alignment horizontal="left"/>
    </xf>
    <xf numFmtId="0" fontId="25" fillId="9" borderId="68" xfId="0" applyFont="1" applyFill="1" applyBorder="1"/>
    <xf numFmtId="0" fontId="25" fillId="9" borderId="67" xfId="0" applyFont="1" applyFill="1" applyBorder="1"/>
    <xf numFmtId="0" fontId="25" fillId="0" borderId="10" xfId="0" applyFont="1" applyBorder="1"/>
    <xf numFmtId="1" fontId="25" fillId="0" borderId="0" xfId="0" applyNumberFormat="1" applyFont="1"/>
    <xf numFmtId="2" fontId="25" fillId="7" borderId="3" xfId="0" applyNumberFormat="1" applyFont="1" applyFill="1" applyBorder="1"/>
    <xf numFmtId="0" fontId="27" fillId="7" borderId="65" xfId="0" applyFont="1" applyFill="1" applyBorder="1"/>
    <xf numFmtId="0" fontId="27" fillId="7" borderId="15" xfId="0" applyFont="1" applyFill="1" applyBorder="1"/>
    <xf numFmtId="0" fontId="27" fillId="7" borderId="0" xfId="0" applyFont="1" applyFill="1"/>
    <xf numFmtId="0" fontId="27" fillId="7" borderId="42" xfId="0" applyFont="1" applyFill="1" applyBorder="1"/>
    <xf numFmtId="1" fontId="27" fillId="7" borderId="55" xfId="0" applyNumberFormat="1" applyFont="1" applyFill="1" applyBorder="1"/>
    <xf numFmtId="2" fontId="27" fillId="7" borderId="42" xfId="0" applyNumberFormat="1" applyFont="1" applyFill="1" applyBorder="1"/>
    <xf numFmtId="2" fontId="27" fillId="7" borderId="54" xfId="0" applyNumberFormat="1" applyFont="1" applyFill="1" applyBorder="1"/>
    <xf numFmtId="0" fontId="25" fillId="0" borderId="3" xfId="0" applyFont="1" applyBorder="1" applyAlignment="1">
      <alignment horizontal="center"/>
    </xf>
    <xf numFmtId="0" fontId="27" fillId="7" borderId="31" xfId="0" applyFont="1" applyFill="1" applyBorder="1"/>
    <xf numFmtId="0" fontId="27" fillId="7" borderId="6" xfId="0" applyFont="1" applyFill="1" applyBorder="1"/>
    <xf numFmtId="1" fontId="27" fillId="7" borderId="22" xfId="0" applyNumberFormat="1" applyFont="1" applyFill="1" applyBorder="1"/>
    <xf numFmtId="2" fontId="27" fillId="7" borderId="6" xfId="0" applyNumberFormat="1" applyFont="1" applyFill="1" applyBorder="1"/>
    <xf numFmtId="2" fontId="27" fillId="7" borderId="7" xfId="0" applyNumberFormat="1" applyFont="1" applyFill="1" applyBorder="1"/>
    <xf numFmtId="0" fontId="27" fillId="0" borderId="65" xfId="0" applyFont="1" applyBorder="1"/>
    <xf numFmtId="0" fontId="27" fillId="0" borderId="56" xfId="0" applyFont="1" applyBorder="1"/>
    <xf numFmtId="0" fontId="27" fillId="0" borderId="57" xfId="0" applyFont="1" applyBorder="1"/>
    <xf numFmtId="0" fontId="27" fillId="0" borderId="58" xfId="0" applyFont="1" applyBorder="1"/>
    <xf numFmtId="0" fontId="25" fillId="0" borderId="64" xfId="0" applyFont="1" applyBorder="1"/>
    <xf numFmtId="1" fontId="25" fillId="0" borderId="25" xfId="0" applyNumberFormat="1" applyFont="1" applyBorder="1"/>
    <xf numFmtId="2" fontId="25" fillId="7" borderId="28" xfId="0" applyNumberFormat="1" applyFont="1" applyFill="1" applyBorder="1"/>
    <xf numFmtId="0" fontId="25" fillId="7" borderId="42" xfId="0" applyFont="1" applyFill="1" applyBorder="1"/>
    <xf numFmtId="1" fontId="25" fillId="7" borderId="0" xfId="0" applyNumberFormat="1" applyFont="1" applyFill="1"/>
    <xf numFmtId="2" fontId="25" fillId="7" borderId="47" xfId="0" applyNumberFormat="1" applyFont="1" applyFill="1" applyBorder="1"/>
    <xf numFmtId="2" fontId="25" fillId="7" borderId="54" xfId="0" applyNumberFormat="1" applyFont="1" applyFill="1" applyBorder="1"/>
    <xf numFmtId="0" fontId="25" fillId="0" borderId="8" xfId="0" applyFont="1" applyBorder="1"/>
    <xf numFmtId="1" fontId="25" fillId="0" borderId="3" xfId="0" applyNumberFormat="1" applyFont="1" applyBorder="1"/>
    <xf numFmtId="2" fontId="25" fillId="0" borderId="9" xfId="0" applyNumberFormat="1" applyFont="1" applyBorder="1"/>
    <xf numFmtId="0" fontId="27" fillId="0" borderId="0" xfId="0" applyFont="1"/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17" fontId="10" fillId="4" borderId="4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17" fontId="10" fillId="4" borderId="6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17" fontId="10" fillId="4" borderId="8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8" fillId="5" borderId="10" xfId="0" applyFont="1" applyFill="1" applyBorder="1" applyAlignment="1">
      <alignment horizontal="right"/>
    </xf>
    <xf numFmtId="3" fontId="8" fillId="0" borderId="3" xfId="0" applyNumberFormat="1" applyFont="1" applyBorder="1"/>
    <xf numFmtId="2" fontId="4" fillId="0" borderId="0" xfId="0" applyNumberFormat="1" applyFont="1" applyFill="1" applyAlignment="1">
      <alignment horizontal="center"/>
    </xf>
    <xf numFmtId="0" fontId="8" fillId="5" borderId="29" xfId="0" applyFont="1" applyFill="1" applyBorder="1" applyAlignment="1">
      <alignment horizontal="right"/>
    </xf>
    <xf numFmtId="0" fontId="27" fillId="0" borderId="0" xfId="0" applyFont="1" applyAlignment="1">
      <alignment wrapText="1"/>
    </xf>
    <xf numFmtId="0" fontId="25" fillId="0" borderId="56" xfId="0" applyFont="1" applyBorder="1" applyAlignment="1">
      <alignment horizontal="left" wrapText="1"/>
    </xf>
    <xf numFmtId="0" fontId="25" fillId="0" borderId="57" xfId="0" applyFont="1" applyBorder="1" applyAlignment="1">
      <alignment horizontal="left" wrapText="1"/>
    </xf>
    <xf numFmtId="0" fontId="25" fillId="0" borderId="69" xfId="0" applyFont="1" applyBorder="1" applyAlignment="1">
      <alignment horizontal="left" wrapText="1"/>
    </xf>
    <xf numFmtId="0" fontId="25" fillId="0" borderId="3" xfId="0" applyFont="1" applyBorder="1" applyAlignment="1">
      <alignment wrapText="1"/>
    </xf>
    <xf numFmtId="0" fontId="29" fillId="9" borderId="2" xfId="0" applyFont="1" applyFill="1" applyBorder="1" applyAlignment="1">
      <alignment horizontal="center" wrapText="1"/>
    </xf>
    <xf numFmtId="0" fontId="27" fillId="7" borderId="70" xfId="0" applyFont="1" applyFill="1" applyBorder="1" applyAlignment="1">
      <alignment horizontal="left" wrapText="1"/>
    </xf>
    <xf numFmtId="0" fontId="27" fillId="7" borderId="71" xfId="0" applyFont="1" applyFill="1" applyBorder="1" applyAlignment="1">
      <alignment horizontal="left" wrapText="1"/>
    </xf>
    <xf numFmtId="0" fontId="27" fillId="7" borderId="71" xfId="0" applyFont="1" applyFill="1" applyBorder="1" applyAlignment="1">
      <alignment wrapText="1"/>
    </xf>
    <xf numFmtId="17" fontId="25" fillId="9" borderId="4" xfId="0" applyNumberFormat="1" applyFont="1" applyFill="1" applyBorder="1" applyAlignment="1">
      <alignment horizontal="center" wrapText="1"/>
    </xf>
    <xf numFmtId="0" fontId="27" fillId="0" borderId="49" xfId="0" applyFont="1" applyFill="1" applyBorder="1" applyAlignment="1">
      <alignment horizontal="center" wrapText="1"/>
    </xf>
    <xf numFmtId="0" fontId="27" fillId="0" borderId="18" xfId="0" applyFont="1" applyFill="1" applyBorder="1" applyAlignment="1">
      <alignment horizontal="center" wrapText="1"/>
    </xf>
    <xf numFmtId="0" fontId="27" fillId="0" borderId="21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wrapText="1"/>
    </xf>
    <xf numFmtId="17" fontId="25" fillId="9" borderId="6" xfId="0" applyNumberFormat="1" applyFont="1" applyFill="1" applyBorder="1" applyAlignment="1">
      <alignment horizontal="center" wrapText="1"/>
    </xf>
    <xf numFmtId="0" fontId="27" fillId="0" borderId="45" xfId="0" applyFont="1" applyFill="1" applyBorder="1" applyAlignment="1">
      <alignment horizontal="center" wrapText="1"/>
    </xf>
    <xf numFmtId="0" fontId="27" fillId="0" borderId="20" xfId="0" applyFont="1" applyFill="1" applyBorder="1" applyAlignment="1">
      <alignment horizontal="center" wrapText="1"/>
    </xf>
    <xf numFmtId="0" fontId="27" fillId="0" borderId="24" xfId="0" applyFont="1" applyFill="1" applyBorder="1" applyAlignment="1">
      <alignment horizontal="center" wrapText="1"/>
    </xf>
    <xf numFmtId="0" fontId="27" fillId="0" borderId="6" xfId="0" applyFont="1" applyFill="1" applyBorder="1" applyAlignment="1">
      <alignment wrapText="1"/>
    </xf>
    <xf numFmtId="17" fontId="25" fillId="9" borderId="8" xfId="0" applyNumberFormat="1" applyFont="1" applyFill="1" applyBorder="1" applyAlignment="1">
      <alignment horizontal="center" wrapText="1"/>
    </xf>
    <xf numFmtId="0" fontId="27" fillId="0" borderId="50" xfId="0" applyFont="1" applyFill="1" applyBorder="1" applyAlignment="1">
      <alignment horizontal="center" wrapText="1"/>
    </xf>
    <xf numFmtId="0" fontId="27" fillId="0" borderId="38" xfId="0" applyFont="1" applyFill="1" applyBorder="1" applyAlignment="1">
      <alignment horizontal="center" wrapText="1"/>
    </xf>
    <xf numFmtId="0" fontId="27" fillId="0" borderId="39" xfId="0" applyFont="1" applyFill="1" applyBorder="1" applyAlignment="1">
      <alignment horizontal="center" wrapText="1"/>
    </xf>
    <xf numFmtId="0" fontId="27" fillId="0" borderId="8" xfId="0" applyFont="1" applyFill="1" applyBorder="1" applyAlignment="1">
      <alignment wrapText="1"/>
    </xf>
    <xf numFmtId="0" fontId="25" fillId="5" borderId="41" xfId="0" applyFont="1" applyFill="1" applyBorder="1" applyAlignment="1">
      <alignment horizontal="right" wrapText="1"/>
    </xf>
    <xf numFmtId="0" fontId="25" fillId="5" borderId="56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7" fillId="7" borderId="19" xfId="0" applyFont="1" applyFill="1" applyBorder="1"/>
    <xf numFmtId="0" fontId="27" fillId="7" borderId="48" xfId="0" applyFont="1" applyFill="1" applyBorder="1"/>
    <xf numFmtId="0" fontId="27" fillId="7" borderId="26" xfId="0" applyFont="1" applyFill="1" applyBorder="1"/>
    <xf numFmtId="0" fontId="27" fillId="0" borderId="49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0" fontId="27" fillId="0" borderId="4" xfId="0" applyFont="1" applyFill="1" applyBorder="1"/>
    <xf numFmtId="0" fontId="27" fillId="0" borderId="45" xfId="0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6" xfId="0" applyFont="1" applyFill="1" applyBorder="1"/>
    <xf numFmtId="0" fontId="27" fillId="0" borderId="50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0" fontId="27" fillId="0" borderId="8" xfId="0" applyFont="1" applyFill="1" applyBorder="1"/>
    <xf numFmtId="0" fontId="25" fillId="5" borderId="10" xfId="0" applyFont="1" applyFill="1" applyBorder="1" applyAlignment="1">
      <alignment horizontal="right" vertical="center" wrapText="1"/>
    </xf>
    <xf numFmtId="0" fontId="25" fillId="5" borderId="72" xfId="0" applyFont="1" applyFill="1" applyBorder="1" applyAlignment="1">
      <alignment horizontal="center"/>
    </xf>
    <xf numFmtId="0" fontId="25" fillId="5" borderId="51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7" fillId="7" borderId="71" xfId="0" applyFont="1" applyFill="1" applyBorder="1"/>
    <xf numFmtId="0" fontId="29" fillId="4" borderId="3" xfId="0" applyFont="1" applyFill="1" applyBorder="1" applyAlignment="1">
      <alignment horizontal="right" vertical="center" wrapText="1"/>
    </xf>
    <xf numFmtId="0" fontId="25" fillId="10" borderId="56" xfId="0" applyFont="1" applyFill="1" applyBorder="1" applyAlignment="1">
      <alignment horizontal="center"/>
    </xf>
    <xf numFmtId="0" fontId="25" fillId="1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26" fillId="4" borderId="3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17" fontId="6" fillId="9" borderId="4" xfId="0" applyNumberFormat="1" applyFont="1" applyFill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17" fontId="6" fillId="9" borderId="6" xfId="0" applyNumberFormat="1" applyFont="1" applyFill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17" fontId="6" fillId="9" borderId="8" xfId="0" applyNumberFormat="1" applyFont="1" applyFill="1" applyBorder="1" applyAlignment="1">
      <alignment horizontal="center"/>
    </xf>
    <xf numFmtId="3" fontId="7" fillId="0" borderId="61" xfId="0" applyNumberFormat="1" applyFont="1" applyBorder="1" applyAlignment="1">
      <alignment horizontal="center"/>
    </xf>
    <xf numFmtId="2" fontId="7" fillId="0" borderId="8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29" xfId="0" applyFont="1" applyBorder="1" applyAlignment="1">
      <alignment horizontal="right"/>
    </xf>
    <xf numFmtId="0" fontId="30" fillId="5" borderId="3" xfId="0" applyFont="1" applyFill="1" applyBorder="1" applyAlignment="1">
      <alignment horizontal="left" vertical="center" wrapText="1"/>
    </xf>
    <xf numFmtId="17" fontId="30" fillId="5" borderId="3" xfId="0" applyNumberFormat="1" applyFont="1" applyFill="1" applyBorder="1" applyAlignment="1">
      <alignment horizontal="center" vertical="center" wrapText="1"/>
    </xf>
    <xf numFmtId="1" fontId="30" fillId="5" borderId="29" xfId="0" applyNumberFormat="1" applyFont="1" applyFill="1" applyBorder="1" applyAlignment="1">
      <alignment horizontal="center" vertical="center" wrapText="1"/>
    </xf>
    <xf numFmtId="165" fontId="30" fillId="5" borderId="3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8" fillId="0" borderId="4" xfId="0" applyFont="1" applyFill="1" applyBorder="1" applyAlignment="1">
      <alignment horizontal="center" wrapText="1"/>
    </xf>
    <xf numFmtId="0" fontId="28" fillId="0" borderId="43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 wrapText="1"/>
    </xf>
    <xf numFmtId="0" fontId="28" fillId="11" borderId="19" xfId="0" applyFont="1" applyFill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1" fontId="28" fillId="0" borderId="55" xfId="0" applyNumberFormat="1" applyFont="1" applyBorder="1" applyAlignment="1">
      <alignment horizontal="center" vertical="center"/>
    </xf>
    <xf numFmtId="165" fontId="28" fillId="0" borderId="42" xfId="0" applyNumberFormat="1" applyFont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0" fontId="32" fillId="7" borderId="73" xfId="0" applyFont="1" applyFill="1" applyBorder="1" applyAlignment="1">
      <alignment horizontal="center" vertical="center" wrapText="1"/>
    </xf>
    <xf numFmtId="17" fontId="32" fillId="0" borderId="71" xfId="0" applyNumberFormat="1" applyFont="1" applyBorder="1" applyAlignment="1">
      <alignment horizontal="center" vertical="center" wrapText="1"/>
    </xf>
    <xf numFmtId="17" fontId="8" fillId="0" borderId="5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28" fillId="0" borderId="6" xfId="10" applyFont="1" applyFill="1" applyBorder="1" applyAlignment="1" applyProtection="1">
      <alignment horizont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11" borderId="20" xfId="0" applyFont="1" applyFill="1" applyBorder="1" applyAlignment="1">
      <alignment horizontal="center" vertical="center"/>
    </xf>
    <xf numFmtId="0" fontId="0" fillId="7" borderId="74" xfId="0" applyFill="1" applyBorder="1"/>
    <xf numFmtId="1" fontId="0" fillId="7" borderId="75" xfId="0" applyNumberFormat="1" applyFill="1" applyBorder="1"/>
    <xf numFmtId="0" fontId="28" fillId="0" borderId="45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1" fontId="28" fillId="0" borderId="20" xfId="0" applyNumberFormat="1" applyFont="1" applyBorder="1" applyAlignment="1">
      <alignment horizontal="center" vertical="center"/>
    </xf>
    <xf numFmtId="0" fontId="28" fillId="11" borderId="20" xfId="0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1" fontId="28" fillId="0" borderId="22" xfId="0" applyNumberFormat="1" applyFont="1" applyBorder="1" applyAlignment="1">
      <alignment horizontal="center" vertical="center"/>
    </xf>
    <xf numFmtId="165" fontId="28" fillId="0" borderId="6" xfId="0" applyNumberFormat="1" applyFont="1" applyBorder="1" applyAlignment="1">
      <alignment horizontal="center" vertical="center"/>
    </xf>
    <xf numFmtId="0" fontId="32" fillId="5" borderId="74" xfId="0" applyFont="1" applyFill="1" applyBorder="1" applyAlignment="1">
      <alignment horizontal="justify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2" fillId="5" borderId="53" xfId="0" applyFont="1" applyFill="1" applyBorder="1" applyAlignment="1">
      <alignment horizontal="center" vertical="center" wrapText="1"/>
    </xf>
    <xf numFmtId="0" fontId="0" fillId="0" borderId="34" xfId="0" applyBorder="1"/>
    <xf numFmtId="1" fontId="0" fillId="0" borderId="3" xfId="0" applyNumberFormat="1" applyBorder="1"/>
    <xf numFmtId="0" fontId="0" fillId="7" borderId="35" xfId="0" applyFont="1" applyFill="1" applyBorder="1"/>
    <xf numFmtId="0" fontId="0" fillId="7" borderId="20" xfId="0" applyFont="1" applyFill="1" applyBorder="1"/>
    <xf numFmtId="0" fontId="0" fillId="7" borderId="24" xfId="0" applyFont="1" applyFill="1" applyBorder="1"/>
    <xf numFmtId="0" fontId="0" fillId="7" borderId="45" xfId="0" applyFont="1" applyFill="1" applyBorder="1"/>
    <xf numFmtId="0" fontId="0" fillId="7" borderId="35" xfId="0" applyFill="1" applyBorder="1"/>
    <xf numFmtId="1" fontId="0" fillId="7" borderId="76" xfId="0" applyNumberFormat="1" applyFill="1" applyBorder="1"/>
    <xf numFmtId="0" fontId="33" fillId="0" borderId="0" xfId="0" applyFont="1" applyAlignment="1">
      <alignment horizontal="center" vertical="center"/>
    </xf>
    <xf numFmtId="0" fontId="0" fillId="7" borderId="77" xfId="0" applyFill="1" applyBorder="1"/>
    <xf numFmtId="1" fontId="0" fillId="7" borderId="78" xfId="0" applyNumberFormat="1" applyFill="1" applyBorder="1"/>
    <xf numFmtId="0" fontId="32" fillId="13" borderId="79" xfId="0" applyFont="1" applyFill="1" applyBorder="1" applyAlignment="1">
      <alignment horizontal="justify" vertical="center" wrapText="1"/>
    </xf>
    <xf numFmtId="0" fontId="32" fillId="13" borderId="80" xfId="0" applyFont="1" applyFill="1" applyBorder="1" applyAlignment="1">
      <alignment horizontal="center" vertical="center" wrapText="1"/>
    </xf>
    <xf numFmtId="0" fontId="32" fillId="13" borderId="81" xfId="0" applyFont="1" applyFill="1" applyBorder="1" applyAlignment="1">
      <alignment horizontal="center" vertical="center" wrapText="1"/>
    </xf>
    <xf numFmtId="0" fontId="0" fillId="0" borderId="29" xfId="0" applyBorder="1"/>
    <xf numFmtId="0" fontId="34" fillId="13" borderId="82" xfId="0" applyFont="1" applyFill="1" applyBorder="1" applyAlignment="1">
      <alignment horizontal="right" vertical="center" wrapText="1"/>
    </xf>
    <xf numFmtId="0" fontId="34" fillId="13" borderId="83" xfId="0" applyFont="1" applyFill="1" applyBorder="1" applyAlignment="1">
      <alignment horizontal="center" vertical="center" wrapText="1"/>
    </xf>
    <xf numFmtId="0" fontId="34" fillId="13" borderId="84" xfId="0" applyFont="1" applyFill="1" applyBorder="1" applyAlignment="1">
      <alignment horizontal="center" vertical="center" wrapText="1"/>
    </xf>
    <xf numFmtId="0" fontId="34" fillId="13" borderId="85" xfId="0" applyFont="1" applyFill="1" applyBorder="1" applyAlignment="1">
      <alignment horizontal="center" vertical="center" wrapText="1"/>
    </xf>
    <xf numFmtId="0" fontId="34" fillId="13" borderId="86" xfId="0" applyFont="1" applyFill="1" applyBorder="1" applyAlignment="1">
      <alignment horizontal="center" vertical="center" wrapText="1"/>
    </xf>
    <xf numFmtId="0" fontId="0" fillId="0" borderId="32" xfId="0" applyBorder="1"/>
    <xf numFmtId="1" fontId="0" fillId="0" borderId="47" xfId="0" applyNumberFormat="1" applyBorder="1"/>
    <xf numFmtId="0" fontId="34" fillId="13" borderId="87" xfId="0" applyFont="1" applyFill="1" applyBorder="1" applyAlignment="1">
      <alignment horizontal="right" vertical="center" wrapText="1"/>
    </xf>
    <xf numFmtId="0" fontId="34" fillId="13" borderId="88" xfId="0" applyFont="1" applyFill="1" applyBorder="1" applyAlignment="1">
      <alignment horizontal="center" vertical="center" wrapText="1"/>
    </xf>
    <xf numFmtId="0" fontId="34" fillId="13" borderId="89" xfId="0" applyFont="1" applyFill="1" applyBorder="1" applyAlignment="1">
      <alignment horizontal="center" vertical="center" wrapText="1"/>
    </xf>
    <xf numFmtId="0" fontId="34" fillId="13" borderId="90" xfId="0" applyFont="1" applyFill="1" applyBorder="1" applyAlignment="1">
      <alignment horizontal="center" vertical="center" wrapText="1"/>
    </xf>
    <xf numFmtId="0" fontId="34" fillId="13" borderId="91" xfId="0" applyFont="1" applyFill="1" applyBorder="1" applyAlignment="1">
      <alignment horizontal="center" vertical="center" wrapText="1"/>
    </xf>
    <xf numFmtId="0" fontId="0" fillId="0" borderId="44" xfId="0" applyBorder="1"/>
    <xf numFmtId="1" fontId="0" fillId="0" borderId="8" xfId="0" applyNumberFormat="1" applyBorder="1"/>
    <xf numFmtId="0" fontId="28" fillId="0" borderId="6" xfId="0" applyFont="1" applyFill="1" applyBorder="1" applyAlignment="1">
      <alignment horizontal="center" vertical="center" wrapText="1"/>
    </xf>
    <xf numFmtId="0" fontId="30" fillId="0" borderId="45" xfId="0" applyFont="1" applyFill="1" applyBorder="1" applyAlignment="1">
      <alignment horizontal="center" vertical="center"/>
    </xf>
    <xf numFmtId="1" fontId="28" fillId="0" borderId="20" xfId="0" applyNumberFormat="1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0" fillId="7" borderId="73" xfId="0" applyFont="1" applyFill="1" applyBorder="1"/>
    <xf numFmtId="0" fontId="0" fillId="7" borderId="71" xfId="0" applyFont="1" applyFill="1" applyBorder="1"/>
    <xf numFmtId="0" fontId="0" fillId="7" borderId="52" xfId="0" applyFont="1" applyFill="1" applyBorder="1"/>
    <xf numFmtId="0" fontId="32" fillId="15" borderId="93" xfId="0" applyFont="1" applyFill="1" applyBorder="1" applyAlignment="1">
      <alignment horizontal="left" vertical="center"/>
    </xf>
    <xf numFmtId="0" fontId="32" fillId="15" borderId="94" xfId="0" applyFont="1" applyFill="1" applyBorder="1" applyAlignment="1">
      <alignment horizontal="center" vertical="center"/>
    </xf>
    <xf numFmtId="0" fontId="32" fillId="15" borderId="95" xfId="0" applyFont="1" applyFill="1" applyBorder="1" applyAlignment="1">
      <alignment horizontal="center" vertical="center"/>
    </xf>
    <xf numFmtId="0" fontId="32" fillId="15" borderId="95" xfId="0" applyFont="1" applyFill="1" applyBorder="1" applyAlignment="1">
      <alignment horizontal="center" vertical="center" wrapText="1"/>
    </xf>
    <xf numFmtId="0" fontId="32" fillId="15" borderId="96" xfId="0" applyFont="1" applyFill="1" applyBorder="1" applyAlignment="1">
      <alignment horizontal="center" vertical="center" wrapText="1"/>
    </xf>
    <xf numFmtId="0" fontId="28" fillId="0" borderId="6" xfId="10" applyFont="1" applyFill="1" applyBorder="1" applyAlignment="1" applyProtection="1">
      <alignment horizontal="center" vertical="center" wrapText="1"/>
    </xf>
    <xf numFmtId="0" fontId="32" fillId="16" borderId="93" xfId="0" applyFont="1" applyFill="1" applyBorder="1" applyAlignment="1">
      <alignment horizontal="justify" vertical="center" wrapText="1"/>
    </xf>
    <xf numFmtId="0" fontId="32" fillId="16" borderId="96" xfId="0" applyFont="1" applyFill="1" applyBorder="1" applyAlignment="1">
      <alignment horizontal="center" vertical="center" wrapText="1"/>
    </xf>
    <xf numFmtId="0" fontId="34" fillId="16" borderId="97" xfId="0" applyFont="1" applyFill="1" applyBorder="1" applyAlignment="1">
      <alignment horizontal="right" vertical="center" wrapText="1"/>
    </xf>
    <xf numFmtId="0" fontId="34" fillId="16" borderId="98" xfId="0" applyFont="1" applyFill="1" applyBorder="1" applyAlignment="1">
      <alignment horizontal="center" vertical="center" wrapText="1"/>
    </xf>
    <xf numFmtId="0" fontId="34" fillId="16" borderId="99" xfId="0" applyFont="1" applyFill="1" applyBorder="1" applyAlignment="1">
      <alignment horizontal="center" vertical="center" wrapText="1"/>
    </xf>
    <xf numFmtId="0" fontId="34" fillId="16" borderId="100" xfId="0" applyFont="1" applyFill="1" applyBorder="1" applyAlignment="1">
      <alignment horizontal="center" vertical="center" wrapText="1"/>
    </xf>
    <xf numFmtId="0" fontId="34" fillId="16" borderId="101" xfId="0" applyFont="1" applyFill="1" applyBorder="1" applyAlignment="1">
      <alignment horizontal="center" vertical="center" wrapText="1"/>
    </xf>
    <xf numFmtId="0" fontId="34" fillId="16" borderId="102" xfId="0" applyFont="1" applyFill="1" applyBorder="1" applyAlignment="1">
      <alignment horizontal="center" vertical="center" wrapText="1"/>
    </xf>
    <xf numFmtId="0" fontId="0" fillId="0" borderId="42" xfId="0" applyBorder="1"/>
    <xf numFmtId="1" fontId="0" fillId="0" borderId="42" xfId="0" applyNumberFormat="1" applyBorder="1"/>
    <xf numFmtId="0" fontId="34" fillId="16" borderId="103" xfId="0" applyFont="1" applyFill="1" applyBorder="1" applyAlignment="1">
      <alignment horizontal="right" vertical="center" wrapText="1"/>
    </xf>
    <xf numFmtId="0" fontId="34" fillId="16" borderId="104" xfId="0" applyFont="1" applyFill="1" applyBorder="1" applyAlignment="1">
      <alignment horizontal="center" vertical="center" wrapText="1"/>
    </xf>
    <xf numFmtId="0" fontId="34" fillId="16" borderId="105" xfId="0" applyFont="1" applyFill="1" applyBorder="1" applyAlignment="1">
      <alignment horizontal="center" vertical="center" wrapText="1"/>
    </xf>
    <xf numFmtId="0" fontId="34" fillId="16" borderId="106" xfId="0" applyFont="1" applyFill="1" applyBorder="1" applyAlignment="1">
      <alignment horizontal="center" vertical="center" wrapText="1"/>
    </xf>
    <xf numFmtId="0" fontId="34" fillId="16" borderId="107" xfId="0" applyFont="1" applyFill="1" applyBorder="1" applyAlignment="1">
      <alignment horizontal="center" vertical="center" wrapText="1"/>
    </xf>
    <xf numFmtId="0" fontId="0" fillId="0" borderId="41" xfId="0" applyBorder="1"/>
    <xf numFmtId="1" fontId="0" fillId="0" borderId="10" xfId="0" applyNumberFormat="1" applyBorder="1"/>
    <xf numFmtId="0" fontId="32" fillId="18" borderId="109" xfId="0" applyFont="1" applyFill="1" applyBorder="1" applyAlignment="1">
      <alignment horizontal="justify" vertical="center" wrapText="1"/>
    </xf>
    <xf numFmtId="0" fontId="32" fillId="18" borderId="110" xfId="0" applyFont="1" applyFill="1" applyBorder="1" applyAlignment="1">
      <alignment horizontal="center" vertical="center" wrapText="1"/>
    </xf>
    <xf numFmtId="0" fontId="32" fillId="18" borderId="111" xfId="0" applyFont="1" applyFill="1" applyBorder="1" applyAlignment="1">
      <alignment horizontal="center" vertical="center" wrapText="1"/>
    </xf>
    <xf numFmtId="0" fontId="32" fillId="18" borderId="112" xfId="0" applyFont="1" applyFill="1" applyBorder="1" applyAlignment="1">
      <alignment horizontal="center" vertical="center" wrapText="1"/>
    </xf>
    <xf numFmtId="0" fontId="0" fillId="0" borderId="3" xfId="0" applyBorder="1"/>
    <xf numFmtId="0" fontId="32" fillId="19" borderId="113" xfId="0" applyFont="1" applyFill="1" applyBorder="1" applyAlignment="1">
      <alignment horizontal="justify" vertical="center" wrapText="1"/>
    </xf>
    <xf numFmtId="0" fontId="32" fillId="19" borderId="111" xfId="0" applyFont="1" applyFill="1" applyBorder="1" applyAlignment="1">
      <alignment horizontal="center" vertical="center" wrapText="1"/>
    </xf>
    <xf numFmtId="0" fontId="32" fillId="19" borderId="11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34" fillId="19" borderId="114" xfId="0" applyFont="1" applyFill="1" applyBorder="1" applyAlignment="1">
      <alignment horizontal="right" vertical="center" wrapText="1"/>
    </xf>
    <xf numFmtId="0" fontId="34" fillId="19" borderId="115" xfId="0" applyFont="1" applyFill="1" applyBorder="1" applyAlignment="1">
      <alignment horizontal="center" vertical="center" wrapText="1"/>
    </xf>
    <xf numFmtId="0" fontId="34" fillId="19" borderId="116" xfId="0" applyFont="1" applyFill="1" applyBorder="1" applyAlignment="1">
      <alignment horizontal="center" vertical="center" wrapText="1"/>
    </xf>
    <xf numFmtId="0" fontId="34" fillId="19" borderId="117" xfId="0" applyFont="1" applyFill="1" applyBorder="1" applyAlignment="1">
      <alignment horizontal="center" vertical="center" wrapText="1"/>
    </xf>
    <xf numFmtId="0" fontId="34" fillId="19" borderId="11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right"/>
    </xf>
    <xf numFmtId="1" fontId="0" fillId="0" borderId="42" xfId="0" applyNumberFormat="1" applyBorder="1" applyAlignment="1">
      <alignment horizontal="right"/>
    </xf>
    <xf numFmtId="0" fontId="34" fillId="19" borderId="119" xfId="0" applyFont="1" applyFill="1" applyBorder="1" applyAlignment="1">
      <alignment horizontal="right" vertical="center" wrapText="1"/>
    </xf>
    <xf numFmtId="0" fontId="34" fillId="19" borderId="120" xfId="0" applyFont="1" applyFill="1" applyBorder="1" applyAlignment="1">
      <alignment horizontal="center" vertical="center" wrapText="1"/>
    </xf>
    <xf numFmtId="0" fontId="34" fillId="19" borderId="121" xfId="0" applyFont="1" applyFill="1" applyBorder="1" applyAlignment="1">
      <alignment horizontal="center" vertical="center" wrapText="1"/>
    </xf>
    <xf numFmtId="0" fontId="34" fillId="19" borderId="12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32" fillId="18" borderId="123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right"/>
    </xf>
    <xf numFmtId="1" fontId="0" fillId="0" borderId="15" xfId="0" applyNumberFormat="1" applyBorder="1" applyAlignment="1">
      <alignment horizontal="right"/>
    </xf>
    <xf numFmtId="0" fontId="35" fillId="18" borderId="124" xfId="0" applyFont="1" applyFill="1" applyBorder="1" applyAlignment="1">
      <alignment vertical="center" wrapText="1"/>
    </xf>
    <xf numFmtId="0" fontId="0" fillId="18" borderId="125" xfId="0" applyFont="1" applyFill="1" applyBorder="1" applyAlignment="1">
      <alignment horizontal="center"/>
    </xf>
    <xf numFmtId="0" fontId="0" fillId="18" borderId="126" xfId="0" applyFont="1" applyFill="1" applyBorder="1" applyAlignment="1">
      <alignment horizontal="center"/>
    </xf>
    <xf numFmtId="0" fontId="0" fillId="18" borderId="126" xfId="0" applyFont="1" applyFill="1" applyBorder="1"/>
    <xf numFmtId="0" fontId="0" fillId="18" borderId="127" xfId="0" applyFont="1" applyFill="1" applyBorder="1" applyAlignment="1">
      <alignment horizontal="center"/>
    </xf>
    <xf numFmtId="0" fontId="0" fillId="0" borderId="44" xfId="0" applyBorder="1" applyAlignment="1">
      <alignment horizontal="right"/>
    </xf>
    <xf numFmtId="0" fontId="0" fillId="7" borderId="74" xfId="0" applyFont="1" applyFill="1" applyBorder="1"/>
    <xf numFmtId="0" fontId="0" fillId="7" borderId="19" xfId="0" applyFont="1" applyFill="1" applyBorder="1"/>
    <xf numFmtId="0" fontId="0" fillId="7" borderId="53" xfId="0" applyFont="1" applyFill="1" applyBorder="1"/>
    <xf numFmtId="0" fontId="0" fillId="7" borderId="77" xfId="0" applyFill="1" applyBorder="1" applyAlignment="1">
      <alignment horizontal="right"/>
    </xf>
    <xf numFmtId="1" fontId="0" fillId="7" borderId="75" xfId="0" applyNumberFormat="1" applyFill="1" applyBorder="1" applyAlignment="1">
      <alignment horizontal="right"/>
    </xf>
    <xf numFmtId="0" fontId="0" fillId="7" borderId="56" xfId="0" applyFill="1" applyBorder="1" applyAlignment="1">
      <alignment horizontal="right"/>
    </xf>
    <xf numFmtId="1" fontId="0" fillId="7" borderId="58" xfId="0" applyNumberFormat="1" applyFill="1" applyBorder="1" applyAlignment="1">
      <alignment horizontal="right"/>
    </xf>
    <xf numFmtId="0" fontId="32" fillId="21" borderId="129" xfId="0" applyFont="1" applyFill="1" applyBorder="1" applyAlignment="1">
      <alignment horizontal="justify" vertical="center" wrapText="1"/>
    </xf>
    <xf numFmtId="0" fontId="32" fillId="21" borderId="130" xfId="0" applyFont="1" applyFill="1" applyBorder="1" applyAlignment="1">
      <alignment horizontal="center" vertical="center" wrapText="1"/>
    </xf>
    <xf numFmtId="0" fontId="32" fillId="21" borderId="131" xfId="0" applyFont="1" applyFill="1" applyBorder="1" applyAlignment="1">
      <alignment horizontal="center" vertical="center" wrapText="1"/>
    </xf>
    <xf numFmtId="0" fontId="32" fillId="21" borderId="13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32" fillId="22" borderId="133" xfId="0" applyFont="1" applyFill="1" applyBorder="1" applyAlignment="1">
      <alignment horizontal="justify" vertical="center" wrapText="1"/>
    </xf>
    <xf numFmtId="0" fontId="32" fillId="22" borderId="132" xfId="0" applyFont="1" applyFill="1" applyBorder="1" applyAlignment="1">
      <alignment horizontal="center" vertical="center" wrapText="1"/>
    </xf>
    <xf numFmtId="0" fontId="32" fillId="22" borderId="134" xfId="0" applyFont="1" applyFill="1" applyBorder="1" applyAlignment="1">
      <alignment horizontal="center" vertical="center" wrapText="1"/>
    </xf>
    <xf numFmtId="0" fontId="32" fillId="22" borderId="135" xfId="0" applyFont="1" applyFill="1" applyBorder="1" applyAlignment="1">
      <alignment horizontal="center" vertical="center" wrapText="1"/>
    </xf>
    <xf numFmtId="0" fontId="34" fillId="22" borderId="136" xfId="0" applyFont="1" applyFill="1" applyBorder="1" applyAlignment="1">
      <alignment horizontal="right" vertical="center" wrapText="1"/>
    </xf>
    <xf numFmtId="0" fontId="34" fillId="22" borderId="137" xfId="0" applyFont="1" applyFill="1" applyBorder="1" applyAlignment="1">
      <alignment horizontal="center" vertical="center" wrapText="1"/>
    </xf>
    <xf numFmtId="0" fontId="34" fillId="22" borderId="138" xfId="0" applyFont="1" applyFill="1" applyBorder="1" applyAlignment="1">
      <alignment horizontal="center" vertical="center" wrapText="1"/>
    </xf>
    <xf numFmtId="0" fontId="34" fillId="22" borderId="139" xfId="0" applyFont="1" applyFill="1" applyBorder="1" applyAlignment="1">
      <alignment horizontal="center" vertical="center" wrapText="1"/>
    </xf>
    <xf numFmtId="0" fontId="34" fillId="22" borderId="140" xfId="0" applyFont="1" applyFill="1" applyBorder="1" applyAlignment="1">
      <alignment horizontal="center" vertical="center" wrapText="1"/>
    </xf>
    <xf numFmtId="0" fontId="34" fillId="22" borderId="141" xfId="0" applyFont="1" applyFill="1" applyBorder="1" applyAlignment="1">
      <alignment horizontal="right" vertical="center" wrapText="1"/>
    </xf>
    <xf numFmtId="0" fontId="34" fillId="22" borderId="142" xfId="0" applyFont="1" applyFill="1" applyBorder="1" applyAlignment="1">
      <alignment horizontal="center" vertical="center" wrapText="1"/>
    </xf>
    <xf numFmtId="0" fontId="34" fillId="22" borderId="143" xfId="0" applyFont="1" applyFill="1" applyBorder="1" applyAlignment="1">
      <alignment horizontal="center" vertical="center" wrapText="1"/>
    </xf>
    <xf numFmtId="0" fontId="34" fillId="22" borderId="144" xfId="0" applyFont="1" applyFill="1" applyBorder="1" applyAlignment="1">
      <alignment horizontal="center" vertical="center" wrapText="1"/>
    </xf>
    <xf numFmtId="0" fontId="34" fillId="22" borderId="145" xfId="0" applyFont="1" applyFill="1" applyBorder="1" applyAlignment="1">
      <alignment horizontal="center" vertical="center" wrapText="1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28" fillId="0" borderId="6" xfId="0" applyFont="1" applyBorder="1" applyAlignment="1">
      <alignment horizontal="center" wrapText="1"/>
    </xf>
    <xf numFmtId="0" fontId="28" fillId="0" borderId="6" xfId="0" applyFont="1" applyFill="1" applyBorder="1" applyAlignment="1">
      <alignment horizontal="left" vertical="center" wrapText="1"/>
    </xf>
    <xf numFmtId="17" fontId="8" fillId="0" borderId="0" xfId="0" applyNumberFormat="1" applyFont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48" xfId="0" applyFont="1" applyBorder="1"/>
    <xf numFmtId="1" fontId="28" fillId="0" borderId="26" xfId="0" applyNumberFormat="1" applyFont="1" applyBorder="1" applyAlignment="1">
      <alignment horizontal="center"/>
    </xf>
    <xf numFmtId="0" fontId="28" fillId="0" borderId="26" xfId="0" applyFont="1" applyBorder="1"/>
    <xf numFmtId="0" fontId="28" fillId="0" borderId="26" xfId="0" applyFont="1" applyBorder="1" applyAlignment="1">
      <alignment horizontal="center"/>
    </xf>
    <xf numFmtId="1" fontId="28" fillId="0" borderId="25" xfId="0" applyNumberFormat="1" applyFont="1" applyBorder="1" applyAlignment="1">
      <alignment horizontal="center" vertical="center"/>
    </xf>
    <xf numFmtId="165" fontId="28" fillId="0" borderId="28" xfId="0" applyNumberFormat="1" applyFont="1" applyBorder="1" applyAlignment="1">
      <alignment horizontal="center" vertical="center"/>
    </xf>
    <xf numFmtId="1" fontId="0" fillId="0" borderId="0" xfId="0" applyNumberFormat="1" applyFont="1"/>
    <xf numFmtId="0" fontId="28" fillId="0" borderId="8" xfId="0" applyFont="1" applyFill="1" applyBorder="1" applyAlignment="1">
      <alignment horizontal="center" vertical="center" wrapText="1"/>
    </xf>
    <xf numFmtId="0" fontId="30" fillId="0" borderId="50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1" fontId="30" fillId="0" borderId="38" xfId="0" applyNumberFormat="1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11" borderId="26" xfId="0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/>
    </xf>
    <xf numFmtId="1" fontId="28" fillId="0" borderId="61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/>
    </xf>
    <xf numFmtId="0" fontId="30" fillId="5" borderId="10" xfId="0" applyFont="1" applyFill="1" applyBorder="1" applyAlignment="1">
      <alignment horizontal="right" vertical="center" wrapText="1"/>
    </xf>
    <xf numFmtId="0" fontId="30" fillId="5" borderId="10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1" fontId="30" fillId="5" borderId="61" xfId="0" applyNumberFormat="1" applyFont="1" applyFill="1" applyBorder="1" applyAlignment="1">
      <alignment horizontal="center" vertical="center"/>
    </xf>
    <xf numFmtId="165" fontId="30" fillId="5" borderId="3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1" fontId="0" fillId="0" borderId="0" xfId="0" applyNumberFormat="1" applyFont="1" applyAlignment="1">
      <alignment horizontal="left" vertical="center"/>
    </xf>
    <xf numFmtId="0" fontId="0" fillId="0" borderId="0" xfId="0" applyFont="1" applyFill="1"/>
    <xf numFmtId="1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" fontId="17" fillId="0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right" vertical="center" wrapText="1"/>
    </xf>
    <xf numFmtId="0" fontId="30" fillId="0" borderId="0" xfId="0" applyFont="1" applyFill="1" applyAlignment="1">
      <alignment horizontal="center" vertical="center"/>
    </xf>
    <xf numFmtId="1" fontId="3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17" fontId="16" fillId="0" borderId="0" xfId="0" applyNumberFormat="1" applyFont="1" applyAlignment="1">
      <alignment horizontal="center"/>
    </xf>
    <xf numFmtId="17" fontId="16" fillId="0" borderId="0" xfId="0" applyNumberFormat="1" applyFont="1" applyAlignment="1">
      <alignment horizontal="center" vertical="center"/>
    </xf>
    <xf numFmtId="17" fontId="16" fillId="0" borderId="0" xfId="0" applyNumberFormat="1" applyFont="1" applyFill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36" fillId="0" borderId="0" xfId="0" applyFont="1" applyFill="1" applyAlignment="1">
      <alignment horizontal="center" wrapText="1"/>
    </xf>
    <xf numFmtId="17" fontId="36" fillId="0" borderId="0" xfId="0" applyNumberFormat="1" applyFont="1"/>
    <xf numFmtId="17" fontId="36" fillId="0" borderId="0" xfId="0" applyNumberFormat="1" applyFont="1" applyAlignment="1">
      <alignment horizontal="center" vertical="center"/>
    </xf>
    <xf numFmtId="17" fontId="36" fillId="0" borderId="0" xfId="0" applyNumberFormat="1" applyFont="1" applyFill="1" applyAlignment="1">
      <alignment horizontal="center" vertical="center"/>
    </xf>
    <xf numFmtId="17" fontId="36" fillId="0" borderId="0" xfId="0" applyNumberFormat="1" applyFont="1" applyFill="1" applyAlignment="1">
      <alignment horizontal="center" vertical="center" wrapText="1"/>
    </xf>
    <xf numFmtId="1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37" fillId="0" borderId="0" xfId="10" applyFont="1" applyFill="1" applyAlignment="1" applyProtection="1">
      <alignment horizontal="center" wrapText="1"/>
    </xf>
    <xf numFmtId="0" fontId="37" fillId="0" borderId="0" xfId="0" applyFont="1" applyFill="1" applyAlignment="1">
      <alignment horizontal="center" vertical="center"/>
    </xf>
    <xf numFmtId="1" fontId="37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0" fontId="37" fillId="0" borderId="0" xfId="10" applyFont="1" applyFill="1" applyAlignment="1" applyProtection="1">
      <alignment horizontal="center" vertical="center" wrapText="1"/>
    </xf>
    <xf numFmtId="0" fontId="36" fillId="0" borderId="0" xfId="0" applyFont="1" applyAlignment="1">
      <alignment horizont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1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1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39" fillId="0" borderId="0" xfId="0" applyFont="1" applyFill="1" applyAlignment="1">
      <alignment horizontal="center" vertical="center"/>
    </xf>
    <xf numFmtId="1" fontId="39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/>
    </xf>
    <xf numFmtId="0" fontId="37" fillId="0" borderId="0" xfId="0" applyFont="1" applyFill="1"/>
    <xf numFmtId="1" fontId="37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7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165" fontId="16" fillId="0" borderId="0" xfId="0" applyNumberFormat="1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65" fontId="0" fillId="0" borderId="0" xfId="0" applyNumberFormat="1" applyFont="1" applyFill="1" applyAlignment="1">
      <alignment horizontal="center" vertical="center"/>
    </xf>
    <xf numFmtId="0" fontId="8" fillId="23" borderId="146" xfId="0" applyFont="1" applyFill="1" applyBorder="1" applyAlignment="1">
      <alignment wrapText="1"/>
    </xf>
    <xf numFmtId="0" fontId="8" fillId="23" borderId="146" xfId="0" applyFont="1" applyFill="1" applyBorder="1"/>
    <xf numFmtId="0" fontId="5" fillId="9" borderId="1" xfId="1" applyFont="1" applyFill="1" applyBorder="1" applyAlignment="1">
      <alignment horizontal="left" wrapText="1"/>
    </xf>
    <xf numFmtId="0" fontId="5" fillId="9" borderId="1" xfId="1" applyFont="1" applyFill="1" applyBorder="1"/>
    <xf numFmtId="0" fontId="5" fillId="0" borderId="1" xfId="1" applyFont="1" applyBorder="1" applyAlignment="1">
      <alignment horizontal="left" wrapText="1"/>
    </xf>
    <xf numFmtId="0" fontId="5" fillId="8" borderId="1" xfId="1" applyFont="1" applyFill="1" applyBorder="1" applyAlignment="1">
      <alignment horizontal="left" wrapText="1"/>
    </xf>
    <xf numFmtId="0" fontId="8" fillId="23" borderId="147" xfId="0" applyFont="1" applyFill="1" applyBorder="1" applyAlignment="1">
      <alignment horizontal="left" wrapText="1"/>
    </xf>
    <xf numFmtId="0" fontId="8" fillId="23" borderId="147" xfId="0" applyFont="1" applyFill="1" applyBorder="1"/>
    <xf numFmtId="0" fontId="40" fillId="0" borderId="0" xfId="0" applyFont="1"/>
    <xf numFmtId="0" fontId="33" fillId="24" borderId="13" xfId="0" applyFont="1" applyFill="1" applyBorder="1" applyAlignment="1">
      <alignment horizontal="center" wrapText="1"/>
    </xf>
    <xf numFmtId="0" fontId="33" fillId="24" borderId="3" xfId="0" applyFont="1" applyFill="1" applyBorder="1" applyAlignment="1">
      <alignment horizontal="center" wrapText="1"/>
    </xf>
    <xf numFmtId="0" fontId="33" fillId="24" borderId="3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8" fillId="22" borderId="34" xfId="0" applyFont="1" applyFill="1" applyBorder="1" applyAlignment="1">
      <alignment horizontal="center" wrapText="1"/>
    </xf>
    <xf numFmtId="0" fontId="0" fillId="22" borderId="6" xfId="0" applyFill="1" applyBorder="1" applyAlignment="1">
      <alignment wrapText="1"/>
    </xf>
    <xf numFmtId="0" fontId="0" fillId="22" borderId="6" xfId="0" applyFill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0" fillId="0" borderId="6" xfId="0" applyFill="1" applyBorder="1" applyAlignment="1">
      <alignment wrapText="1"/>
    </xf>
    <xf numFmtId="0" fontId="0" fillId="0" borderId="6" xfId="0" applyFill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  <xf numFmtId="0" fontId="0" fillId="0" borderId="2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24" borderId="3" xfId="0" applyFont="1" applyFill="1" applyBorder="1" applyAlignment="1">
      <alignment wrapText="1"/>
    </xf>
    <xf numFmtId="0" fontId="16" fillId="24" borderId="12" xfId="0" applyFont="1" applyFill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0" fillId="0" borderId="15" xfId="0" applyFill="1" applyBorder="1"/>
    <xf numFmtId="0" fontId="9" fillId="0" borderId="0" xfId="0" applyFont="1" applyAlignment="1">
      <alignment wrapText="1"/>
    </xf>
    <xf numFmtId="0" fontId="0" fillId="0" borderId="0" xfId="0" applyFill="1"/>
    <xf numFmtId="0" fontId="0" fillId="0" borderId="0" xfId="0"/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/>
    <xf numFmtId="0" fontId="6" fillId="0" borderId="3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8" fillId="20" borderId="128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2" borderId="28" xfId="0" applyFont="1" applyFill="1" applyBorder="1" applyAlignment="1">
      <alignment horizontal="center"/>
    </xf>
    <xf numFmtId="0" fontId="8" fillId="14" borderId="92" xfId="0" applyFont="1" applyFill="1" applyBorder="1" applyAlignment="1">
      <alignment horizontal="center" vertical="center"/>
    </xf>
    <xf numFmtId="0" fontId="8" fillId="17" borderId="108" xfId="0" applyFont="1" applyFill="1" applyBorder="1" applyAlignment="1">
      <alignment horizontal="center"/>
    </xf>
  </cellXfs>
  <cellStyles count="13">
    <cellStyle name="cf1" xfId="2"/>
    <cellStyle name="cf2" xfId="3"/>
    <cellStyle name="Normal" xfId="0" builtinId="0" customBuiltin="1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0"/>
    <cellStyle name="Normal 7" xfId="11"/>
    <cellStyle name="Título 3" xfId="1" builtinId="18" customBuiltin="1"/>
    <cellStyle name="Vírgula 2" xfId="12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Tipo de manifestação ABRIL/2023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2869955718917834E-2"/>
          <c:y val="0.11558247526751464"/>
          <c:w val="0.9459459680350194"/>
          <c:h val="0.7816062992125983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70AD47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C43-4F31-B7B0-EE72DBEDC168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C43-4F31-B7B0-EE72DBEDC16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C43-4F31-B7B0-EE72DBEDC168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C43-4F31-B7B0-EE72DBEDC1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C43-4F31-B7B0-EE72DBEDC1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Protocolos!$M$19:$M$23</c:f>
              <c:numCache>
                <c:formatCode>General</c:formatCode>
                <c:ptCount val="5"/>
                <c:pt idx="0">
                  <c:v>129</c:v>
                </c:pt>
                <c:pt idx="1">
                  <c:v>70</c:v>
                </c:pt>
                <c:pt idx="2">
                  <c:v>4272</c:v>
                </c:pt>
                <c:pt idx="3">
                  <c:v>257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33-4D83-B17E-82A593FF7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461247"/>
        <c:axId val="1791460415"/>
      </c:barChart>
      <c:valAx>
        <c:axId val="1791460415"/>
        <c:scaling>
          <c:logBase val="10"/>
          <c:orientation val="minMax"/>
          <c:max val="10000"/>
          <c:min val="1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1247"/>
        <c:crosses val="autoZero"/>
        <c:crossBetween val="between"/>
        <c:majorUnit val="100"/>
      </c:valAx>
      <c:catAx>
        <c:axId val="17914612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0415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3 últimos meses</a:t>
            </a:r>
          </a:p>
        </c:rich>
      </c:tx>
      <c:layout>
        <c:manualLayout>
          <c:xMode val="edge"/>
          <c:yMode val="edge"/>
          <c:x val="0.20952980476370936"/>
          <c:y val="1.11731843575419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'ASSUNTOS_10+_últimos_3_meses'!$A$7:$A$7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'ASSUNTOS_10+_últimos_3_meses'!$B$7:$D$7</c:f>
              <c:numCache>
                <c:formatCode>General</c:formatCode>
                <c:ptCount val="3"/>
                <c:pt idx="0">
                  <c:v>981</c:v>
                </c:pt>
                <c:pt idx="1">
                  <c:v>844</c:v>
                </c:pt>
                <c:pt idx="2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8-438E-B398-EF59C9F48FD1}"/>
            </c:ext>
          </c:extLst>
        </c:ser>
        <c:ser>
          <c:idx val="1"/>
          <c:order val="1"/>
          <c:tx>
            <c:strRef>
              <c:f>'ASSUNTOS_10+_últimos_3_meses'!$A$8:$A$8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'ASSUNTOS_10+_últimos_3_meses'!$B$8:$D$8</c:f>
              <c:numCache>
                <c:formatCode>General</c:formatCode>
                <c:ptCount val="3"/>
                <c:pt idx="0">
                  <c:v>379</c:v>
                </c:pt>
                <c:pt idx="1">
                  <c:v>313</c:v>
                </c:pt>
                <c:pt idx="2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18-438E-B398-EF59C9F48FD1}"/>
            </c:ext>
          </c:extLst>
        </c:ser>
        <c:ser>
          <c:idx val="2"/>
          <c:order val="2"/>
          <c:tx>
            <c:strRef>
              <c:f>'ASSUNTOS_10+_últimos_3_meses'!$A$9:$A$9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'ASSUNTOS_10+_últimos_3_meses'!$B$9:$D$9</c:f>
              <c:numCache>
                <c:formatCode>General</c:formatCode>
                <c:ptCount val="3"/>
                <c:pt idx="0">
                  <c:v>253</c:v>
                </c:pt>
                <c:pt idx="1">
                  <c:v>347</c:v>
                </c:pt>
                <c:pt idx="2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18-438E-B398-EF59C9F48FD1}"/>
            </c:ext>
          </c:extLst>
        </c:ser>
        <c:ser>
          <c:idx val="3"/>
          <c:order val="3"/>
          <c:tx>
            <c:strRef>
              <c:f>'ASSUNTOS_10+_últimos_3_meses'!$A$10:$A$10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'ASSUNTOS_10+_últimos_3_meses'!$B$10:$D$10</c:f>
              <c:numCache>
                <c:formatCode>General</c:formatCode>
                <c:ptCount val="3"/>
                <c:pt idx="0">
                  <c:v>231</c:v>
                </c:pt>
                <c:pt idx="1">
                  <c:v>270</c:v>
                </c:pt>
                <c:pt idx="2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18-438E-B398-EF59C9F48FD1}"/>
            </c:ext>
          </c:extLst>
        </c:ser>
        <c:ser>
          <c:idx val="4"/>
          <c:order val="4"/>
          <c:tx>
            <c:strRef>
              <c:f>'ASSUNTOS_10+_últimos_3_meses'!$A$11:$A$11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'ASSUNTOS_10+_últimos_3_meses'!$B$11:$D$11</c:f>
              <c:numCache>
                <c:formatCode>General</c:formatCode>
                <c:ptCount val="3"/>
                <c:pt idx="0">
                  <c:v>160</c:v>
                </c:pt>
                <c:pt idx="1">
                  <c:v>215</c:v>
                </c:pt>
                <c:pt idx="2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18-438E-B398-EF59C9F48FD1}"/>
            </c:ext>
          </c:extLst>
        </c:ser>
        <c:ser>
          <c:idx val="5"/>
          <c:order val="5"/>
          <c:tx>
            <c:strRef>
              <c:f>'ASSUNTOS_10+_últimos_3_meses'!$A$12:$A$12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'ASSUNTOS_10+_últimos_3_meses'!$B$12:$D$12</c:f>
              <c:numCache>
                <c:formatCode>General</c:formatCode>
                <c:ptCount val="3"/>
                <c:pt idx="0">
                  <c:v>128</c:v>
                </c:pt>
                <c:pt idx="1">
                  <c:v>164</c:v>
                </c:pt>
                <c:pt idx="2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18-438E-B398-EF59C9F48FD1}"/>
            </c:ext>
          </c:extLst>
        </c:ser>
        <c:ser>
          <c:idx val="6"/>
          <c:order val="6"/>
          <c:tx>
            <c:strRef>
              <c:f>'ASSUNTOS_10+_últimos_3_meses'!$A$13:$A$13</c:f>
              <c:strCache>
                <c:ptCount val="1"/>
                <c:pt idx="0">
                  <c:v>Drenagem de água de chuva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'ASSUNTOS_10+_últimos_3_meses'!$B$13:$D$13</c:f>
              <c:numCache>
                <c:formatCode>General</c:formatCode>
                <c:ptCount val="3"/>
                <c:pt idx="0">
                  <c:v>130</c:v>
                </c:pt>
                <c:pt idx="1">
                  <c:v>176</c:v>
                </c:pt>
                <c:pt idx="2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18-438E-B398-EF59C9F48FD1}"/>
            </c:ext>
          </c:extLst>
        </c:ser>
        <c:ser>
          <c:idx val="7"/>
          <c:order val="7"/>
          <c:tx>
            <c:strRef>
              <c:f>'ASSUNTOS_10+_últimos_3_meses'!$A$14:$A$14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'ASSUNTOS_10+_últimos_3_meses'!$B$14:$D$14</c:f>
              <c:numCache>
                <c:formatCode>General</c:formatCode>
                <c:ptCount val="3"/>
                <c:pt idx="0">
                  <c:v>139</c:v>
                </c:pt>
                <c:pt idx="1">
                  <c:v>155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18-438E-B398-EF59C9F48FD1}"/>
            </c:ext>
          </c:extLst>
        </c:ser>
        <c:ser>
          <c:idx val="8"/>
          <c:order val="8"/>
          <c:tx>
            <c:strRef>
              <c:f>'ASSUNTOS_10+_últimos_3_meses'!$A$15:$A$15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636363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'ASSUNTOS_10+_últimos_3_meses'!$B$15:$D$15</c:f>
              <c:numCache>
                <c:formatCode>General</c:formatCode>
                <c:ptCount val="3"/>
                <c:pt idx="0">
                  <c:v>116</c:v>
                </c:pt>
                <c:pt idx="1">
                  <c:v>157</c:v>
                </c:pt>
                <c:pt idx="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18-438E-B398-EF59C9F48FD1}"/>
            </c:ext>
          </c:extLst>
        </c:ser>
        <c:ser>
          <c:idx val="9"/>
          <c:order val="9"/>
          <c:tx>
            <c:strRef>
              <c:f>'ASSUNTOS_10+_últimos_3_meses'!$A$16:$A$16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'ASSUNTOS_10+_últimos_3_meses'!$B$6:$D$6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'ASSUNTOS_10+_últimos_3_meses'!$B$16:$D$16</c:f>
              <c:numCache>
                <c:formatCode>General</c:formatCode>
                <c:ptCount val="3"/>
                <c:pt idx="0">
                  <c:v>123</c:v>
                </c:pt>
                <c:pt idx="1">
                  <c:v>175</c:v>
                </c:pt>
                <c:pt idx="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18-438E-B398-EF59C9F48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8453647"/>
        <c:axId val="1818454063"/>
      </c:barChart>
      <c:valAx>
        <c:axId val="1818454063"/>
        <c:scaling>
          <c:orientation val="minMax"/>
          <c:max val="1000"/>
          <c:min val="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647"/>
        <c:crosses val="autoZero"/>
        <c:crossBetween val="between"/>
        <c:majorUnit val="100"/>
        <c:minorUnit val="50"/>
      </c:valAx>
      <c:dateAx>
        <c:axId val="1818453647"/>
        <c:scaling>
          <c:orientation val="minMax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063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7845986497677091"/>
          <c:y val="0.10407513306646725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2772778402699664E-2"/>
          <c:y val="0.12575580226384744"/>
          <c:w val="0.61624296962879632"/>
          <c:h val="0.815869320682740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'10_ASSUNTOS_+_demandados_ABR_23'!$B$24:$B$24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rgbClr val="4572A7"/>
            </a:solidFill>
            <a:ln>
              <a:noFill/>
            </a:ln>
          </c:spPr>
          <c:invertIfNegative val="0"/>
          <c:val>
            <c:numRef>
              <c:f>'10_ASSUNTOS_+_demandados_ABR_23'!$B$26:$B$26</c:f>
              <c:numCache>
                <c:formatCode>General</c:formatCode>
                <c:ptCount val="1"/>
                <c:pt idx="0">
                  <c:v>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0-42F8-8724-BC7600DF5433}"/>
            </c:ext>
          </c:extLst>
        </c:ser>
        <c:ser>
          <c:idx val="1"/>
          <c:order val="1"/>
          <c:tx>
            <c:strRef>
              <c:f>'10_ASSUNTOS_+_demandados_ABR_23'!$C$24:$C$24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'10_ASSUNTOS_+_demandados_ABR_23'!$C$25:$C$25</c:f>
              <c:numCache>
                <c:formatCode>General</c:formatCode>
                <c:ptCount val="1"/>
                <c:pt idx="0">
                  <c:v>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2F8-8724-BC7600DF5433}"/>
            </c:ext>
          </c:extLst>
        </c:ser>
        <c:ser>
          <c:idx val="2"/>
          <c:order val="2"/>
          <c:tx>
            <c:strRef>
              <c:f>'10_ASSUNTOS_+_demandados_ABR_23'!$D$24:$D$24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rgbClr val="89A54E"/>
            </a:solidFill>
            <a:ln>
              <a:noFill/>
            </a:ln>
          </c:spPr>
          <c:invertIfNegative val="0"/>
          <c:val>
            <c:numRef>
              <c:f>'10_ASSUNTOS_+_demandados_ABR_23'!$D$25:$D$26</c:f>
              <c:numCache>
                <c:formatCode>General</c:formatCode>
                <c:ptCount val="2"/>
                <c:pt idx="0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40-42F8-8724-BC7600DF5433}"/>
            </c:ext>
          </c:extLst>
        </c:ser>
        <c:ser>
          <c:idx val="3"/>
          <c:order val="3"/>
          <c:tx>
            <c:strRef>
              <c:f>'10_ASSUNTOS_+_demandados_ABR_23'!$E$24:$E$24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'10_ASSUNTOS_+_demandados_ABR_23'!$E$25:$E$26</c:f>
              <c:numCache>
                <c:formatCode>General</c:formatCode>
                <c:ptCount val="2"/>
                <c:pt idx="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0-42F8-8724-BC7600DF5433}"/>
            </c:ext>
          </c:extLst>
        </c:ser>
        <c:ser>
          <c:idx val="4"/>
          <c:order val="4"/>
          <c:tx>
            <c:strRef>
              <c:f>'10_ASSUNTOS_+_demandados_ABR_23'!$F$24:$F$24</c:f>
              <c:strCache>
                <c:ptCount val="1"/>
                <c:pt idx="0">
                  <c:v>Poluição sonora - PSIU</c:v>
                </c:pt>
              </c:strCache>
            </c:strRef>
          </c:tx>
          <c:spPr>
            <a:solidFill>
              <a:srgbClr val="EC04C0"/>
            </a:solidFill>
            <a:ln>
              <a:noFill/>
            </a:ln>
          </c:spPr>
          <c:invertIfNegative val="0"/>
          <c:val>
            <c:numRef>
              <c:f>'10_ASSUNTOS_+_demandados_ABR_23'!$F$25:$F$26</c:f>
              <c:numCache>
                <c:formatCode>General</c:formatCode>
                <c:ptCount val="2"/>
                <c:pt idx="0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0-42F8-8724-BC7600DF5433}"/>
            </c:ext>
          </c:extLst>
        </c:ser>
        <c:ser>
          <c:idx val="5"/>
          <c:order val="5"/>
          <c:tx>
            <c:strRef>
              <c:f>'10_ASSUNTOS_+_demandados_ABR_23'!$G$24:$G$24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'10_ASSUNTOS_+_demandados_ABR_23'!$G$25:$G$26</c:f>
              <c:numCache>
                <c:formatCode>General</c:formatCode>
                <c:ptCount val="2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40-42F8-8724-BC7600DF5433}"/>
            </c:ext>
          </c:extLst>
        </c:ser>
        <c:ser>
          <c:idx val="6"/>
          <c:order val="6"/>
          <c:tx>
            <c:strRef>
              <c:f>'10_ASSUNTOS_+_demandados_ABR_23'!$H$24:$H$24</c:f>
              <c:strCache>
                <c:ptCount val="1"/>
                <c:pt idx="0">
                  <c:v>Drenagem de água de chuva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val>
            <c:numRef>
              <c:f>'10_ASSUNTOS_+_demandados_ABR_23'!$H$25:$H$26</c:f>
              <c:numCache>
                <c:formatCode>General</c:formatCode>
                <c:ptCount val="2"/>
                <c:pt idx="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40-42F8-8724-BC7600DF5433}"/>
            </c:ext>
          </c:extLst>
        </c:ser>
        <c:ser>
          <c:idx val="7"/>
          <c:order val="7"/>
          <c:tx>
            <c:strRef>
              <c:f>'10_ASSUNTOS_+_demandados_ABR_23'!$I$24:$I$24</c:f>
              <c:strCache>
                <c:ptCount val="1"/>
                <c:pt idx="0">
                  <c:v>Sinalização e Circulação de veículos e Pedestres</c:v>
                </c:pt>
              </c:strCache>
            </c:strRef>
          </c:tx>
          <c:spPr>
            <a:solidFill>
              <a:srgbClr val="FDEADA"/>
            </a:solidFill>
            <a:ln>
              <a:noFill/>
            </a:ln>
          </c:spPr>
          <c:invertIfNegative val="0"/>
          <c:val>
            <c:numRef>
              <c:f>'10_ASSUNTOS_+_demandados_ABR_23'!$I$25:$I$26</c:f>
              <c:numCache>
                <c:formatCode>General</c:formatCode>
                <c:ptCount val="2"/>
                <c:pt idx="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40-42F8-8724-BC7600DF5433}"/>
            </c:ext>
          </c:extLst>
        </c:ser>
        <c:ser>
          <c:idx val="8"/>
          <c:order val="8"/>
          <c:tx>
            <c:strRef>
              <c:f>'10_ASSUNTOS_+_demandados_ABR_23'!$J$24:$J$24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'10_ASSUNTOS_+_demandados_ABR_23'!$J$25:$J$26</c:f>
              <c:numCache>
                <c:formatCode>General</c:formatCode>
                <c:ptCount val="2"/>
                <c:pt idx="0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40-42F8-8724-BC7600DF5433}"/>
            </c:ext>
          </c:extLst>
        </c:ser>
        <c:ser>
          <c:idx val="9"/>
          <c:order val="9"/>
          <c:tx>
            <c:strRef>
              <c:f>'10_ASSUNTOS_+_demandados_ABR_23'!$K$24:$K$24</c:f>
              <c:strCache>
                <c:ptCount val="1"/>
                <c:pt idx="0">
                  <c:v>Calçadas, guias e postes</c:v>
                </c:pt>
              </c:strCache>
            </c:strRef>
          </c:tx>
          <c:spPr>
            <a:solidFill>
              <a:srgbClr val="9E20EC"/>
            </a:solidFill>
            <a:ln>
              <a:noFill/>
            </a:ln>
          </c:spPr>
          <c:invertIfNegative val="0"/>
          <c:val>
            <c:numRef>
              <c:f>'10_ASSUNTOS_+_demandados_ABR_23'!$K$25:$K$26</c:f>
              <c:numCache>
                <c:formatCode>General</c:formatCode>
                <c:ptCount val="2"/>
                <c:pt idx="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40-42F8-8724-BC7600DF5433}"/>
            </c:ext>
          </c:extLst>
        </c:ser>
        <c:ser>
          <c:idx val="10"/>
          <c:order val="10"/>
          <c:tx>
            <c:strRef>
              <c:f>'10_ASSUNTOS_+_demandados_ABR_23'!$L$24:$L$24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63-445A-AA9D-F9DED42BDBDA}"/>
              </c:ext>
            </c:extLst>
          </c:dPt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pt-BR" sz="1000" b="0" i="0" u="none" strike="noStrike" kern="1200" cap="none" spc="0" baseline="0">
                        <a:solidFill>
                          <a:srgbClr val="000000"/>
                        </a:solidFill>
                        <a:uFillTx/>
                        <a:latin typeface="Calibri"/>
                        <a:ea typeface="Calibri"/>
                        <a:cs typeface="Calibri"/>
                      </a:rPr>
                      <a:t>4687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63-445A-AA9D-F9DED42BD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val>
            <c:numRef>
              <c:f>'10_ASSUNTOS_+_demandados_ABR_23'!$L$25:$L$26</c:f>
              <c:numCache>
                <c:formatCode>General</c:formatCode>
                <c:ptCount val="2"/>
                <c:pt idx="1">
                  <c:v>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40-42F8-8724-BC7600DF5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18454895"/>
        <c:axId val="1818451151"/>
        <c:axId val="0"/>
      </c:bar3DChart>
      <c:valAx>
        <c:axId val="1818451151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895"/>
        <c:crosses val="autoZero"/>
        <c:crossBetween val="between"/>
        <c:majorUnit val="200"/>
      </c:valAx>
      <c:catAx>
        <c:axId val="1818454895"/>
        <c:scaling>
          <c:orientation val="minMax"/>
        </c:scaling>
        <c:delete val="1"/>
        <c:axPos val="b"/>
        <c:majorTickMark val="out"/>
        <c:minorTickMark val="none"/>
        <c:tickLblPos val="nextTo"/>
        <c:crossAx val="1818451151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4804990285305253"/>
          <c:y val="0.12442792477027328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do mês de ABRIL/23</a:t>
            </a:r>
          </a:p>
        </c:rich>
      </c:tx>
      <c:layout>
        <c:manualLayout>
          <c:xMode val="edge"/>
          <c:yMode val="edge"/>
          <c:x val="0.17346666331245336"/>
          <c:y val="3.438462084131375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2.3901788634248196E-2"/>
          <c:y val="0.10665247925090444"/>
          <c:w val="0.91871718111913325"/>
          <c:h val="0.80398775516885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'10_ASSUNTOS_+_demandados_ABR_23'!$B$6:$B$6</c:f>
              <c:strCache>
                <c:ptCount val="1"/>
                <c:pt idx="0">
                  <c:v>abr/23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DE10-44BF-97A9-837AEEDEDEC9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E10-44BF-97A9-837AEEDEDEC9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DE10-44BF-97A9-837AEEDEDEC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E10-44BF-97A9-837AEEDEDEC9}"/>
              </c:ext>
            </c:extLst>
          </c:dPt>
          <c:dPt>
            <c:idx val="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DE10-44BF-97A9-837AEEDEDEC9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E10-44BF-97A9-837AEEDEDEC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10-44BF-97A9-837AEEDEDEC9}"/>
              </c:ext>
            </c:extLst>
          </c:dPt>
          <c:dPt>
            <c:idx val="7"/>
            <c:invertIfNegative val="0"/>
            <c:bubble3D val="0"/>
            <c:spPr>
              <a:solidFill>
                <a:srgbClr val="F2DCD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E10-44BF-97A9-837AEEDEDEC9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10-44BF-97A9-837AEEDEDEC9}"/>
              </c:ext>
            </c:extLst>
          </c:dPt>
          <c:dPt>
            <c:idx val="9"/>
            <c:invertIfNegative val="0"/>
            <c:bubble3D val="0"/>
            <c:spPr>
              <a:solidFill>
                <a:srgbClr val="9E20E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E10-44BF-97A9-837AEEDEDEC9}"/>
              </c:ext>
            </c:extLst>
          </c:dPt>
          <c:cat>
            <c:strRef>
              <c:f>'10_ASSUNTOS_+_demandados_ABR_23'!$A$7:$A$16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Capinação e roçada de áreas verdes</c:v>
                </c:pt>
                <c:pt idx="6">
                  <c:v>Drenagem de água de chuva</c:v>
                </c:pt>
                <c:pt idx="7">
                  <c:v>Sinalização e Circulação de veículos e Pedestres</c:v>
                </c:pt>
                <c:pt idx="8">
                  <c:v>Ônibus</c:v>
                </c:pt>
                <c:pt idx="9">
                  <c:v>Calçadas, guias e postes</c:v>
                </c:pt>
              </c:strCache>
            </c:strRef>
          </c:cat>
          <c:val>
            <c:numRef>
              <c:f>'10_ASSUNTOS_+_demandados_ABR_23'!$B$7:$B$16</c:f>
              <c:numCache>
                <c:formatCode>General</c:formatCode>
                <c:ptCount val="10"/>
                <c:pt idx="0">
                  <c:v>981</c:v>
                </c:pt>
                <c:pt idx="1">
                  <c:v>379</c:v>
                </c:pt>
                <c:pt idx="2">
                  <c:v>253</c:v>
                </c:pt>
                <c:pt idx="3">
                  <c:v>231</c:v>
                </c:pt>
                <c:pt idx="4">
                  <c:v>160</c:v>
                </c:pt>
                <c:pt idx="5">
                  <c:v>139</c:v>
                </c:pt>
                <c:pt idx="6">
                  <c:v>130</c:v>
                </c:pt>
                <c:pt idx="7">
                  <c:v>128</c:v>
                </c:pt>
                <c:pt idx="8">
                  <c:v>123</c:v>
                </c:pt>
                <c:pt idx="9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AB-4E73-96F5-064C9EC2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9"/>
        <c:overlap val="-71"/>
        <c:axId val="1818452815"/>
        <c:axId val="1818455311"/>
      </c:barChart>
      <c:valAx>
        <c:axId val="1818455311"/>
        <c:scaling>
          <c:orientation val="minMax"/>
          <c:max val="1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2815"/>
        <c:crosses val="autoZero"/>
        <c:crossBetween val="between"/>
        <c:majorUnit val="100"/>
        <c:minorUnit val="50"/>
      </c:valAx>
      <c:catAx>
        <c:axId val="1818452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31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col"/>
        <c:grouping val="clustered"/>
        <c:varyColors val="0"/>
        <c:ser>
          <c:idx val="0"/>
          <c:order val="0"/>
          <c:tx>
            <c:v>Série4</c:v>
          </c:tx>
          <c:spPr>
            <a:solidFill>
              <a:srgbClr val="6600CC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A0F-4474-BD13-DFA6AC1FB82C}"/>
              </c:ext>
            </c:extLst>
          </c:dPt>
          <c:dPt>
            <c:idx val="2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A0F-4474-BD13-DFA6AC1FB82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A0F-4474-BD13-DFA6AC1FB82C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A0F-4474-BD13-DFA6AC1FB82C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A0F-4474-BD13-DFA6AC1FB82C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A0F-4474-BD13-DFA6AC1FB82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A0F-4474-BD13-DFA6AC1FB82C}"/>
              </c:ext>
            </c:extLst>
          </c:dPt>
          <c:dPt>
            <c:idx val="8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A0F-4474-BD13-DFA6AC1FB82C}"/>
              </c:ext>
            </c:extLst>
          </c:dPt>
          <c:dPt>
            <c:idx val="9"/>
            <c:invertIfNegative val="0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A0F-4474-BD13-DFA6AC1FB82C}"/>
              </c:ext>
            </c:extLst>
          </c:dPt>
          <c:cat>
            <c:strLit>
              <c:ptCount val="10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</c:strLit>
          </c:cat>
          <c:val>
            <c:numLit>
              <c:formatCode>General</c:formatCode>
              <c:ptCount val="10"/>
              <c:pt idx="0">
                <c:v>752.75</c:v>
              </c:pt>
              <c:pt idx="1">
                <c:v>556.5</c:v>
              </c:pt>
              <c:pt idx="2">
                <c:v>341.5</c:v>
              </c:pt>
              <c:pt idx="3">
                <c:v>296.75</c:v>
              </c:pt>
              <c:pt idx="4">
                <c:v>287</c:v>
              </c:pt>
              <c:pt idx="5">
                <c:v>274.5</c:v>
              </c:pt>
              <c:pt idx="6">
                <c:v>254.25</c:v>
              </c:pt>
              <c:pt idx="7">
                <c:v>228.75</c:v>
              </c:pt>
              <c:pt idx="8">
                <c:v>93</c:v>
              </c:pt>
              <c:pt idx="9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12-F50B-4756-BFEF-3C726D34601A}"/>
            </c:ext>
          </c:extLst>
        </c:ser>
        <c:ser>
          <c:idx val="1"/>
          <c:order val="1"/>
          <c:tx>
            <c:v>Série1</c:v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strLit>
              <c:ptCount val="10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3-F50B-4756-BFEF-3C726D346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8454479"/>
        <c:axId val="1818453231"/>
      </c:barChart>
      <c:valAx>
        <c:axId val="1818453231"/>
        <c:scaling>
          <c:orientation val="minMax"/>
          <c:max val="800"/>
          <c:min val="0"/>
        </c:scaling>
        <c:delete val="0"/>
        <c:axPos val="l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inMax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8.3103536108619332E-4"/>
          <c:y val="1.0266651451177299E-2"/>
          <c:w val="0.62994503324215279"/>
          <c:h val="0.92648585593467481"/>
        </c:manualLayout>
      </c:layout>
      <c:pieChart>
        <c:varyColors val="1"/>
        <c:ser>
          <c:idx val="0"/>
          <c:order val="0"/>
          <c:tx>
            <c:v>Série15</c:v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7CF-4BA6-BAB7-F766C0651852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7CF-4BA6-BAB7-F766C0651852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7CF-4BA6-BAB7-F766C0651852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7CF-4BA6-BAB7-F766C0651852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7CF-4BA6-BAB7-F766C0651852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7CF-4BA6-BAB7-F766C0651852}"/>
              </c:ext>
            </c:extLst>
          </c:dPt>
          <c:dPt>
            <c:idx val="6"/>
            <c:bubble3D val="0"/>
            <c:spPr>
              <a:solidFill>
                <a:srgbClr val="8FA2D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7CF-4BA6-BAB7-F766C0651852}"/>
              </c:ext>
            </c:extLst>
          </c:dPt>
          <c:dPt>
            <c:idx val="7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7CF-4BA6-BAB7-F766C0651852}"/>
              </c:ext>
            </c:extLst>
          </c:dPt>
          <c:dPt>
            <c:idx val="8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7CF-4BA6-BAB7-F766C0651852}"/>
              </c:ext>
            </c:extLst>
          </c:dPt>
          <c:dPt>
            <c:idx val="9"/>
            <c:bubble3D val="0"/>
            <c:spPr>
              <a:solidFill>
                <a:srgbClr val="FFD1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7CF-4BA6-BAB7-F766C0651852}"/>
              </c:ext>
            </c:extLst>
          </c:dPt>
          <c:dPt>
            <c:idx val="10"/>
            <c:bubble3D val="0"/>
            <c:spPr>
              <a:solidFill>
                <a:srgbClr val="97B9E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7CF-4BA6-BAB7-F766C0651852}"/>
              </c:ext>
            </c:extLst>
          </c:dPt>
          <c:dPt>
            <c:idx val="11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7CF-4BA6-BAB7-F766C06518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Lit>
              <c:ptCount val="11"/>
              <c:pt idx="0">
                <c:v>Secretaria Municipal de Assistência e Desenvolvimento Social</c:v>
              </c:pt>
              <c:pt idx="1">
                <c:v>Secretaria Municipal das Subprefeituras</c:v>
              </c:pt>
              <c:pt idx="2">
                <c:v>Secretaria Municipal da Saúde</c:v>
              </c:pt>
              <c:pt idx="3">
                <c:v>Companhia de Engenharia de Tráfego - CET</c:v>
              </c:pt>
              <c:pt idx="4">
                <c:v>Secretaria Municipal da Fazenda</c:v>
              </c:pt>
              <c:pt idx="5">
                <c:v>Secretaria Executiva de Limpeza Urbana**</c:v>
              </c:pt>
              <c:pt idx="6">
                <c:v>Secretaria Municipal de Educação</c:v>
              </c:pt>
              <c:pt idx="7">
                <c:v>São Paulo Transportes - SPTRANS</c:v>
              </c:pt>
              <c:pt idx="8">
                <c:v>Subprefeitura Lapa</c:v>
              </c:pt>
              <c:pt idx="9">
                <c:v>Agência Reguladora de Serviços Públicos do Município de São Paulo</c:v>
              </c:pt>
              <c:pt idx="10">
                <c:v>Outros</c:v>
              </c:pt>
            </c:strLit>
          </c:cat>
          <c:val>
            <c:numLit>
              <c:formatCode>General</c:formatCode>
              <c:ptCount val="11"/>
              <c:pt idx="0">
                <c:v>22.061019842116494</c:v>
              </c:pt>
              <c:pt idx="1">
                <c:v>12.203968423298486</c:v>
              </c:pt>
              <c:pt idx="2">
                <c:v>7.0834222317047155</c:v>
              </c:pt>
              <c:pt idx="3">
                <c:v>4.928525709409004</c:v>
              </c:pt>
              <c:pt idx="4">
                <c:v>4.7365052272242369</c:v>
              </c:pt>
              <c:pt idx="5">
                <c:v>5.2698954555152548</c:v>
              </c:pt>
              <c:pt idx="6">
                <c:v>3.9044164710902498</c:v>
              </c:pt>
              <c:pt idx="7">
                <c:v>5.0778749733304887</c:v>
              </c:pt>
              <c:pt idx="8">
                <c:v>1.9415404309793045</c:v>
              </c:pt>
              <c:pt idx="9">
                <c:v>1.2161297205035204</c:v>
              </c:pt>
              <c:pt idx="10">
                <c:v>31.576701514828244</c:v>
              </c:pt>
            </c:numLit>
          </c:val>
          <c:extLst>
            <c:ext xmlns:c16="http://schemas.microsoft.com/office/drawing/2014/chart" uri="{C3380CC4-5D6E-409C-BE32-E72D297353CC}">
              <c16:uniqueId val="{00000018-279A-44C6-8711-5B45ADC71D7B}"/>
            </c:ext>
          </c:extLst>
        </c:ser>
        <c:ser>
          <c:idx val="1"/>
          <c:order val="1"/>
          <c:tx>
            <c:v>Série1</c:v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7CF-4BA6-BAB7-F766C0651852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7CF-4BA6-BAB7-F766C06518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D-279A-44C6-8711-5B45ADC71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6104078762306606"/>
          <c:y val="7.406621273790051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  Média - Unidades 10 mais demandadas 3 últimos meses</a:t>
            </a:r>
          </a:p>
        </c:rich>
      </c:tx>
      <c:layout>
        <c:manualLayout>
          <c:xMode val="edge"/>
          <c:yMode val="edge"/>
          <c:x val="8.44554782478983E-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7395714574920354E-2"/>
          <c:y val="0.12030928566361637"/>
          <c:w val="0.96217929457058726"/>
          <c:h val="0.8757053116108234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8064A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572A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E41-47B1-9395-F448E3488CB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E41-47B1-9395-F448E3488CB1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E41-47B1-9395-F448E3488CB1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E41-47B1-9395-F448E3488CB1}"/>
              </c:ext>
            </c:extLst>
          </c:dPt>
          <c:dPt>
            <c:idx val="4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E41-47B1-9395-F448E3488CB1}"/>
              </c:ext>
            </c:extLst>
          </c:dPt>
          <c:dPt>
            <c:idx val="5"/>
            <c:invertIfNegative val="0"/>
            <c:bubble3D val="0"/>
            <c:spPr>
              <a:solidFill>
                <a:srgbClr val="DB843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E41-47B1-9395-F448E3488CB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E41-47B1-9395-F448E3488CB1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E41-47B1-9395-F448E3488CB1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E41-47B1-9395-F448E3488CB1}"/>
              </c:ext>
            </c:extLst>
          </c:dPt>
          <c:dPt>
            <c:idx val="9"/>
            <c:invertIfNegative val="0"/>
            <c:bubble3D val="0"/>
            <c:spPr>
              <a:solidFill>
                <a:srgbClr val="A99BB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E41-47B1-9395-F448E3488CB1}"/>
              </c:ext>
            </c:extLst>
          </c:dPt>
          <c:cat>
            <c:strRef>
              <c:f>'UNIDADES_-_10+_últimos_3_meses'!$A$7:$A$16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Municipal de Educação</c:v>
                </c:pt>
                <c:pt idx="4">
                  <c:v>Companhia de Engenharia de Tráfego - CET</c:v>
                </c:pt>
                <c:pt idx="5">
                  <c:v>Secretaria Executiva de Limpeza Urbana**</c:v>
                </c:pt>
                <c:pt idx="6">
                  <c:v>Secretaria Municipal da Fazenda</c:v>
                </c:pt>
                <c:pt idx="7">
                  <c:v>São Paulo Transportes - SPTRANS</c:v>
                </c:pt>
                <c:pt idx="8">
                  <c:v>Subprefeitura Lapa</c:v>
                </c:pt>
                <c:pt idx="9">
                  <c:v>Agência Reguladora de Serviços Públicos do Município de São Paulo** </c:v>
                </c:pt>
              </c:strCache>
            </c:strRef>
          </c:cat>
          <c:val>
            <c:numRef>
              <c:f>'UNIDADES_-_10+_últimos_3_meses'!$F$7:$F$16</c:f>
              <c:numCache>
                <c:formatCode>0</c:formatCode>
                <c:ptCount val="10"/>
                <c:pt idx="0">
                  <c:v>815.66666666666663</c:v>
                </c:pt>
                <c:pt idx="1">
                  <c:v>560.33333333333337</c:v>
                </c:pt>
                <c:pt idx="2">
                  <c:v>341</c:v>
                </c:pt>
                <c:pt idx="3">
                  <c:v>295.33333333333331</c:v>
                </c:pt>
                <c:pt idx="4">
                  <c:v>286.66666666666669</c:v>
                </c:pt>
                <c:pt idx="5">
                  <c:v>283.66666666666669</c:v>
                </c:pt>
                <c:pt idx="6">
                  <c:v>273.33333333333331</c:v>
                </c:pt>
                <c:pt idx="7">
                  <c:v>258.33333333333331</c:v>
                </c:pt>
                <c:pt idx="8">
                  <c:v>100.66666666666667</c:v>
                </c:pt>
                <c:pt idx="9">
                  <c:v>98.666666666666671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3A-4A34-87D6-67DE3CCB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1456671"/>
        <c:axId val="1818449903"/>
      </c:barChart>
      <c:valAx>
        <c:axId val="1818449903"/>
        <c:scaling>
          <c:orientation val="minMax"/>
          <c:max val="9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56671"/>
        <c:crosses val="autoZero"/>
        <c:crossBetween val="between"/>
        <c:majorUnit val="100"/>
      </c:valAx>
      <c:catAx>
        <c:axId val="179145667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demendadas dos 3 últimos meses</a:t>
            </a:r>
          </a:p>
        </c:rich>
      </c:tx>
      <c:layout>
        <c:manualLayout>
          <c:xMode val="edge"/>
          <c:yMode val="edge"/>
          <c:x val="0.20666659113653957"/>
          <c:y val="1.0869565217391304E-2"/>
        </c:manualLayout>
      </c:layout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'UNIDADES_-_10+_últimos_3_meses'!$A$7:$A$7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'UNIDADES_-_10+_últimos_3_meses'!$B$7:$D$7</c:f>
              <c:numCache>
                <c:formatCode>General</c:formatCode>
                <c:ptCount val="3"/>
                <c:pt idx="0">
                  <c:v>1034</c:v>
                </c:pt>
                <c:pt idx="1">
                  <c:v>886</c:v>
                </c:pt>
                <c:pt idx="2">
                  <c:v>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3D-4707-8D17-11178D31F490}"/>
            </c:ext>
          </c:extLst>
        </c:ser>
        <c:ser>
          <c:idx val="1"/>
          <c:order val="1"/>
          <c:tx>
            <c:strRef>
              <c:f>'UNIDADES_-_10+_últimos_3_meses'!$A$8:$A$8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'UNIDADES_-_10+_últimos_3_meses'!$B$8:$D$8</c:f>
              <c:numCache>
                <c:formatCode>General</c:formatCode>
                <c:ptCount val="3"/>
                <c:pt idx="0">
                  <c:v>572</c:v>
                </c:pt>
                <c:pt idx="1">
                  <c:v>573</c:v>
                </c:pt>
                <c:pt idx="2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3D-4707-8D17-11178D31F490}"/>
            </c:ext>
          </c:extLst>
        </c:ser>
        <c:ser>
          <c:idx val="2"/>
          <c:order val="2"/>
          <c:tx>
            <c:strRef>
              <c:f>'UNIDADES_-_10+_últimos_3_meses'!$A$9:$A$9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'UNIDADES_-_10+_últimos_3_meses'!$B$9:$D$9</c:f>
              <c:numCache>
                <c:formatCode>General</c:formatCode>
                <c:ptCount val="3"/>
                <c:pt idx="0">
                  <c:v>332</c:v>
                </c:pt>
                <c:pt idx="1">
                  <c:v>373</c:v>
                </c:pt>
                <c:pt idx="2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3D-4707-8D17-11178D31F490}"/>
            </c:ext>
          </c:extLst>
        </c:ser>
        <c:ser>
          <c:idx val="3"/>
          <c:order val="3"/>
          <c:tx>
            <c:strRef>
              <c:f>'UNIDADES_-_10+_últimos_3_meses'!$A$10:$A$10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'UNIDADES_-_10+_últimos_3_meses'!$B$10:$D$10</c:f>
              <c:numCache>
                <c:formatCode>General</c:formatCode>
                <c:ptCount val="3"/>
                <c:pt idx="0">
                  <c:v>183</c:v>
                </c:pt>
                <c:pt idx="1">
                  <c:v>326</c:v>
                </c:pt>
                <c:pt idx="2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3D-4707-8D17-11178D31F490}"/>
            </c:ext>
          </c:extLst>
        </c:ser>
        <c:ser>
          <c:idx val="4"/>
          <c:order val="4"/>
          <c:tx>
            <c:strRef>
              <c:f>'UNIDADES_-_10+_últimos_3_meses'!$A$11:$A$11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'UNIDADES_-_10+_últimos_3_meses'!$B$11:$D$11</c:f>
              <c:numCache>
                <c:formatCode>General</c:formatCode>
                <c:ptCount val="3"/>
                <c:pt idx="0">
                  <c:v>231</c:v>
                </c:pt>
                <c:pt idx="1">
                  <c:v>299</c:v>
                </c:pt>
                <c:pt idx="2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3D-4707-8D17-11178D31F490}"/>
            </c:ext>
          </c:extLst>
        </c:ser>
        <c:ser>
          <c:idx val="5"/>
          <c:order val="5"/>
          <c:tx>
            <c:strRef>
              <c:f>'UNIDADES_-_10+_últimos_3_meses'!$A$12:$A$12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'UNIDADES_-_10+_últimos_3_meses'!$B$12:$D$12</c:f>
              <c:numCache>
                <c:formatCode>General</c:formatCode>
                <c:ptCount val="3"/>
                <c:pt idx="0">
                  <c:v>247</c:v>
                </c:pt>
                <c:pt idx="1">
                  <c:v>318</c:v>
                </c:pt>
                <c:pt idx="2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13D-4707-8D17-11178D31F490}"/>
            </c:ext>
          </c:extLst>
        </c:ser>
        <c:ser>
          <c:idx val="6"/>
          <c:order val="6"/>
          <c:tx>
            <c:strRef>
              <c:f>'UNIDADES_-_10+_últimos_3_meses'!$A$13:$A$13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FBE5D6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'UNIDADES_-_10+_últimos_3_meses'!$B$13:$D$13</c:f>
              <c:numCache>
                <c:formatCode>General</c:formatCode>
                <c:ptCount val="3"/>
                <c:pt idx="0">
                  <c:v>222</c:v>
                </c:pt>
                <c:pt idx="1">
                  <c:v>306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3D-4707-8D17-11178D31F490}"/>
            </c:ext>
          </c:extLst>
        </c:ser>
        <c:ser>
          <c:idx val="7"/>
          <c:order val="7"/>
          <c:tx>
            <c:strRef>
              <c:f>'UNIDADES_-_10+_últimos_3_meses'!$A$14:$A$14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'UNIDADES_-_10+_últimos_3_meses'!$B$14:$D$14</c:f>
              <c:numCache>
                <c:formatCode>General</c:formatCode>
                <c:ptCount val="3"/>
                <c:pt idx="0">
                  <c:v>238</c:v>
                </c:pt>
                <c:pt idx="1">
                  <c:v>333</c:v>
                </c:pt>
                <c:pt idx="2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13D-4707-8D17-11178D31F490}"/>
            </c:ext>
          </c:extLst>
        </c:ser>
        <c:ser>
          <c:idx val="8"/>
          <c:order val="8"/>
          <c:tx>
            <c:strRef>
              <c:f>'UNIDADES_-_10+_últimos_3_meses'!$A$15:$A$15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'UNIDADES_-_10+_últimos_3_meses'!$B$15:$D$15</c:f>
              <c:numCache>
                <c:formatCode>General</c:formatCode>
                <c:ptCount val="3"/>
                <c:pt idx="0">
                  <c:v>91</c:v>
                </c:pt>
                <c:pt idx="1">
                  <c:v>140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3D-4707-8D17-11178D31F490}"/>
            </c:ext>
          </c:extLst>
        </c:ser>
        <c:ser>
          <c:idx val="9"/>
          <c:order val="9"/>
          <c:tx>
            <c:strRef>
              <c:f>'UNIDADES_-_10+_últimos_3_meses'!$A$16:$A$16</c:f>
              <c:strCache>
                <c:ptCount val="1"/>
                <c:pt idx="0">
                  <c:v>Agência Reguladora de Serviços Públicos do Município de São Paulo** </c:v>
                </c:pt>
              </c:strCache>
            </c:strRef>
          </c:tx>
          <c:spPr>
            <a:solidFill>
              <a:srgbClr val="997300"/>
            </a:solidFill>
            <a:ln>
              <a:noFill/>
            </a:ln>
          </c:spPr>
          <c:invertIfNegative val="0"/>
          <c:cat>
            <c:numRef>
              <c:f>'UNIDADES_-_10+_últimos_3_meses'!$B$6:$D$6</c:f>
              <c:numCache>
                <c:formatCode>mmm\-yy</c:formatCode>
                <c:ptCount val="3"/>
                <c:pt idx="0">
                  <c:v>45017</c:v>
                </c:pt>
                <c:pt idx="1">
                  <c:v>44986</c:v>
                </c:pt>
                <c:pt idx="2">
                  <c:v>44958</c:v>
                </c:pt>
              </c:numCache>
            </c:numRef>
          </c:cat>
          <c:val>
            <c:numRef>
              <c:f>'UNIDADES_-_10+_últimos_3_meses'!$B$16:$D$16</c:f>
              <c:numCache>
                <c:formatCode>General</c:formatCode>
                <c:ptCount val="3"/>
                <c:pt idx="0">
                  <c:v>57</c:v>
                </c:pt>
                <c:pt idx="1">
                  <c:v>140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3D-4707-8D17-11178D31F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19695471"/>
        <c:axId val="1812050239"/>
      </c:barChart>
      <c:valAx>
        <c:axId val="1812050239"/>
        <c:scaling>
          <c:orientation val="minMax"/>
          <c:max val="1100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5471"/>
        <c:crosses val="autoZero"/>
        <c:crossBetween val="between"/>
        <c:majorUnit val="100"/>
      </c:valAx>
      <c:dateAx>
        <c:axId val="181969547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239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539137823599392"/>
          <c:y val="0.1124780326372247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57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view3D>
      <c:rotX val="13"/>
      <c:rotY val="18"/>
      <c:rAngAx val="1"/>
    </c:view3D>
    <c:floor>
      <c:thickness val="0"/>
      <c:spPr>
        <a:noFill/>
        <a:ln w="9528" cap="flat">
          <a:solidFill>
            <a:srgbClr val="868686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1.8483969492481246E-2"/>
          <c:y val="0.1350512081065649"/>
          <c:w val="0.61593434052057794"/>
          <c:h val="0.8253107540637626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'10_Unidades+_demandados__MAR_23'!$B$22:$B$22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rgbClr val="3333FF"/>
            </a:solidFill>
            <a:ln>
              <a:noFill/>
            </a:ln>
          </c:spPr>
          <c:invertIfNegative val="0"/>
          <c:val>
            <c:numRef>
              <c:f>'10_Unidades+_demandados__MAR_23'!$B$23:$B$25</c:f>
              <c:numCache>
                <c:formatCode>General</c:formatCode>
                <c:ptCount val="3"/>
                <c:pt idx="0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B3-402E-9448-9B2142E7AA1C}"/>
            </c:ext>
          </c:extLst>
        </c:ser>
        <c:ser>
          <c:idx val="1"/>
          <c:order val="1"/>
          <c:tx>
            <c:strRef>
              <c:f>'10_Unidades+_demandados__MAR_23'!$C$22:$C$22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'10_Unidades+_demandados__MAR_23'!$C$23:$C$25</c:f>
              <c:numCache>
                <c:formatCode>General</c:formatCode>
                <c:ptCount val="3"/>
                <c:pt idx="0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B3-402E-9448-9B2142E7AA1C}"/>
            </c:ext>
          </c:extLst>
        </c:ser>
        <c:ser>
          <c:idx val="2"/>
          <c:order val="2"/>
          <c:tx>
            <c:strRef>
              <c:f>'10_Unidades+_demandados__MAR_23'!$D$22:$D$22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rgbClr val="7F9A48"/>
            </a:solidFill>
            <a:ln>
              <a:noFill/>
            </a:ln>
          </c:spPr>
          <c:invertIfNegative val="0"/>
          <c:val>
            <c:numRef>
              <c:f>'10_Unidades+_demandados__MAR_23'!$D$23:$D$25</c:f>
              <c:numCache>
                <c:formatCode>General</c:formatCode>
                <c:ptCount val="3"/>
                <c:pt idx="0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B3-402E-9448-9B2142E7AA1C}"/>
            </c:ext>
          </c:extLst>
        </c:ser>
        <c:ser>
          <c:idx val="3"/>
          <c:order val="3"/>
          <c:tx>
            <c:strRef>
              <c:f>'10_Unidades+_demandados__MAR_23'!$E$22:$E$22</c:f>
              <c:strCache>
                <c:ptCount val="1"/>
                <c:pt idx="0">
                  <c:v>Secretaria Executiva de Limpeza Urbana**</c:v>
                </c:pt>
              </c:strCache>
            </c:strRef>
          </c:tx>
          <c:spPr>
            <a:solidFill>
              <a:srgbClr val="9933FF"/>
            </a:solidFill>
            <a:ln>
              <a:noFill/>
            </a:ln>
          </c:spPr>
          <c:invertIfNegative val="0"/>
          <c:val>
            <c:numRef>
              <c:f>'10_Unidades+_demandados__MAR_23'!$E$23:$E$25</c:f>
              <c:numCache>
                <c:formatCode>General</c:formatCode>
                <c:ptCount val="3"/>
                <c:pt idx="0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B3-402E-9448-9B2142E7AA1C}"/>
            </c:ext>
          </c:extLst>
        </c:ser>
        <c:ser>
          <c:idx val="4"/>
          <c:order val="4"/>
          <c:tx>
            <c:strRef>
              <c:f>'10_Unidades+_demandados__MAR_23'!$F$22:$F$22</c:f>
              <c:strCache>
                <c:ptCount val="1"/>
                <c:pt idx="0">
                  <c:v>São Paulo Transportes - SPTRANS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val>
            <c:numRef>
              <c:f>'10_Unidades+_demandados__MAR_23'!$F$23:$F$25</c:f>
              <c:numCache>
                <c:formatCode>General</c:formatCode>
                <c:ptCount val="3"/>
                <c:pt idx="0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3-402E-9448-9B2142E7AA1C}"/>
            </c:ext>
          </c:extLst>
        </c:ser>
        <c:ser>
          <c:idx val="5"/>
          <c:order val="5"/>
          <c:tx>
            <c:strRef>
              <c:f>'10_Unidades+_demandados__MAR_23'!$G$22:$G$22</c:f>
              <c:strCache>
                <c:ptCount val="1"/>
                <c:pt idx="0">
                  <c:v>Companhia de Engenharia de Tráfego - CET</c:v>
                </c:pt>
              </c:strCache>
            </c:strRef>
          </c:tx>
          <c:spPr>
            <a:solidFill>
              <a:srgbClr val="00FFFF"/>
            </a:solidFill>
            <a:ln>
              <a:noFill/>
            </a:ln>
          </c:spPr>
          <c:invertIfNegative val="0"/>
          <c:val>
            <c:numRef>
              <c:f>'10_Unidades+_demandados__MAR_23'!$G$23:$G$25</c:f>
              <c:numCache>
                <c:formatCode>General</c:formatCode>
                <c:ptCount val="3"/>
                <c:pt idx="0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B3-402E-9448-9B2142E7AA1C}"/>
            </c:ext>
          </c:extLst>
        </c:ser>
        <c:ser>
          <c:idx val="6"/>
          <c:order val="6"/>
          <c:tx>
            <c:strRef>
              <c:f>'10_Unidades+_demandados__MAR_23'!$H$22:$H$22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rgbClr val="000000"/>
            </a:solidFill>
            <a:ln>
              <a:noFill/>
            </a:ln>
          </c:spPr>
          <c:invertIfNegative val="0"/>
          <c:val>
            <c:numRef>
              <c:f>'10_Unidades+_demandados__MAR_23'!$H$23:$H$25</c:f>
              <c:numCache>
                <c:formatCode>General</c:formatCode>
                <c:ptCount val="3"/>
                <c:pt idx="0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B3-402E-9448-9B2142E7AA1C}"/>
            </c:ext>
          </c:extLst>
        </c:ser>
        <c:ser>
          <c:idx val="7"/>
          <c:order val="7"/>
          <c:tx>
            <c:strRef>
              <c:f>'10_Unidades+_demandados__MAR_23'!$I$22:$I$22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val>
            <c:numRef>
              <c:f>'10_Unidades+_demandados__MAR_23'!$I$23:$I$25</c:f>
              <c:numCache>
                <c:formatCode>General</c:formatCode>
                <c:ptCount val="3"/>
                <c:pt idx="0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EB3-402E-9448-9B2142E7AA1C}"/>
            </c:ext>
          </c:extLst>
        </c:ser>
        <c:ser>
          <c:idx val="8"/>
          <c:order val="8"/>
          <c:tx>
            <c:strRef>
              <c:f>'10_Unidades+_demandados__MAR_23'!$J$22:$J$22</c:f>
              <c:strCache>
                <c:ptCount val="1"/>
                <c:pt idx="0">
                  <c:v>Subprefeitura Lapa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</c:spPr>
          <c:invertIfNegative val="0"/>
          <c:val>
            <c:numRef>
              <c:f>'10_Unidades+_demandados__MAR_23'!$J$23:$J$25</c:f>
              <c:numCache>
                <c:formatCode>General</c:formatCode>
                <c:ptCount val="3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B3-402E-9448-9B2142E7AA1C}"/>
            </c:ext>
          </c:extLst>
        </c:ser>
        <c:ser>
          <c:idx val="9"/>
          <c:order val="9"/>
          <c:tx>
            <c:strRef>
              <c:f>'10_Unidades+_demandados__MAR_23'!$K$22:$K$22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rgbClr val="FCD5B5"/>
            </a:solidFill>
            <a:ln>
              <a:noFill/>
            </a:ln>
          </c:spPr>
          <c:invertIfNegative val="0"/>
          <c:val>
            <c:numRef>
              <c:f>'10_Unidades+_demandados__MAR_23'!$K$23:$K$25</c:f>
              <c:numCache>
                <c:formatCode>General</c:formatCode>
                <c:ptCount val="3"/>
                <c:pt idx="0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EB3-402E-9448-9B2142E7AA1C}"/>
            </c:ext>
          </c:extLst>
        </c:ser>
        <c:ser>
          <c:idx val="10"/>
          <c:order val="10"/>
          <c:tx>
            <c:strRef>
              <c:f>'10_Unidades+_demandados__MAR_23'!$L$22:$L$22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7B9E0"/>
            </a:solidFill>
            <a:ln>
              <a:noFill/>
            </a:ln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337-4F9F-993D-6E54A6BC5EEF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pt-BR" sz="1000" b="0" i="0" u="none" strike="noStrike" kern="1200" cap="none" spc="0" baseline="0">
                        <a:solidFill>
                          <a:srgbClr val="000000"/>
                        </a:solidFill>
                        <a:uFillTx/>
                        <a:latin typeface="Calibri"/>
                        <a:ea typeface="Calibri"/>
                        <a:cs typeface="Calibri"/>
                      </a:rPr>
                      <a:t>4687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337-4F9F-993D-6E54A6BC5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val>
            <c:numRef>
              <c:f>'10_Unidades+_demandados__MAR_23'!$L$23:$L$25</c:f>
              <c:numCache>
                <c:formatCode>#,##0</c:formatCode>
                <c:ptCount val="3"/>
                <c:pt idx="2">
                  <c:v>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EB3-402E-9448-9B2142E7A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shape val="box"/>
        <c:axId val="1819697967"/>
        <c:axId val="1819700047"/>
        <c:axId val="0"/>
      </c:bar3DChart>
      <c:valAx>
        <c:axId val="1819700047"/>
        <c:scaling>
          <c:orientation val="minMax"/>
          <c:max val="50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967"/>
        <c:crosses val="autoZero"/>
        <c:crossBetween val="between"/>
        <c:majorUnit val="250"/>
      </c:valAx>
      <c:catAx>
        <c:axId val="1819697967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70004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60144300166354"/>
          <c:y val="0.1196235824714326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2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2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UNIDADES mais demandadas do mês de ABRIL/23</a:t>
            </a:r>
          </a:p>
        </c:rich>
      </c:tx>
      <c:layout>
        <c:manualLayout>
          <c:xMode val="edge"/>
          <c:yMode val="edge"/>
          <c:x val="0.1304324757546258"/>
          <c:y val="8.3682081490560496E-4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"/>
          <c:y val="0.10804746081826104"/>
          <c:w val="0.94725261925482607"/>
          <c:h val="0.856361003276213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'10_Unidades+_demandados__MAR_23'!$B$6:$B$6</c:f>
              <c:strCache>
                <c:ptCount val="1"/>
                <c:pt idx="0">
                  <c:v>abr/23</c:v>
                </c:pt>
              </c:strCache>
            </c:strRef>
          </c:tx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C22C-433A-B111-F302FE51A5D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2C-433A-B111-F302FE51A5DE}"/>
              </c:ext>
            </c:extLst>
          </c:dPt>
          <c:dPt>
            <c:idx val="2"/>
            <c:invertIfNegative val="0"/>
            <c:bubble3D val="0"/>
            <c:spPr>
              <a:solidFill>
                <a:srgbClr val="89A54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C22C-433A-B111-F302FE51A5DE}"/>
              </c:ext>
            </c:extLst>
          </c:dPt>
          <c:dPt>
            <c:idx val="3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2C-433A-B111-F302FE51A5D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C22C-433A-B111-F302FE51A5DE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2C-433A-B111-F302FE51A5DE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C22C-433A-B111-F302FE51A5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2C-433A-B111-F302FE51A5D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C22C-433A-B111-F302FE51A5DE}"/>
              </c:ext>
            </c:extLst>
          </c:dPt>
          <c:dPt>
            <c:idx val="9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2C-433A-B111-F302FE51A5DE}"/>
              </c:ext>
            </c:extLst>
          </c:dPt>
          <c:cat>
            <c:strRef>
              <c:f>'10_Unidades+_demandados__MAR_23'!$A$7:$A$16</c:f>
              <c:strCache>
                <c:ptCount val="10"/>
                <c:pt idx="0">
                  <c:v>Secretaria Municipal de Assistência e Desenvolvimento Social</c:v>
                </c:pt>
                <c:pt idx="1">
                  <c:v>Secretaria Municipal das Subprefeituras</c:v>
                </c:pt>
                <c:pt idx="2">
                  <c:v>Secretaria Municipal da Saúde</c:v>
                </c:pt>
                <c:pt idx="3">
                  <c:v>Secretaria Executiva de Limpeza Urbana**</c:v>
                </c:pt>
                <c:pt idx="4">
                  <c:v>São Paulo Transportes - SPTRANS</c:v>
                </c:pt>
                <c:pt idx="5">
                  <c:v>Companhia de Engenharia de Tráfego - CET</c:v>
                </c:pt>
                <c:pt idx="6">
                  <c:v>Secretaria Municipal da Fazenda</c:v>
                </c:pt>
                <c:pt idx="7">
                  <c:v>Secretaria Municipal de Educação</c:v>
                </c:pt>
                <c:pt idx="8">
                  <c:v>Subprefeitura Lapa</c:v>
                </c:pt>
                <c:pt idx="9">
                  <c:v>Órgão externo</c:v>
                </c:pt>
              </c:strCache>
            </c:strRef>
          </c:cat>
          <c:val>
            <c:numRef>
              <c:f>'10_Unidades+_demandados__MAR_23'!$B$7:$B$16</c:f>
              <c:numCache>
                <c:formatCode>General</c:formatCode>
                <c:ptCount val="10"/>
                <c:pt idx="0">
                  <c:v>1034</c:v>
                </c:pt>
                <c:pt idx="1">
                  <c:v>572</c:v>
                </c:pt>
                <c:pt idx="2">
                  <c:v>332</c:v>
                </c:pt>
                <c:pt idx="3">
                  <c:v>247</c:v>
                </c:pt>
                <c:pt idx="4">
                  <c:v>238</c:v>
                </c:pt>
                <c:pt idx="5">
                  <c:v>231</c:v>
                </c:pt>
                <c:pt idx="6">
                  <c:v>222</c:v>
                </c:pt>
                <c:pt idx="7">
                  <c:v>183</c:v>
                </c:pt>
                <c:pt idx="8">
                  <c:v>91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805-465D-9E70-E1245C6F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698799"/>
        <c:axId val="1819698383"/>
      </c:barChart>
      <c:valAx>
        <c:axId val="1819698383"/>
        <c:scaling>
          <c:orientation val="minMax"/>
          <c:max val="1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799"/>
        <c:crosses val="autoZero"/>
        <c:crossBetween val="between"/>
        <c:majorUnit val="250"/>
      </c:valAx>
      <c:catAx>
        <c:axId val="181969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8383"/>
        <c:crosses val="autoZero"/>
        <c:auto val="1"/>
        <c:lblAlgn val="ctr"/>
        <c:lblOffset val="100"/>
        <c:tickLblSkip val="1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Média e % de protocolos/subprefeitura em 2023 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8700327255726974E-2"/>
          <c:y val="0.10441090025037193"/>
          <c:w val="0.98129967274427299"/>
          <c:h val="0.803477387907156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Subprefeituras_2023!$P$4:$P$4</c:f>
              <c:strCache>
                <c:ptCount val="1"/>
                <c:pt idx="0">
                  <c:v>% Total dentre as subprefeituras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Subprefeituras_2023!$P$5:$P$36</c:f>
              <c:numCache>
                <c:formatCode>0.0</c:formatCode>
                <c:ptCount val="32"/>
                <c:pt idx="0">
                  <c:v>2.3639123834309261</c:v>
                </c:pt>
                <c:pt idx="1">
                  <c:v>4.9230101930166992</c:v>
                </c:pt>
                <c:pt idx="2">
                  <c:v>4.0338321405335069</c:v>
                </c:pt>
                <c:pt idx="3">
                  <c:v>2.9711559314682283</c:v>
                </c:pt>
                <c:pt idx="4">
                  <c:v>3.2097158967685968</c:v>
                </c:pt>
                <c:pt idx="5">
                  <c:v>3.2314031663413574</c:v>
                </c:pt>
                <c:pt idx="6">
                  <c:v>0.78074170461938841</c:v>
                </c:pt>
                <c:pt idx="7">
                  <c:v>1.1060507482108002</c:v>
                </c:pt>
                <c:pt idx="8">
                  <c:v>1.8000433745391458</c:v>
                </c:pt>
                <c:pt idx="9">
                  <c:v>0.95423986120147464</c:v>
                </c:pt>
                <c:pt idx="10">
                  <c:v>4.315766644979397</c:v>
                </c:pt>
                <c:pt idx="11">
                  <c:v>2.4072869225764477</c:v>
                </c:pt>
                <c:pt idx="12">
                  <c:v>4.2507048362611144</c:v>
                </c:pt>
                <c:pt idx="13">
                  <c:v>1.9518542615484711</c:v>
                </c:pt>
                <c:pt idx="14">
                  <c:v>1.756668835393624</c:v>
                </c:pt>
                <c:pt idx="15">
                  <c:v>8.0676642810670138</c:v>
                </c:pt>
                <c:pt idx="16">
                  <c:v>1.9952288006939927</c:v>
                </c:pt>
                <c:pt idx="17">
                  <c:v>5.0748210800260249</c:v>
                </c:pt>
                <c:pt idx="18">
                  <c:v>0.88917805248319226</c:v>
                </c:pt>
                <c:pt idx="19">
                  <c:v>5.4651919323357188</c:v>
                </c:pt>
                <c:pt idx="20">
                  <c:v>0.71567989590110603</c:v>
                </c:pt>
                <c:pt idx="21">
                  <c:v>3.6217740186510521</c:v>
                </c:pt>
                <c:pt idx="22">
                  <c:v>3.6651485577965737</c:v>
                </c:pt>
                <c:pt idx="23">
                  <c:v>3.8820212535241816</c:v>
                </c:pt>
                <c:pt idx="24">
                  <c:v>5.0314465408805038</c:v>
                </c:pt>
                <c:pt idx="25">
                  <c:v>2.3855996530036871</c:v>
                </c:pt>
                <c:pt idx="26">
                  <c:v>1.3879852526566905</c:v>
                </c:pt>
                <c:pt idx="27">
                  <c:v>1.626545217957059</c:v>
                </c:pt>
                <c:pt idx="28">
                  <c:v>5.6170028193450445</c:v>
                </c:pt>
                <c:pt idx="29">
                  <c:v>2.6892214270223378</c:v>
                </c:pt>
                <c:pt idx="30">
                  <c:v>4.5760138798525265</c:v>
                </c:pt>
                <c:pt idx="31">
                  <c:v>3.253090435914118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78-4098-9248-5CB731BF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9701295"/>
        <c:axId val="1819700879"/>
      </c:barChart>
      <c:lineChart>
        <c:grouping val="standard"/>
        <c:varyColors val="0"/>
        <c:ser>
          <c:idx val="1"/>
          <c:order val="1"/>
          <c:tx>
            <c:strRef>
              <c:f>Subprefeituras_2023!$O$4:$O$4</c:f>
              <c:strCache>
                <c:ptCount val="1"/>
                <c:pt idx="0">
                  <c:v>Média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</c:spPr>
          <c:marker>
            <c:symbol val="none"/>
          </c:marker>
          <c:cat>
            <c:strRef>
              <c:f>Subprefeituras_2023!$A$5:$A$36</c:f>
              <c:strCache>
                <c:ptCount val="32"/>
                <c:pt idx="0">
                  <c:v>Aricanduva</c:v>
                </c:pt>
                <c:pt idx="1">
                  <c:v>Butantã</c:v>
                </c:pt>
                <c:pt idx="2">
                  <c:v>Campo Limpo</c:v>
                </c:pt>
                <c:pt idx="3">
                  <c:v>Capela do Socorro</c:v>
                </c:pt>
                <c:pt idx="4">
                  <c:v>Casa Verde</c:v>
                </c:pt>
                <c:pt idx="5">
                  <c:v>Cidade Ademar</c:v>
                </c:pt>
                <c:pt idx="6">
                  <c:v>Cidade Tiradentes</c:v>
                </c:pt>
                <c:pt idx="7">
                  <c:v>Ermelino Matarazzo</c:v>
                </c:pt>
                <c:pt idx="8">
                  <c:v>Freguesia/Brasilândia</c:v>
                </c:pt>
                <c:pt idx="9">
                  <c:v>Guaianases</c:v>
                </c:pt>
                <c:pt idx="10">
                  <c:v>Ipiranga</c:v>
                </c:pt>
                <c:pt idx="11">
                  <c:v>Itaim Paulista</c:v>
                </c:pt>
                <c:pt idx="12">
                  <c:v>Itaquera</c:v>
                </c:pt>
                <c:pt idx="13">
                  <c:v>Jabaquara</c:v>
                </c:pt>
                <c:pt idx="14">
                  <c:v>Jaçanã/Tremembé</c:v>
                </c:pt>
                <c:pt idx="15">
                  <c:v>Lapa</c:v>
                </c:pt>
                <c:pt idx="16">
                  <c:v>M'Boi Mirim</c:v>
                </c:pt>
                <c:pt idx="17">
                  <c:v>Mooca</c:v>
                </c:pt>
                <c:pt idx="18">
                  <c:v>Parelheiros</c:v>
                </c:pt>
                <c:pt idx="19">
                  <c:v>Penha</c:v>
                </c:pt>
                <c:pt idx="20">
                  <c:v>Perus</c:v>
                </c:pt>
                <c:pt idx="21">
                  <c:v>Pinheiros</c:v>
                </c:pt>
                <c:pt idx="22">
                  <c:v>Pirituba/Jaraguá</c:v>
                </c:pt>
                <c:pt idx="23">
                  <c:v>Santana/Tucuruvi</c:v>
                </c:pt>
                <c:pt idx="24">
                  <c:v>Santo Amaro</c:v>
                </c:pt>
                <c:pt idx="25">
                  <c:v>São Mateus</c:v>
                </c:pt>
                <c:pt idx="26">
                  <c:v>São Miguel Paulista</c:v>
                </c:pt>
                <c:pt idx="27">
                  <c:v>Sapopemba</c:v>
                </c:pt>
                <c:pt idx="28">
                  <c:v>Sé</c:v>
                </c:pt>
                <c:pt idx="29">
                  <c:v>Vila Maria/Vila Guilherme</c:v>
                </c:pt>
                <c:pt idx="30">
                  <c:v>Vila Mariana</c:v>
                </c:pt>
                <c:pt idx="31">
                  <c:v>Vila Prudente</c:v>
                </c:pt>
              </c:strCache>
            </c:strRef>
          </c:cat>
          <c:val>
            <c:numRef>
              <c:f>Subprefeituras_2023!$O$5:$O$36</c:f>
              <c:numCache>
                <c:formatCode>0</c:formatCode>
                <c:ptCount val="32"/>
                <c:pt idx="0">
                  <c:v>27.25</c:v>
                </c:pt>
                <c:pt idx="1">
                  <c:v>56.75</c:v>
                </c:pt>
                <c:pt idx="2">
                  <c:v>46.5</c:v>
                </c:pt>
                <c:pt idx="3">
                  <c:v>34.25</c:v>
                </c:pt>
                <c:pt idx="4">
                  <c:v>37</c:v>
                </c:pt>
                <c:pt idx="5">
                  <c:v>37.25</c:v>
                </c:pt>
                <c:pt idx="6">
                  <c:v>9</c:v>
                </c:pt>
                <c:pt idx="7">
                  <c:v>12.75</c:v>
                </c:pt>
                <c:pt idx="8">
                  <c:v>20.75</c:v>
                </c:pt>
                <c:pt idx="9">
                  <c:v>11</c:v>
                </c:pt>
                <c:pt idx="10">
                  <c:v>49.75</c:v>
                </c:pt>
                <c:pt idx="11">
                  <c:v>27.75</c:v>
                </c:pt>
                <c:pt idx="12">
                  <c:v>49</c:v>
                </c:pt>
                <c:pt idx="13">
                  <c:v>22.5</c:v>
                </c:pt>
                <c:pt idx="14">
                  <c:v>20.25</c:v>
                </c:pt>
                <c:pt idx="15">
                  <c:v>93</c:v>
                </c:pt>
                <c:pt idx="16">
                  <c:v>23</c:v>
                </c:pt>
                <c:pt idx="17">
                  <c:v>58.5</c:v>
                </c:pt>
                <c:pt idx="18">
                  <c:v>10.25</c:v>
                </c:pt>
                <c:pt idx="19">
                  <c:v>63</c:v>
                </c:pt>
                <c:pt idx="20">
                  <c:v>8.25</c:v>
                </c:pt>
                <c:pt idx="21">
                  <c:v>41.75</c:v>
                </c:pt>
                <c:pt idx="22">
                  <c:v>42.25</c:v>
                </c:pt>
                <c:pt idx="23">
                  <c:v>44.75</c:v>
                </c:pt>
                <c:pt idx="24">
                  <c:v>58</c:v>
                </c:pt>
                <c:pt idx="25">
                  <c:v>27.5</c:v>
                </c:pt>
                <c:pt idx="26">
                  <c:v>16</c:v>
                </c:pt>
                <c:pt idx="27">
                  <c:v>18.75</c:v>
                </c:pt>
                <c:pt idx="28">
                  <c:v>64.75</c:v>
                </c:pt>
                <c:pt idx="29">
                  <c:v>31</c:v>
                </c:pt>
                <c:pt idx="30">
                  <c:v>52.75</c:v>
                </c:pt>
                <c:pt idx="31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78-4098-9248-5CB731BF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9696719"/>
        <c:axId val="1819697551"/>
      </c:lineChart>
      <c:valAx>
        <c:axId val="181969755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6719"/>
        <c:crosses val="autoZero"/>
        <c:crossBetween val="between"/>
      </c:valAx>
      <c:catAx>
        <c:axId val="1819696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697551"/>
        <c:crosses val="autoZero"/>
        <c:auto val="1"/>
        <c:lblAlgn val="ctr"/>
        <c:lblOffset val="100"/>
        <c:noMultiLvlLbl val="0"/>
      </c:catAx>
      <c:valAx>
        <c:axId val="1819700879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1295"/>
        <c:crosses val="max"/>
        <c:crossBetween val="between"/>
      </c:valAx>
      <c:catAx>
        <c:axId val="18197012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1970087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365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de manifestação -Total - 2023</a:t>
            </a:r>
          </a:p>
        </c:rich>
      </c:tx>
      <c:layout>
        <c:manualLayout>
          <c:xMode val="edge"/>
          <c:yMode val="edge"/>
          <c:x val="0.18135778909989192"/>
          <c:y val="1.451341104884412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4.4305944109927435E-2"/>
          <c:y val="0.21393771724480387"/>
          <c:w val="0.59133154238073182"/>
          <c:h val="0.7657928794936668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E161-4862-9DF0-204F09DD44AB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161-4862-9DF0-204F09DD44AB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E161-4862-9DF0-204F09DD44A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161-4862-9DF0-204F09DD44AB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E161-4862-9DF0-204F09DD44AB}"/>
              </c:ext>
            </c:extLst>
          </c:dPt>
          <c:dLbls>
            <c:dLbl>
              <c:idx val="0"/>
              <c:layout>
                <c:manualLayout>
                  <c:x val="-1.4652069048078975E-2"/>
                  <c:y val="5.5403434930994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61-4862-9DF0-204F09DD44AB}"/>
                </c:ext>
              </c:extLst>
            </c:dLbl>
            <c:dLbl>
              <c:idx val="1"/>
              <c:layout>
                <c:manualLayout>
                  <c:x val="-1.6668449331386781E-3"/>
                  <c:y val="-2.7362165314921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61-4862-9DF0-204F09DD44AB}"/>
                </c:ext>
              </c:extLst>
            </c:dLbl>
            <c:dLbl>
              <c:idx val="2"/>
              <c:layout>
                <c:manualLayout>
                  <c:x val="-4.1648266319072536E-2"/>
                  <c:y val="-0.23539444956767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61-4862-9DF0-204F09DD44AB}"/>
                </c:ext>
              </c:extLst>
            </c:dLbl>
            <c:dLbl>
              <c:idx val="3"/>
              <c:layout>
                <c:manualLayout>
                  <c:x val="2.5845078578432629E-2"/>
                  <c:y val="8.7869601885349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61-4862-9DF0-204F09DD44AB}"/>
                </c:ext>
              </c:extLst>
            </c:dLbl>
            <c:dLbl>
              <c:idx val="4"/>
              <c:layout>
                <c:manualLayout>
                  <c:x val="-6.1091298098498448E-2"/>
                  <c:y val="-3.9396561916246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61-4862-9DF0-204F09DD44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Protocolos!$D$19:$D$23</c:f>
              <c:strCache>
                <c:ptCount val="5"/>
                <c:pt idx="0">
                  <c:v>Denúncia</c:v>
                </c:pt>
                <c:pt idx="1">
                  <c:v>Elogio</c:v>
                </c:pt>
                <c:pt idx="2">
                  <c:v>Reclamação</c:v>
                </c:pt>
                <c:pt idx="3">
                  <c:v>Solicitação</c:v>
                </c:pt>
                <c:pt idx="4">
                  <c:v>Sugestão</c:v>
                </c:pt>
              </c:strCache>
            </c:strRef>
          </c:cat>
          <c:val>
            <c:numRef>
              <c:f>Protocolos!$R$19:$R$23</c:f>
              <c:numCache>
                <c:formatCode>0.0</c:formatCode>
                <c:ptCount val="5"/>
                <c:pt idx="0">
                  <c:v>2.718940936863544</c:v>
                </c:pt>
                <c:pt idx="1">
                  <c:v>1.3645621181262728</c:v>
                </c:pt>
                <c:pt idx="2">
                  <c:v>89.0224032586558</c:v>
                </c:pt>
                <c:pt idx="3">
                  <c:v>5.4175152749490838</c:v>
                </c:pt>
                <c:pt idx="4">
                  <c:v>1.4765784114052953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44-45F2-8CCA-28CB4C83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222961247491125"/>
          <c:y val="0.3312137334184578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5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7347861657607959E-2"/>
          <c:y val="0.13160381268130958"/>
          <c:w val="0.92594697592887842"/>
          <c:h val="0.8462584497904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'10_SUB''s_+_demandadas_2023'!$O$6:$O$6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9DC6-4F4D-8B0E-7EB5547A3EA9}"/>
              </c:ext>
            </c:extLst>
          </c:dPt>
          <c:dPt>
            <c:idx val="1"/>
            <c:invertIfNegative val="0"/>
            <c:bubble3D val="0"/>
            <c:spPr>
              <a:solidFill>
                <a:srgbClr val="AA464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DC6-4F4D-8B0E-7EB5547A3EA9}"/>
              </c:ext>
            </c:extLst>
          </c:dPt>
          <c:dPt>
            <c:idx val="2"/>
            <c:invertIfNegative val="0"/>
            <c:bubble3D val="0"/>
            <c:spPr>
              <a:solidFill>
                <a:srgbClr val="66FF6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9DC6-4F4D-8B0E-7EB5547A3EA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9DC6-4F4D-8B0E-7EB5547A3EA9}"/>
              </c:ext>
            </c:extLst>
          </c:dPt>
          <c:dPt>
            <c:idx val="4"/>
            <c:invertIfNegative val="0"/>
            <c:bubble3D val="0"/>
            <c:spPr>
              <a:solidFill>
                <a:srgbClr val="FCD5B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9DC6-4F4D-8B0E-7EB5547A3EA9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9DC6-4F4D-8B0E-7EB5547A3EA9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9DC6-4F4D-8B0E-7EB5547A3EA9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9DC6-4F4D-8B0E-7EB5547A3EA9}"/>
              </c:ext>
            </c:extLst>
          </c:dPt>
          <c:dPt>
            <c:idx val="8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9DC6-4F4D-8B0E-7EB5547A3EA9}"/>
              </c:ext>
            </c:extLst>
          </c:dPt>
          <c:dPt>
            <c:idx val="9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9DC6-4F4D-8B0E-7EB5547A3EA9}"/>
              </c:ext>
            </c:extLst>
          </c:dPt>
          <c:cat>
            <c:strRef>
              <c:f>'10_SUB''s_+_demandadas_2023'!$A$7:$A$16</c:f>
              <c:strCache>
                <c:ptCount val="10"/>
                <c:pt idx="0">
                  <c:v>Lapa</c:v>
                </c:pt>
                <c:pt idx="1">
                  <c:v>Sé</c:v>
                </c:pt>
                <c:pt idx="2">
                  <c:v>Penha</c:v>
                </c:pt>
                <c:pt idx="3">
                  <c:v>Mooca</c:v>
                </c:pt>
                <c:pt idx="4">
                  <c:v>Santo Amaro</c:v>
                </c:pt>
                <c:pt idx="5">
                  <c:v>Butantã</c:v>
                </c:pt>
                <c:pt idx="6">
                  <c:v>Vila Mariana</c:v>
                </c:pt>
                <c:pt idx="7">
                  <c:v>Ipiranga</c:v>
                </c:pt>
                <c:pt idx="8">
                  <c:v>Itaquera</c:v>
                </c:pt>
                <c:pt idx="9">
                  <c:v>Campo Limpo</c:v>
                </c:pt>
              </c:strCache>
            </c:strRef>
          </c:cat>
          <c:val>
            <c:numRef>
              <c:f>'10_SUB''s_+_demandadas_2023'!$O$7:$O$16</c:f>
              <c:numCache>
                <c:formatCode>0</c:formatCode>
                <c:ptCount val="10"/>
                <c:pt idx="0">
                  <c:v>93</c:v>
                </c:pt>
                <c:pt idx="1">
                  <c:v>64.75</c:v>
                </c:pt>
                <c:pt idx="2">
                  <c:v>63</c:v>
                </c:pt>
                <c:pt idx="3">
                  <c:v>58.5</c:v>
                </c:pt>
                <c:pt idx="4">
                  <c:v>58</c:v>
                </c:pt>
                <c:pt idx="5">
                  <c:v>56.75</c:v>
                </c:pt>
                <c:pt idx="6">
                  <c:v>52.75</c:v>
                </c:pt>
                <c:pt idx="7">
                  <c:v>49.75</c:v>
                </c:pt>
                <c:pt idx="8">
                  <c:v>49</c:v>
                </c:pt>
                <c:pt idx="9">
                  <c:v>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7D-4425-BFD8-AA74DC2F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55727"/>
        <c:axId val="1819702127"/>
      </c:barChart>
      <c:valAx>
        <c:axId val="1819702127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5727"/>
        <c:crosses val="autoZero"/>
        <c:crossBetween val="between"/>
      </c:valAx>
      <c:catAx>
        <c:axId val="181845572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9702127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Subprefeituras - % em relação ao todo de ABRIL/23 (exetuando-se denúncias)</a:t>
            </a:r>
          </a:p>
        </c:rich>
      </c:tx>
      <c:layout>
        <c:manualLayout>
          <c:xMode val="edge"/>
          <c:yMode val="edge"/>
          <c:x val="9.995329111152558E-2"/>
          <c:y val="2.7777777777777776E-2"/>
        </c:manualLayout>
      </c:layout>
      <c:overlay val="0"/>
      <c:spPr>
        <a:noFill/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v>Série14</c:v>
          </c:tx>
          <c:dPt>
            <c:idx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43-4815-A4C1-691CCC41253A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43-4815-A4C1-691CCC41253A}"/>
              </c:ext>
            </c:extLst>
          </c:dPt>
          <c:dPt>
            <c:idx val="2"/>
            <c:bubble3D val="0"/>
            <c:spPr>
              <a:solidFill>
                <a:srgbClr val="92929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43-4815-A4C1-691CCC41253A}"/>
              </c:ext>
            </c:extLst>
          </c:dPt>
          <c:dPt>
            <c:idx val="3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43-4815-A4C1-691CCC41253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43-4815-A4C1-691CCC41253A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43-4815-A4C1-691CCC41253A}"/>
              </c:ext>
            </c:extLst>
          </c:dPt>
          <c:dPt>
            <c:idx val="6"/>
            <c:bubble3D val="0"/>
            <c:spPr>
              <a:solidFill>
                <a:srgbClr val="8FA2D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43-4815-A4C1-691CCC41253A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43-4815-A4C1-691CCC41253A}"/>
              </c:ext>
            </c:extLst>
          </c:dPt>
          <c:dPt>
            <c:idx val="8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43-4815-A4C1-691CCC41253A}"/>
              </c:ext>
            </c:extLst>
          </c:dPt>
          <c:dPt>
            <c:idx val="9"/>
            <c:bubble3D val="0"/>
            <c:spPr>
              <a:solidFill>
                <a:srgbClr val="FFD18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AA43-4815-A4C1-691CCC41253A}"/>
              </c:ext>
            </c:extLst>
          </c:dPt>
          <c:dPt>
            <c:idx val="10"/>
            <c:bubble3D val="0"/>
            <c:spPr>
              <a:solidFill>
                <a:srgbClr val="9900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AA43-4815-A4C1-691CCC41253A}"/>
              </c:ext>
            </c:extLst>
          </c:dPt>
          <c:dPt>
            <c:idx val="11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AA43-4815-A4C1-691CCC41253A}"/>
              </c:ext>
            </c:extLst>
          </c:dPt>
          <c:dLbls>
            <c:dLbl>
              <c:idx val="2"/>
              <c:layout>
                <c:manualLayout>
                  <c:x val="0.11387430509677332"/>
                  <c:y val="0.449863454568178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A43-4815-A4C1-691CCC41253A}"/>
                </c:ext>
              </c:extLst>
            </c:dLbl>
            <c:dLbl>
              <c:idx val="4"/>
              <c:layout>
                <c:manualLayout>
                  <c:x val="7.9496425472012966E-2"/>
                  <c:y val="0.182479690038745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43-4815-A4C1-691CCC41253A}"/>
                </c:ext>
              </c:extLst>
            </c:dLbl>
            <c:dLbl>
              <c:idx val="5"/>
              <c:layout>
                <c:manualLayout>
                  <c:x val="0.12318124612026382"/>
                  <c:y val="0.11831739782527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43-4815-A4C1-691CCC41253A}"/>
                </c:ext>
              </c:extLst>
            </c:dLbl>
            <c:dLbl>
              <c:idx val="6"/>
              <c:layout>
                <c:manualLayout>
                  <c:x val="0.18370640274794148"/>
                  <c:y val="0.10269747531558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43-4815-A4C1-691CCC41253A}"/>
                </c:ext>
              </c:extLst>
            </c:dLbl>
            <c:dLbl>
              <c:idx val="9"/>
              <c:layout>
                <c:manualLayout>
                  <c:x val="0.20424892341304646"/>
                  <c:y val="0.285848643919509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43-4815-A4C1-691CCC41253A}"/>
                </c:ext>
              </c:extLst>
            </c:dLbl>
            <c:dLbl>
              <c:idx val="10"/>
              <c:layout>
                <c:manualLayout>
                  <c:x val="-0.16288133104447397"/>
                  <c:y val="-0.329762217222847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1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A-AA43-4815-A4C1-691CCC41253A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1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43-4815-A4C1-691CCC412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Lit>
              <c:ptCount val="11"/>
              <c:pt idx="0">
                <c:v>Lapa</c:v>
              </c:pt>
              <c:pt idx="1">
                <c:v>Sé</c:v>
              </c:pt>
              <c:pt idx="2">
                <c:v>Penha</c:v>
              </c:pt>
              <c:pt idx="3">
                <c:v>Mooca</c:v>
              </c:pt>
              <c:pt idx="4">
                <c:v>Santo Amaro</c:v>
              </c:pt>
              <c:pt idx="5">
                <c:v>Butantã</c:v>
              </c:pt>
              <c:pt idx="6">
                <c:v>Vila Mariana</c:v>
              </c:pt>
              <c:pt idx="7">
                <c:v>Ipiranga</c:v>
              </c:pt>
              <c:pt idx="8">
                <c:v>Itaquera</c:v>
              </c:pt>
              <c:pt idx="9">
                <c:v>Campo Limpo</c:v>
              </c:pt>
              <c:pt idx="10">
                <c:v>Outros</c:v>
              </c:pt>
            </c:strLit>
          </c:cat>
          <c:val>
            <c:numLit>
              <c:formatCode>General</c:formatCode>
              <c:ptCount val="11"/>
              <c:pt idx="0">
                <c:v>1.9415404309793045</c:v>
              </c:pt>
              <c:pt idx="1">
                <c:v>1.3441433752933647</c:v>
              </c:pt>
              <c:pt idx="2">
                <c:v>1.2588009387668018</c:v>
              </c:pt>
              <c:pt idx="3">
                <c:v>1.0881160657136761</c:v>
              </c:pt>
              <c:pt idx="4">
                <c:v>1.472157030083209</c:v>
              </c:pt>
              <c:pt idx="5">
                <c:v>1.1094516748453169</c:v>
              </c:pt>
              <c:pt idx="6">
                <c:v>0.83208875613398758</c:v>
              </c:pt>
              <c:pt idx="7">
                <c:v>1.0667804565820354</c:v>
              </c:pt>
              <c:pt idx="8">
                <c:v>0.96010241092383186</c:v>
              </c:pt>
              <c:pt idx="9">
                <c:v>0.85342436526562837</c:v>
              </c:pt>
              <c:pt idx="10">
                <c:v>88.073394495412842</c:v>
              </c:pt>
            </c:numLit>
          </c:val>
          <c:extLst>
            <c:ext xmlns:c16="http://schemas.microsoft.com/office/drawing/2014/chart" uri="{C3380CC4-5D6E-409C-BE32-E72D297353CC}">
              <c16:uniqueId val="{00000018-F897-441F-9201-F4E8AED3AB4B}"/>
            </c:ext>
          </c:extLst>
        </c:ser>
        <c:ser>
          <c:idx val="1"/>
          <c:order val="1"/>
          <c:tx>
            <c:v>Série1</c:v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AA43-4815-A4C1-691CCC41253A}"/>
              </c:ext>
            </c:extLst>
          </c:dPt>
          <c:dPt>
            <c:idx val="1"/>
            <c:bubble3D val="0"/>
            <c:spPr>
              <a:solidFill>
                <a:srgbClr val="D26E2A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AA43-4815-A4C1-691CCC41253A}"/>
              </c:ext>
            </c:extLst>
          </c:dP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D-F897-441F-9201-F4E8AED3A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8354236642149907"/>
          <c:y val="0.1266269841269841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9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6088686282635725E-2"/>
          <c:y val="0.10013597313992807"/>
          <c:w val="0.98391062301422838"/>
          <c:h val="0.82701062215477994"/>
        </c:manualLayout>
      </c:layout>
      <c:radarChart>
        <c:radarStyle val="marker"/>
        <c:varyColors val="0"/>
        <c:ser>
          <c:idx val="0"/>
          <c:order val="0"/>
          <c:spPr>
            <a:ln>
              <a:noFill/>
            </a:ln>
          </c:spPr>
          <c:marker>
            <c:symbol val="diamond"/>
            <c:size val="5"/>
          </c:marker>
          <c:cat>
            <c:strRef>
              <c:f>Ranking_subprefeituras_ABR_23!$A$5:$A$36</c:f>
              <c:strCache>
                <c:ptCount val="32"/>
                <c:pt idx="0">
                  <c:v>Lapa</c:v>
                </c:pt>
                <c:pt idx="1">
                  <c:v>Santo Amaro</c:v>
                </c:pt>
                <c:pt idx="2">
                  <c:v>Sé</c:v>
                </c:pt>
                <c:pt idx="3">
                  <c:v>Penha</c:v>
                </c:pt>
                <c:pt idx="4">
                  <c:v>Vila Prudente</c:v>
                </c:pt>
                <c:pt idx="5">
                  <c:v>Butantã</c:v>
                </c:pt>
                <c:pt idx="6">
                  <c:v>Mooca</c:v>
                </c:pt>
                <c:pt idx="7">
                  <c:v>Ipiranga</c:v>
                </c:pt>
                <c:pt idx="8">
                  <c:v>Santana/Tucuruvi</c:v>
                </c:pt>
                <c:pt idx="9">
                  <c:v>Itaquera</c:v>
                </c:pt>
                <c:pt idx="10">
                  <c:v>Campo Limpo</c:v>
                </c:pt>
                <c:pt idx="11">
                  <c:v>Casa Verde</c:v>
                </c:pt>
                <c:pt idx="12">
                  <c:v>Vila Mariana</c:v>
                </c:pt>
                <c:pt idx="13">
                  <c:v>Cidade Ademar</c:v>
                </c:pt>
                <c:pt idx="14">
                  <c:v>Vila Maria/Vila Guilherme</c:v>
                </c:pt>
                <c:pt idx="15">
                  <c:v>Pinheiros</c:v>
                </c:pt>
                <c:pt idx="16">
                  <c:v>Capela do Socorro</c:v>
                </c:pt>
                <c:pt idx="17">
                  <c:v>Pirituba/Jaraguá</c:v>
                </c:pt>
                <c:pt idx="18">
                  <c:v>Jabaquara</c:v>
                </c:pt>
                <c:pt idx="19">
                  <c:v>Itaim Paulista</c:v>
                </c:pt>
                <c:pt idx="20">
                  <c:v>Aricanduva</c:v>
                </c:pt>
                <c:pt idx="21">
                  <c:v>Sapopemba</c:v>
                </c:pt>
                <c:pt idx="22">
                  <c:v>São Mateus</c:v>
                </c:pt>
                <c:pt idx="23">
                  <c:v>São Miguel Paulista</c:v>
                </c:pt>
                <c:pt idx="24">
                  <c:v>Cidade Tiradentes</c:v>
                </c:pt>
                <c:pt idx="25">
                  <c:v>Jaçanã/Tremembé</c:v>
                </c:pt>
                <c:pt idx="26">
                  <c:v>M'Boi Mirim</c:v>
                </c:pt>
                <c:pt idx="27">
                  <c:v>Freguesia/Brasilândia</c:v>
                </c:pt>
                <c:pt idx="28">
                  <c:v>Parelheiros</c:v>
                </c:pt>
                <c:pt idx="29">
                  <c:v>Ermelino Matarazzo</c:v>
                </c:pt>
                <c:pt idx="30">
                  <c:v>Guaianases</c:v>
                </c:pt>
                <c:pt idx="31">
                  <c:v>Perus</c:v>
                </c:pt>
              </c:strCache>
            </c:strRef>
          </c:cat>
          <c:val>
            <c:numRef>
              <c:f>Ranking_subprefeituras_ABR_23!$B$5:$B$36</c:f>
              <c:numCache>
                <c:formatCode>General</c:formatCode>
                <c:ptCount val="32"/>
                <c:pt idx="0">
                  <c:v>91</c:v>
                </c:pt>
                <c:pt idx="1">
                  <c:v>69</c:v>
                </c:pt>
                <c:pt idx="2">
                  <c:v>63</c:v>
                </c:pt>
                <c:pt idx="3">
                  <c:v>59</c:v>
                </c:pt>
                <c:pt idx="4">
                  <c:v>57</c:v>
                </c:pt>
                <c:pt idx="5">
                  <c:v>52</c:v>
                </c:pt>
                <c:pt idx="6">
                  <c:v>51</c:v>
                </c:pt>
                <c:pt idx="7">
                  <c:v>50</c:v>
                </c:pt>
                <c:pt idx="8">
                  <c:v>46</c:v>
                </c:pt>
                <c:pt idx="9">
                  <c:v>45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28</c:v>
                </c:pt>
                <c:pt idx="14">
                  <c:v>27</c:v>
                </c:pt>
                <c:pt idx="15">
                  <c:v>26</c:v>
                </c:pt>
                <c:pt idx="16">
                  <c:v>26</c:v>
                </c:pt>
                <c:pt idx="17">
                  <c:v>25</c:v>
                </c:pt>
                <c:pt idx="18">
                  <c:v>24</c:v>
                </c:pt>
                <c:pt idx="19">
                  <c:v>21</c:v>
                </c:pt>
                <c:pt idx="20">
                  <c:v>21</c:v>
                </c:pt>
                <c:pt idx="21">
                  <c:v>19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16</c:v>
                </c:pt>
                <c:pt idx="26">
                  <c:v>14</c:v>
                </c:pt>
                <c:pt idx="27">
                  <c:v>14</c:v>
                </c:pt>
                <c:pt idx="28">
                  <c:v>13</c:v>
                </c:pt>
                <c:pt idx="29">
                  <c:v>12</c:v>
                </c:pt>
                <c:pt idx="30">
                  <c:v>11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45-4BE3-8DE8-467DD4BD9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9071"/>
        <c:axId val="1820269903"/>
      </c:radarChart>
      <c:valAx>
        <c:axId val="1820269903"/>
        <c:scaling>
          <c:orientation val="minMax"/>
          <c:max val="1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071"/>
        <c:crosses val="autoZero"/>
        <c:crossBetween val="between"/>
        <c:majorUnit val="10"/>
      </c:valAx>
      <c:catAx>
        <c:axId val="182026907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990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denúncias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Denúncia_Protocolos_2023!$A$6:$A$6</c:f>
              <c:strCache>
                <c:ptCount val="1"/>
                <c:pt idx="0">
                  <c:v>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C6-42D0-A834-70BDE09BFF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C6-42D0-A834-70BDE09BFF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9C6-42D0-A834-70BDE09BFF47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Denúncia_Protocolos_2023!$B$6:$M$6</c:f>
              <c:numCache>
                <c:formatCode>General</c:formatCode>
                <c:ptCount val="12"/>
                <c:pt idx="8">
                  <c:v>49</c:v>
                </c:pt>
                <c:pt idx="9">
                  <c:v>71</c:v>
                </c:pt>
                <c:pt idx="10">
                  <c:v>40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54-4B7D-ADD7-60279D189E0E}"/>
            </c:ext>
          </c:extLst>
        </c:ser>
        <c:ser>
          <c:idx val="1"/>
          <c:order val="1"/>
          <c:tx>
            <c:strRef>
              <c:f>Denúncia_Protocolos_2023!$A$7:$A$7</c:f>
              <c:strCache>
                <c:ptCount val="1"/>
                <c:pt idx="0">
                  <c:v>Indeferidas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Denúncia_Protocolos_2023!$B$7:$M$7</c:f>
              <c:numCache>
                <c:formatCode>General</c:formatCode>
                <c:ptCount val="12"/>
                <c:pt idx="8">
                  <c:v>80</c:v>
                </c:pt>
                <c:pt idx="9">
                  <c:v>91</c:v>
                </c:pt>
                <c:pt idx="10">
                  <c:v>61</c:v>
                </c:pt>
                <c:pt idx="11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54-4B7D-ADD7-60279D189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71567"/>
        <c:axId val="1820270735"/>
      </c:lineChart>
      <c:valAx>
        <c:axId val="1820270735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567"/>
        <c:crosses val="autoZero"/>
        <c:crossBetween val="between"/>
      </c:valAx>
      <c:dateAx>
        <c:axId val="1820271567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735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333333"/>
                </a:solidFill>
                <a:uFillTx/>
                <a:latin typeface="Calibri"/>
                <a:ea typeface="Calibri"/>
                <a:cs typeface="Calibri"/>
              </a:rPr>
              <a:t>Linha do tempo protocolos - 2023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Denúncia_Protocolos_2023!$A$10:$A$10</c:f>
              <c:strCache>
                <c:ptCount val="1"/>
                <c:pt idx="0">
                  <c:v>Total denúncias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96B-491F-97F0-03126D8152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96B-491F-97F0-03126D8152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2-E96B-491F-97F0-03126D81520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3-E96B-491F-97F0-03126D81520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4-E96B-491F-97F0-03126D81520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5-E96B-491F-97F0-03126D81520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6-E96B-491F-97F0-03126D81520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7-E96B-491F-97F0-03126D81520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8-E96B-491F-97F0-03126D81520D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9-E96B-491F-97F0-03126D81520D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A-E96B-491F-97F0-03126D81520D}"/>
              </c:ext>
            </c:extLst>
          </c:dPt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Denúncia_Protocolos_2023!$B$10:$M$10</c:f>
              <c:numCache>
                <c:formatCode>General</c:formatCode>
                <c:ptCount val="12"/>
                <c:pt idx="8">
                  <c:v>129</c:v>
                </c:pt>
                <c:pt idx="9">
                  <c:v>164</c:v>
                </c:pt>
                <c:pt idx="10">
                  <c:v>102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4BC-4281-A78B-A689AFBF81D2}"/>
            </c:ext>
          </c:extLst>
        </c:ser>
        <c:ser>
          <c:idx val="1"/>
          <c:order val="1"/>
          <c:tx>
            <c:strRef>
              <c:f>Denúncia_Protocolos_2023!$A$13:$A$13</c:f>
              <c:strCache>
                <c:ptCount val="1"/>
                <c:pt idx="0">
                  <c:v>Reclassificadas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numRef>
              <c:f>Denúncia_Protocolos_2023!$B$4:$M$4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45108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Denúncia_Protocolos_2023!$B$13:$M$13</c:f>
              <c:numCache>
                <c:formatCode>General</c:formatCode>
                <c:ptCount val="12"/>
                <c:pt idx="8">
                  <c:v>120</c:v>
                </c:pt>
                <c:pt idx="9">
                  <c:v>149</c:v>
                </c:pt>
                <c:pt idx="10">
                  <c:v>143</c:v>
                </c:pt>
                <c:pt idx="11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4BC-4281-A78B-A689AFBF8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0267823"/>
        <c:axId val="1820267407"/>
      </c:lineChart>
      <c:valAx>
        <c:axId val="1820267407"/>
        <c:scaling>
          <c:orientation val="minMax"/>
          <c:max val="30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823"/>
        <c:crosses val="autoZero"/>
        <c:crossBetween val="between"/>
      </c:valAx>
      <c:dateAx>
        <c:axId val="1820267823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7407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1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4.69069621755967E-2"/>
          <c:y val="0.19476964605527702"/>
          <c:w val="0.92022857429525506"/>
          <c:h val="0.77051550254583367"/>
        </c:manualLayout>
      </c:layout>
      <c:pieChart>
        <c:varyColors val="1"/>
        <c:ser>
          <c:idx val="0"/>
          <c:order val="0"/>
          <c:tx>
            <c:v>% Total 2023</c:v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8186-476F-98B1-A212542329A5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8186-476F-98B1-A212542329A5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8186-476F-98B1-A212542329A5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8186-476F-98B1-A212542329A5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8186-476F-98B1-A212542329A5}"/>
              </c:ext>
            </c:extLst>
          </c:dPt>
          <c:dLbls>
            <c:dLbl>
              <c:idx val="1"/>
              <c:layout>
                <c:manualLayout>
                  <c:x val="0.10078390990281394"/>
                  <c:y val="-0.343022749602182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86-476F-98B1-A212542329A5}"/>
                </c:ext>
              </c:extLst>
            </c:dLbl>
            <c:dLbl>
              <c:idx val="2"/>
              <c:layout>
                <c:manualLayout>
                  <c:x val="0.31077600132380462"/>
                  <c:y val="-1.34931383183638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86-476F-98B1-A212542329A5}"/>
                </c:ext>
              </c:extLst>
            </c:dLbl>
            <c:numFmt formatCode="#,000%" sourceLinked="0"/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Lit>
              <c:ptCount val="4"/>
              <c:pt idx="0">
                <c:v>Deferidas</c:v>
              </c:pt>
              <c:pt idx="1">
                <c:v>Indeferidas</c:v>
              </c:pt>
              <c:pt idx="2">
                <c:v>Canceladas</c:v>
              </c:pt>
              <c:pt idx="3">
                <c:v>Reclassificadas</c:v>
              </c:pt>
            </c:strLit>
          </c:cat>
          <c:val>
            <c:numLit>
              <c:formatCode>General</c:formatCode>
              <c:ptCount val="4"/>
              <c:pt idx="0">
                <c:v>18.714555765595463</c:v>
              </c:pt>
              <c:pt idx="1">
                <c:v>31.379962192816635</c:v>
              </c:pt>
              <c:pt idx="2">
                <c:v>0.3780718336483932</c:v>
              </c:pt>
              <c:pt idx="3">
                <c:v>49.527410207939511</c:v>
              </c:pt>
            </c:numLit>
          </c:val>
          <c:extLst>
            <c:ext xmlns:c16="http://schemas.microsoft.com/office/drawing/2014/chart" uri="{C3380CC4-5D6E-409C-BE32-E72D297353CC}">
              <c16:uniqueId val="{0000000A-50C1-424C-B5EF-8008E8BEA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1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Status - Protocolos aceitos como denúncias 2023 </a:t>
            </a:r>
          </a:p>
        </c:rich>
      </c:tx>
      <c:layout>
        <c:manualLayout>
          <c:xMode val="edge"/>
          <c:yMode val="edge"/>
          <c:x val="0.12258811017215199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6674512919408263"/>
          <c:y val="0.11623805899387629"/>
          <c:w val="0.50790822831442251"/>
          <c:h val="0.76412942889715163"/>
        </c:manualLayout>
      </c:layout>
      <c:pieChart>
        <c:varyColors val="1"/>
        <c:ser>
          <c:idx val="0"/>
          <c:order val="0"/>
          <c:tx>
            <c:strRef>
              <c:f>Denúncia_Protocolos_2023!$N$4:$N$4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E68-4036-B66A-C0CD46E7465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68-4036-B66A-C0CD46E746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Denúncia_Protocolos_2023!$A$6:$A$7</c:f>
              <c:strCache>
                <c:ptCount val="2"/>
                <c:pt idx="0">
                  <c:v>Deferidas</c:v>
                </c:pt>
                <c:pt idx="1">
                  <c:v>Indeferidas</c:v>
                </c:pt>
              </c:strCache>
            </c:strRef>
          </c:cat>
          <c:val>
            <c:numRef>
              <c:f>Denúncia_Protocolos_2023!$N$6:$N$7</c:f>
              <c:numCache>
                <c:formatCode>General</c:formatCode>
                <c:ptCount val="2"/>
                <c:pt idx="0">
                  <c:v>198</c:v>
                </c:pt>
                <c:pt idx="1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BC-4505-A123-7A210859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8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0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aceitos como denúncias 2023 - tipologia</a:t>
            </a:r>
          </a:p>
        </c:rich>
      </c:tx>
      <c:layout>
        <c:manualLayout>
          <c:xMode val="edge"/>
          <c:yMode val="edge"/>
          <c:x val="0.22355524707997329"/>
          <c:y val="2.0453435519360765E-2"/>
        </c:manualLayout>
      </c:layout>
      <c:overlay val="0"/>
      <c:spPr>
        <a:noFill/>
        <a:ln>
          <a:noFill/>
        </a:ln>
      </c:spPr>
    </c:title>
    <c:autoTitleDeleted val="0"/>
    <c:view3D>
      <c:rotX val="14"/>
      <c:rotY val="19"/>
      <c:rAngAx val="0"/>
    </c:view3D>
    <c:floor>
      <c:thickness val="0"/>
      <c:spPr>
        <a:noFill/>
        <a:ln w="6345" cap="flat">
          <a:solidFill>
            <a:srgbClr val="000000"/>
          </a:solidFill>
          <a:prstDash val="solid"/>
          <a:round/>
        </a:ln>
      </c:spPr>
    </c:floor>
    <c:sideWall>
      <c:thickness val="0"/>
      <c:spPr>
        <a:noFill/>
        <a:ln w="9528">
          <a:solidFill>
            <a:srgbClr val="000000"/>
          </a:solidFill>
          <a:prstDash val="solid"/>
        </a:ln>
      </c:spPr>
    </c:sideWall>
    <c:backWall>
      <c:thickness val="0"/>
      <c:spPr>
        <a:noFill/>
        <a:ln w="9528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Denúncia_Protocolos_2023!$A$48:$A$48</c:f>
              <c:strCache>
                <c:ptCount val="1"/>
                <c:pt idx="0">
                  <c:v>Total indeferidas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Denúncia_Protocolos_2023!$B$48:$H$48</c:f>
              <c:numCache>
                <c:formatCode>General</c:formatCode>
                <c:ptCount val="7"/>
                <c:pt idx="0">
                  <c:v>29</c:v>
                </c:pt>
                <c:pt idx="1">
                  <c:v>5</c:v>
                </c:pt>
                <c:pt idx="2">
                  <c:v>202</c:v>
                </c:pt>
                <c:pt idx="3">
                  <c:v>21</c:v>
                </c:pt>
                <c:pt idx="4">
                  <c:v>44</c:v>
                </c:pt>
                <c:pt idx="5">
                  <c:v>31</c:v>
                </c:pt>
                <c:pt idx="6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2B-4C7F-A996-E55B98FE4140}"/>
            </c:ext>
          </c:extLst>
        </c:ser>
        <c:ser>
          <c:idx val="1"/>
          <c:order val="1"/>
          <c:tx>
            <c:strRef>
              <c:f>Denúncia_Protocolos_2023!$A$63:$A$63</c:f>
              <c:strCache>
                <c:ptCount val="1"/>
                <c:pt idx="0">
                  <c:v>Total deferidas</c:v>
                </c:pt>
              </c:strCache>
            </c:strRef>
          </c:tx>
          <c:spPr>
            <a:solidFill>
              <a:srgbClr val="BED1EA"/>
            </a:solidFill>
            <a:ln>
              <a:noFill/>
            </a:ln>
          </c:spPr>
          <c:invertIfNegative val="0"/>
          <c:cat>
            <c:strRef>
              <c:f>Denúncia_Protocolos_2023!$B$34:$H$34</c:f>
              <c:strCache>
                <c:ptCount val="7"/>
                <c:pt idx="0">
                  <c:v>Assédio moral</c:v>
                </c:pt>
                <c:pt idx="1">
                  <c:v>Assédio sexual</c:v>
                </c:pt>
                <c:pt idx="2">
                  <c:v>Conduta inadequada de funcionário(a) público(a)</c:v>
                </c:pt>
                <c:pt idx="3">
                  <c:v>Desvio de verbas, materiais e bens públicos</c:v>
                </c:pt>
                <c:pt idx="4">
                  <c:v>Ilegalidade na gestão pública</c:v>
                </c:pt>
                <c:pt idx="5">
                  <c:v>Irregularidade da contratação e/ou gestão de serviço público</c:v>
                </c:pt>
                <c:pt idx="6">
                  <c:v>Total Geral</c:v>
                </c:pt>
              </c:strCache>
            </c:strRef>
          </c:cat>
          <c:val>
            <c:numRef>
              <c:f>Denúncia_Protocolos_2023!$B$63:$H$63</c:f>
              <c:numCache>
                <c:formatCode>General</c:formatCode>
                <c:ptCount val="7"/>
                <c:pt idx="0">
                  <c:v>14</c:v>
                </c:pt>
                <c:pt idx="1">
                  <c:v>16</c:v>
                </c:pt>
                <c:pt idx="2">
                  <c:v>69</c:v>
                </c:pt>
                <c:pt idx="3">
                  <c:v>9</c:v>
                </c:pt>
                <c:pt idx="4">
                  <c:v>51</c:v>
                </c:pt>
                <c:pt idx="5">
                  <c:v>39</c:v>
                </c:pt>
                <c:pt idx="6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B-4C7F-A996-E55B98FE4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820271151"/>
        <c:axId val="1820270319"/>
        <c:axId val="1789614527"/>
      </c:bar3DChart>
      <c:valAx>
        <c:axId val="18202703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1151"/>
        <c:crosses val="autoZero"/>
        <c:crossBetween val="between"/>
      </c:valAx>
      <c:catAx>
        <c:axId val="1820271151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auto val="1"/>
        <c:lblAlgn val="ctr"/>
        <c:lblOffset val="100"/>
        <c:noMultiLvlLbl val="0"/>
      </c:catAx>
      <c:serAx>
        <c:axId val="1789614527"/>
        <c:scaling>
          <c:orientation val="minMax"/>
        </c:scaling>
        <c:delete val="0"/>
        <c:axPos val="b"/>
        <c:majorGridlines>
          <c:spPr>
            <a:ln w="3172" cap="flat">
              <a:solidFill>
                <a:srgbClr val="000000"/>
              </a:solidFill>
              <a:prstDash val="solid"/>
              <a:round/>
            </a:ln>
          </c:spPr>
        </c:majorGridlines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70319"/>
        <c:crosses val="autoZero"/>
        <c:tickLblSkip val="1"/>
      </c:serAx>
      <c:spPr>
        <a:noFill/>
        <a:ln w="9528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Protocolos e-SIC 2023</a:t>
            </a:r>
          </a:p>
        </c:rich>
      </c:tx>
      <c:layout>
        <c:manualLayout>
          <c:xMode val="edge"/>
          <c:yMode val="edge"/>
          <c:x val="0.15894340130560602"/>
          <c:y val="0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8737914170985031E-3"/>
          <c:y val="0.18398966902300151"/>
          <c:w val="0.77816183233506064"/>
          <c:h val="0.80242878585863664"/>
        </c:manualLayout>
      </c:layout>
      <c:lineChart>
        <c:grouping val="standard"/>
        <c:varyColors val="0"/>
        <c:ser>
          <c:idx val="0"/>
          <c:order val="0"/>
          <c:tx>
            <c:strRef>
              <c:f>'e-SIC_2023'!$B$5:$B$5</c:f>
              <c:strCache>
                <c:ptCount val="1"/>
                <c:pt idx="0">
                  <c:v>Protocolos*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</c:marker>
          <c:trendline>
            <c:spPr>
              <a:ln w="6345" cap="rnd">
                <a:solidFill>
                  <a:srgbClr val="00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'e-SIC_2023'!$B$6:$B$17</c:f>
              <c:numCache>
                <c:formatCode>#,##0</c:formatCode>
                <c:ptCount val="12"/>
                <c:pt idx="0">
                  <c:v>728</c:v>
                </c:pt>
                <c:pt idx="1">
                  <c:v>532</c:v>
                </c:pt>
                <c:pt idx="2">
                  <c:v>728</c:v>
                </c:pt>
                <c:pt idx="3">
                  <c:v>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C8-434D-AC9C-B3432CB88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1535"/>
        <c:axId val="1825391119"/>
      </c:lineChart>
      <c:lineChart>
        <c:grouping val="standard"/>
        <c:varyColors val="0"/>
        <c:ser>
          <c:idx val="1"/>
          <c:order val="1"/>
          <c:tx>
            <c:strRef>
              <c:f>'e-SIC_2023'!$C$5:$C$5</c:f>
              <c:strCache>
                <c:ptCount val="1"/>
                <c:pt idx="0">
                  <c:v>Variação**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6"/>
          </c:marker>
          <c:dPt>
            <c:idx val="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3F3E-43D0-B58F-CB4F7AEDFC46}"/>
              </c:ext>
            </c:extLst>
          </c:dPt>
          <c:dPt>
            <c:idx val="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3F3E-43D0-B58F-CB4F7AEDFC46}"/>
              </c:ext>
            </c:extLst>
          </c:dPt>
          <c:dPt>
            <c:idx val="2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3F3E-43D0-B58F-CB4F7AEDFC46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3F3E-43D0-B58F-CB4F7AEDFC46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3F3E-43D0-B58F-CB4F7AEDFC46}"/>
              </c:ext>
            </c:extLst>
          </c:dPt>
          <c:dPt>
            <c:idx val="5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3F3E-43D0-B58F-CB4F7AEDFC46}"/>
              </c:ext>
            </c:extLst>
          </c:dPt>
          <c:dPt>
            <c:idx val="6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3F3E-43D0-B58F-CB4F7AEDFC46}"/>
              </c:ext>
            </c:extLst>
          </c:dPt>
          <c:dPt>
            <c:idx val="7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3F3E-43D0-B58F-CB4F7AEDFC46}"/>
              </c:ext>
            </c:extLst>
          </c:dPt>
          <c:dPt>
            <c:idx val="8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3F3E-43D0-B58F-CB4F7AEDFC46}"/>
              </c:ext>
            </c:extLst>
          </c:dPt>
          <c:dPt>
            <c:idx val="9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3F3E-43D0-B58F-CB4F7AEDFC46}"/>
              </c:ext>
            </c:extLst>
          </c:dPt>
          <c:dPt>
            <c:idx val="10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3F3E-43D0-B58F-CB4F7AEDFC46}"/>
              </c:ext>
            </c:extLst>
          </c:dPt>
          <c:dPt>
            <c:idx val="11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3F3E-43D0-B58F-CB4F7AEDFC46}"/>
              </c:ext>
            </c:extLst>
          </c:dPt>
          <c:cat>
            <c:numRef>
              <c:f>'e-SIC_2023'!$A$6:$A$17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'e-SIC_2023'!$C$6:$C$17</c:f>
              <c:numCache>
                <c:formatCode>0.00</c:formatCode>
                <c:ptCount val="12"/>
                <c:pt idx="0">
                  <c:v>0</c:v>
                </c:pt>
                <c:pt idx="1">
                  <c:v>-26.923076923076923</c:v>
                </c:pt>
                <c:pt idx="2">
                  <c:v>36.84210526315789</c:v>
                </c:pt>
                <c:pt idx="3">
                  <c:v>9.7527472527472536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FC8-434D-AC9C-B3432CB88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5394863"/>
        <c:axId val="1825393615"/>
      </c:lineChart>
      <c:valAx>
        <c:axId val="1825391119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 sz="1000" b="1" i="0" u="none" strike="noStrike" kern="1200" cap="none" spc="0" baseline="0">
                    <a:solidFill>
                      <a:srgbClr val="000000"/>
                    </a:solidFill>
                    <a:uFillTx/>
                    <a:latin typeface="Calibri"/>
                    <a:ea typeface="Calibri"/>
                    <a:cs typeface="Calibri"/>
                  </a:rPr>
                  <a:t>Protocolos</a:t>
                </a:r>
              </a:p>
            </c:rich>
          </c:tx>
          <c:layout>
            <c:manualLayout>
              <c:xMode val="edge"/>
              <c:yMode val="edge"/>
              <c:x val="2.0125625322475717E-2"/>
              <c:y val="9.4117212984159718E-2"/>
            </c:manualLayout>
          </c:layout>
          <c:overlay val="0"/>
          <c:spPr>
            <a:noFill/>
            <a:ln>
              <a:noFill/>
            </a:ln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535"/>
        <c:crosses val="autoZero"/>
        <c:crossBetween val="between"/>
      </c:valAx>
      <c:dateAx>
        <c:axId val="182539153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000000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000000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1119"/>
        <c:crosses val="autoZero"/>
        <c:auto val="1"/>
        <c:lblOffset val="100"/>
        <c:baseTimeUnit val="months"/>
        <c:majorUnit val="1"/>
      </c:dateAx>
      <c:valAx>
        <c:axId val="1825393615"/>
        <c:scaling>
          <c:orientation val="minMax"/>
          <c:max val="100"/>
          <c:min val="-1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5394863"/>
        <c:crosses val="max"/>
        <c:crossBetween val="between"/>
      </c:valAx>
      <c:dateAx>
        <c:axId val="182539486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825393615"/>
        <c:crosses val="autoZero"/>
        <c:auto val="1"/>
        <c:lblOffset val="100"/>
        <c:baseTimeUnit val="month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7047311393768081"/>
          <c:y val="0.3143072291682389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órgãos + demandados - MÉDIA 2023</a:t>
            </a:r>
          </a:p>
        </c:rich>
      </c:tx>
      <c:layout>
        <c:manualLayout>
          <c:xMode val="edge"/>
          <c:yMode val="edge"/>
          <c:x val="0.16432979094396416"/>
          <c:y val="1.0498687664041995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25516491382633116"/>
          <c:y val="0.14752199282176343"/>
          <c:w val="0.56175797955325513"/>
          <c:h val="0.84337418452614688"/>
        </c:manualLayout>
      </c:layout>
      <c:pieChart>
        <c:varyColors val="1"/>
        <c:ser>
          <c:idx val="0"/>
          <c:order val="0"/>
          <c:tx>
            <c:strRef>
              <c:f>'e-SIC_2023'!$P$104:$P$104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rgbClr val="3B64A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8CF-4FF2-BF6A-4B678D8B909E}"/>
              </c:ext>
            </c:extLst>
          </c:dPt>
          <c:dPt>
            <c:idx val="1"/>
            <c:bubble3D val="0"/>
            <c:spPr>
              <a:solidFill>
                <a:srgbClr val="E2F0D9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8CF-4FF2-BF6A-4B678D8B909E}"/>
              </c:ext>
            </c:extLst>
          </c:dPt>
          <c:dPt>
            <c:idx val="2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8CF-4FF2-BF6A-4B678D8B909E}"/>
              </c:ext>
            </c:extLst>
          </c:dPt>
          <c:dPt>
            <c:idx val="3"/>
            <c:bubble3D val="0"/>
            <c:spPr>
              <a:solidFill>
                <a:srgbClr val="E2AA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8CF-4FF2-BF6A-4B678D8B909E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F8CF-4FF2-BF6A-4B678D8B909E}"/>
              </c:ext>
            </c:extLst>
          </c:dPt>
          <c:dPt>
            <c:idx val="5"/>
            <c:bubble3D val="0"/>
            <c:spPr>
              <a:solidFill>
                <a:srgbClr val="62993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F8CF-4FF2-BF6A-4B678D8B909E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F8CF-4FF2-BF6A-4B678D8B909E}"/>
              </c:ext>
            </c:extLst>
          </c:dPt>
          <c:dPt>
            <c:idx val="7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F8CF-4FF2-BF6A-4B678D8B909E}"/>
              </c:ext>
            </c:extLst>
          </c:dPt>
          <c:dPt>
            <c:idx val="8"/>
            <c:bubble3D val="0"/>
            <c:spPr>
              <a:solidFill>
                <a:srgbClr val="BFBFB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F8CF-4FF2-BF6A-4B678D8B909E}"/>
              </c:ext>
            </c:extLst>
          </c:dPt>
          <c:dPt>
            <c:idx val="9"/>
            <c:bubble3D val="0"/>
            <c:spPr>
              <a:solidFill>
                <a:srgbClr val="FFF2CC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F8CF-4FF2-BF6A-4B678D8B909E}"/>
              </c:ext>
            </c:extLst>
          </c:dPt>
          <c:dLbls>
            <c:dLbl>
              <c:idx val="0"/>
              <c:layout>
                <c:manualLayout>
                  <c:x val="-7.3808158987574424E-2"/>
                  <c:y val="0.1185354192930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CF-4FF2-BF6A-4B678D8B909E}"/>
                </c:ext>
              </c:extLst>
            </c:dLbl>
            <c:dLbl>
              <c:idx val="6"/>
              <c:layout>
                <c:manualLayout>
                  <c:x val="6.5577524079462823E-2"/>
                  <c:y val="8.04538409076818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8CF-4FF2-BF6A-4B678D8B909E}"/>
                </c:ext>
              </c:extLst>
            </c:dLbl>
            <c:dLbl>
              <c:idx val="7"/>
              <c:layout>
                <c:manualLayout>
                  <c:x val="4.7931262985720979E-2"/>
                  <c:y val="0.10210097753528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CF-4FF2-BF6A-4B678D8B909E}"/>
                </c:ext>
              </c:extLst>
            </c:dLbl>
            <c:dLbl>
              <c:idx val="8"/>
              <c:layout>
                <c:manualLayout>
                  <c:x val="4.3903521549342961E-2"/>
                  <c:y val="0.10488712532980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8CF-4FF2-BF6A-4B678D8B909E}"/>
                </c:ext>
              </c:extLst>
            </c:dLbl>
            <c:dLbl>
              <c:idx val="9"/>
              <c:layout>
                <c:manualLayout>
                  <c:x val="9.7950155438487063E-3"/>
                  <c:y val="0.101445154001419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CF-4FF2-BF6A-4B678D8B9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'e-SIC_2023'!$A$105:$A$114</c:f>
              <c:strCache>
                <c:ptCount val="10"/>
                <c:pt idx="0">
                  <c:v>SMS</c:v>
                </c:pt>
                <c:pt idx="1">
                  <c:v>CET</c:v>
                </c:pt>
                <c:pt idx="2">
                  <c:v>SME</c:v>
                </c:pt>
                <c:pt idx="3">
                  <c:v>SF</c:v>
                </c:pt>
                <c:pt idx="4">
                  <c:v>SPTrans</c:v>
                </c:pt>
                <c:pt idx="5">
                  <c:v>SMSUB</c:v>
                </c:pt>
                <c:pt idx="6">
                  <c:v>SMT</c:v>
                </c:pt>
                <c:pt idx="7">
                  <c:v>SMADS</c:v>
                </c:pt>
                <c:pt idx="8">
                  <c:v>SMUL</c:v>
                </c:pt>
                <c:pt idx="9">
                  <c:v>SEGES</c:v>
                </c:pt>
              </c:strCache>
            </c:strRef>
          </c:cat>
          <c:val>
            <c:numRef>
              <c:f>'e-SIC_2023'!$N$105:$N$114</c:f>
              <c:numCache>
                <c:formatCode>General</c:formatCode>
                <c:ptCount val="10"/>
                <c:pt idx="0">
                  <c:v>429</c:v>
                </c:pt>
                <c:pt idx="1">
                  <c:v>227</c:v>
                </c:pt>
                <c:pt idx="2">
                  <c:v>216</c:v>
                </c:pt>
                <c:pt idx="3">
                  <c:v>189</c:v>
                </c:pt>
                <c:pt idx="4">
                  <c:v>188</c:v>
                </c:pt>
                <c:pt idx="5">
                  <c:v>123</c:v>
                </c:pt>
                <c:pt idx="6">
                  <c:v>85</c:v>
                </c:pt>
                <c:pt idx="7">
                  <c:v>78</c:v>
                </c:pt>
                <c:pt idx="8">
                  <c:v>77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8C0-4563-BF80-611D84C35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FF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Protocolos - Linha do Tempo 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</c:marker>
          <c:trendline>
            <c:spPr>
              <a:ln w="12701" cap="rnd">
                <a:solidFill>
                  <a:srgbClr val="FF0000"/>
                </a:solidFill>
                <a:prstDash val="solid"/>
                <a:round/>
              </a:ln>
            </c:spPr>
            <c:trendlineType val="linear"/>
            <c:dispRSqr val="0"/>
            <c:dispEq val="0"/>
          </c:trendline>
          <c:cat>
            <c:numRef>
              <c:f>Protocolos!$A$5:$A$16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Protocolos!$B$5:$B$16</c:f>
              <c:numCache>
                <c:formatCode>#,##0</c:formatCode>
                <c:ptCount val="12"/>
                <c:pt idx="0">
                  <c:v>4396</c:v>
                </c:pt>
                <c:pt idx="1">
                  <c:v>4747</c:v>
                </c:pt>
                <c:pt idx="2">
                  <c:v>5681</c:v>
                </c:pt>
                <c:pt idx="3">
                  <c:v>4816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58-41B5-95BD-A9B32920D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046495"/>
        <c:axId val="1812051071"/>
      </c:lineChart>
      <c:valAx>
        <c:axId val="1812051071"/>
        <c:scaling>
          <c:orientation val="minMax"/>
        </c:scaling>
        <c:delete val="0"/>
        <c:axPos val="l"/>
        <c:majorGridlines>
          <c:spPr>
            <a:ln w="9528" cap="flat">
              <a:solidFill>
                <a:srgbClr val="A6A6A6"/>
              </a:solidFill>
              <a:prstDash val="solid"/>
              <a:round/>
            </a:ln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6495"/>
        <c:crosses val="autoZero"/>
        <c:crossBetween val="between"/>
      </c:valAx>
      <c:dateAx>
        <c:axId val="1812046495"/>
        <c:scaling>
          <c:orientation val="minMax"/>
        </c:scaling>
        <c:delete val="0"/>
        <c:axPos val="b"/>
        <c:majorGridlines>
          <c:spPr>
            <a:ln w="9528" cap="flat">
              <a:solidFill>
                <a:srgbClr val="7F7F7F"/>
              </a:solidFill>
              <a:prstDash val="solid"/>
              <a:round/>
            </a:ln>
          </c:spPr>
        </c:majorGridlines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071"/>
        <c:crosses val="autoZero"/>
        <c:auto val="1"/>
        <c:lblOffset val="100"/>
        <c:baseTimeUnit val="months"/>
        <c:majorUnit val="1"/>
      </c:dateAx>
      <c:spPr>
        <a:solidFill>
          <a:srgbClr val="D9D9D9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Instância de decisões - ABRIL_23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v>abr/23</c:v>
          </c:tx>
          <c:spPr>
            <a:solidFill>
              <a:srgbClr val="5B9BD5"/>
            </a:solidFill>
            <a:ln>
              <a:noFill/>
            </a:ln>
          </c:spPr>
          <c:cat>
            <c:strLit>
              <c:ptCount val="5"/>
              <c:pt idx="0">
                <c:v>Total (decisões iniciais)</c:v>
              </c:pt>
              <c:pt idx="1">
                <c:v>Total (decisões 1ª instância)</c:v>
              </c:pt>
              <c:pt idx="2">
                <c:v>Total (decisões 2ª instância)</c:v>
              </c:pt>
              <c:pt idx="3">
                <c:v>Recurso de Ofício (RO)</c:v>
              </c:pt>
              <c:pt idx="4">
                <c:v>Total (decisões 3ª instância)</c:v>
              </c:pt>
            </c:strLit>
          </c:cat>
          <c:val>
            <c:numLit>
              <c:formatCode>General</c:formatCode>
              <c:ptCount val="5"/>
              <c:pt idx="0">
                <c:v>609</c:v>
              </c:pt>
              <c:pt idx="1">
                <c:v>63</c:v>
              </c:pt>
              <c:pt idx="2">
                <c:v>56</c:v>
              </c:pt>
              <c:pt idx="3">
                <c:v>25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6EA4-4C9F-B9C2-765C940AD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268655"/>
        <c:axId val="1820268239"/>
      </c:areaChart>
      <c:valAx>
        <c:axId val="1820268239"/>
        <c:scaling>
          <c:orientation val="minMax"/>
          <c:max val="650"/>
        </c:scaling>
        <c:delete val="0"/>
        <c:axPos val="l"/>
        <c:majorGridlines>
          <c:spPr>
            <a:ln w="9528" cap="flat">
              <a:solidFill>
                <a:srgbClr val="D9D9D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655"/>
        <c:crosses val="autoZero"/>
        <c:crossBetween val="midCat"/>
        <c:majorUnit val="50"/>
      </c:valAx>
      <c:catAx>
        <c:axId val="1820268655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8" cap="flat">
            <a:solidFill>
              <a:srgbClr val="D9D9D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0" i="0" u="none" strike="noStrike" kern="1200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20268239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0" i="0" u="none" strike="noStrike" kern="1200" spc="0" baseline="0">
                <a:solidFill>
                  <a:srgbClr val="595959"/>
                </a:solidFill>
                <a:latin typeface="Calibri"/>
              </a:defRPr>
            </a:pPr>
            <a: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Serviços mais demandados de  ABRIL/23  </a:t>
            </a:r>
            <a:b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</a:br>
            <a:r>
              <a:rPr lang="pt-BR" sz="1400" b="0" i="0" u="none" strike="noStrike" kern="1200" cap="none" spc="0" baseline="0">
                <a:solidFill>
                  <a:srgbClr val="595959"/>
                </a:solidFill>
                <a:uFillTx/>
                <a:latin typeface="Calibri"/>
              </a:rPr>
              <a:t>Potocolos Pandemia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view3D>
      <c:rotX val="29"/>
      <c:rotY val="360"/>
      <c:rAngAx val="0"/>
      <c:perspective val="0"/>
    </c:view3D>
    <c:floor>
      <c:thickness val="0"/>
      <c:spPr>
        <a:noFill/>
        <a:ln w="6345" cap="flat">
          <a:solidFill>
            <a:srgbClr val="898989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>
        <c:manualLayout>
          <c:xMode val="edge"/>
          <c:yMode val="edge"/>
          <c:x val="7.0121318168562263E-2"/>
          <c:y val="0.29989089599094232"/>
          <c:w val="0.51256576261300679"/>
          <c:h val="0.614510147015936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472C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F087-49BD-A7B0-EC6DBE619D8F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F087-49BD-A7B0-EC6DBE619D8F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F087-49BD-A7B0-EC6DBE619D8F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F087-49BD-A7B0-EC6DBE619D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200" b="1" i="0" u="none" strike="noStrike" kern="1200" baseline="0">
                    <a:solidFill>
                      <a:srgbClr val="404040"/>
                    </a:solidFill>
                    <a:latin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Ref>
              <c:f>Pandemia!$A$5:$A$8</c:f>
              <c:strCache>
                <c:ptCount val="4"/>
                <c:pt idx="0">
                  <c:v>Pandemia - COVID 19</c:v>
                </c:pt>
                <c:pt idx="1">
                  <c:v>Material e Uniforme escolar</c:v>
                </c:pt>
                <c:pt idx="2">
                  <c:v>Renda Básica Emergencial</c:v>
                </c:pt>
                <c:pt idx="3">
                  <c:v>Vacinas</c:v>
                </c:pt>
              </c:strCache>
            </c:strRef>
          </c:cat>
          <c:val>
            <c:numRef>
              <c:f>Pandemia!$C$5:$C$8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A3F-4DDD-B455-012B08A2D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</c:spPr>
    </c:plotArea>
    <c:legend>
      <c:legendPos val="r"/>
      <c:layout/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1100" b="1" i="0" u="none" strike="noStrike" kern="1200" baseline="0">
              <a:solidFill>
                <a:srgbClr val="595959"/>
              </a:solidFill>
              <a:latin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Canais de entrada - ABRIL/2023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8.9974699108557373E-3"/>
          <c:y val="0.19418899991761121"/>
          <c:w val="0.65403475916861742"/>
          <c:h val="0.771175688240763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Canais_atendimento!$J$5:$J$5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0-4DF8-AA90-D17B8F4F7CAE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Canais_atendimento!$J$6:$J$6</c:f>
              <c:numCache>
                <c:formatCode>General</c:formatCode>
                <c:ptCount val="1"/>
                <c:pt idx="0">
                  <c:v>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80-4DF8-AA90-D17B8F4F7CAE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Canais_atendimento!$J$7:$J$7</c:f>
              <c:numCache>
                <c:formatCode>General</c:formatCode>
                <c:ptCount val="1"/>
                <c:pt idx="0">
                  <c:v>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80-4DF8-AA90-D17B8F4F7CAE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888888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Canais_atendimento!$J$8:$J$8</c:f>
              <c:numCache>
                <c:formatCode>General</c:formatCode>
                <c:ptCount val="1"/>
                <c:pt idx="0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80-4DF8-AA90-D17B8F4F7CAE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Canais_atendimento!$J$9:$J$9</c:f>
              <c:numCache>
                <c:formatCode>General</c:formatCode>
                <c:ptCount val="1"/>
                <c:pt idx="0">
                  <c:v>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80-4DF8-AA90-D17B8F4F7CAE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Canais_atendimento!$J$4:$J$4</c:f>
              <c:numCache>
                <c:formatCode>mmm\-yy</c:formatCode>
                <c:ptCount val="1"/>
                <c:pt idx="0">
                  <c:v>45017</c:v>
                </c:pt>
              </c:numCache>
            </c:numRef>
          </c:cat>
          <c:val>
            <c:numRef>
              <c:f>Canais_atendimento!$J$10:$J$10</c:f>
              <c:numCache>
                <c:formatCode>General</c:formatCode>
                <c:ptCount val="1"/>
                <c:pt idx="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80-4DF8-AA90-D17B8F4F7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051903"/>
        <c:axId val="1812053567"/>
      </c:barChart>
      <c:valAx>
        <c:axId val="1812053567"/>
        <c:scaling>
          <c:orientation val="minMax"/>
          <c:max val="2200"/>
          <c:min val="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903"/>
        <c:crosses val="autoZero"/>
        <c:crossBetween val="between"/>
        <c:majorUnit val="200"/>
      </c:valAx>
      <c:dateAx>
        <c:axId val="1812051903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1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567"/>
        <c:crosses val="autoZero"/>
        <c:auto val="1"/>
        <c:lblOffset val="100"/>
        <c:baseTimeUnit val="days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5489565155706886"/>
          <c:y val="0.1731734990525287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Linha do tempo - canais de entrada - 2023</a:t>
            </a:r>
          </a:p>
        </c:rich>
      </c:tx>
      <c:layout>
        <c:manualLayout>
          <c:xMode val="edge"/>
          <c:yMode val="edge"/>
          <c:x val="0.1093049999766072"/>
          <c:y val="2.953552680914885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3812698546371546E-3"/>
          <c:y val="0.15074732845894262"/>
          <c:w val="0.7087873641463267"/>
          <c:h val="0.79724339145106859"/>
        </c:manualLayout>
      </c:layout>
      <c:lineChart>
        <c:grouping val="standar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ln w="19046" cap="rnd">
              <a:solidFill>
                <a:srgbClr val="6600FF"/>
              </a:solidFill>
              <a:prstDash val="solid"/>
              <a:round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Canais_atendimento!$B$5:$M$5</c:f>
              <c:numCache>
                <c:formatCode>General</c:formatCode>
                <c:ptCount val="12"/>
                <c:pt idx="8">
                  <c:v>19</c:v>
                </c:pt>
                <c:pt idx="9">
                  <c:v>9</c:v>
                </c:pt>
                <c:pt idx="10">
                  <c:v>12</c:v>
                </c:pt>
                <c:pt idx="11" formatCode="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B4-416A-934C-DA8C13A0BB3E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ln w="19046" cap="rnd">
              <a:solidFill>
                <a:srgbClr val="92D050"/>
              </a:solidFill>
              <a:prstDash val="solid"/>
              <a:round/>
            </a:ln>
          </c:spPr>
          <c:marker>
            <c:symbol val="diamond"/>
            <c:size val="9"/>
          </c:marker>
          <c:trendline>
            <c:spPr>
              <a:ln w="6345" cap="rnd">
                <a:solidFill>
                  <a:srgbClr val="385723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Canais_atendimento!$B$6:$M$6</c:f>
              <c:numCache>
                <c:formatCode>General</c:formatCode>
                <c:ptCount val="12"/>
                <c:pt idx="8">
                  <c:v>1875</c:v>
                </c:pt>
                <c:pt idx="9">
                  <c:v>1921</c:v>
                </c:pt>
                <c:pt idx="10">
                  <c:v>1612</c:v>
                </c:pt>
                <c:pt idx="11" formatCode="0">
                  <c:v>1490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B4-416A-934C-DA8C13A0BB3E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ln w="19046" cap="rnd">
              <a:solidFill>
                <a:srgbClr val="00B0F0"/>
              </a:solidFill>
              <a:prstDash val="solid"/>
              <a:round/>
            </a:ln>
          </c:spPr>
          <c:marker>
            <c:symbol val="circle"/>
            <c:size val="7"/>
          </c:marker>
          <c:trendline>
            <c:spPr>
              <a:ln w="6345" cap="rnd">
                <a:solidFill>
                  <a:srgbClr val="2F5597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Canais_atendimento!$B$7:$M$7</c:f>
              <c:numCache>
                <c:formatCode>General</c:formatCode>
                <c:ptCount val="12"/>
                <c:pt idx="8">
                  <c:v>778</c:v>
                </c:pt>
                <c:pt idx="9">
                  <c:v>895</c:v>
                </c:pt>
                <c:pt idx="10">
                  <c:v>799</c:v>
                </c:pt>
                <c:pt idx="11" formatCode="0">
                  <c:v>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B4-416A-934C-DA8C13A0BB3E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ln w="19046" cap="rnd">
              <a:solidFill>
                <a:srgbClr val="FF0000"/>
              </a:solidFill>
              <a:prstDash val="solid"/>
              <a:round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CD5-4FF3-ACFD-DAC5D4781527}"/>
              </c:ext>
            </c:extLst>
          </c:dPt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Canais_atendimento!$B$8:$M$8</c:f>
              <c:numCache>
                <c:formatCode>General</c:formatCode>
                <c:ptCount val="12"/>
                <c:pt idx="8">
                  <c:v>57</c:v>
                </c:pt>
                <c:pt idx="9">
                  <c:v>28</c:v>
                </c:pt>
                <c:pt idx="10">
                  <c:v>13</c:v>
                </c:pt>
                <c:pt idx="11" formatCode="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B4-416A-934C-DA8C13A0BB3E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ln w="19046" cap="rnd">
              <a:solidFill>
                <a:srgbClr val="FF00FF"/>
              </a:solidFill>
              <a:prstDash val="solid"/>
              <a:round/>
            </a:ln>
          </c:spPr>
          <c:marker>
            <c:symbol val="dash"/>
            <c:size val="9"/>
          </c:marker>
          <c:trendline>
            <c:spPr>
              <a:ln w="6345" cap="rnd">
                <a:solidFill>
                  <a:srgbClr val="9900FF"/>
                </a:solidFill>
                <a:custDash>
                  <a:ds d="800693" sp="800693"/>
                </a:custDash>
                <a:round/>
              </a:ln>
            </c:spPr>
            <c:trendlineType val="linear"/>
            <c:dispRSqr val="0"/>
            <c:dispEq val="0"/>
          </c:trendline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Canais_atendimento!$B$9:$M$9</c:f>
              <c:numCache>
                <c:formatCode>General</c:formatCode>
                <c:ptCount val="12"/>
                <c:pt idx="8">
                  <c:v>2001</c:v>
                </c:pt>
                <c:pt idx="9">
                  <c:v>2696</c:v>
                </c:pt>
                <c:pt idx="10">
                  <c:v>2195</c:v>
                </c:pt>
                <c:pt idx="11" formatCode="0">
                  <c:v>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B4-416A-934C-DA8C13A0BB3E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ln w="19046" cap="rnd">
              <a:solidFill>
                <a:srgbClr val="FFFF00"/>
              </a:solidFill>
              <a:prstDash val="solid"/>
              <a:round/>
            </a:ln>
          </c:spPr>
          <c:marker>
            <c:symbol val="square"/>
            <c:size val="7"/>
          </c:marker>
          <c:cat>
            <c:numRef>
              <c:f>Canais_atendimento!$B$4:$M$4</c:f>
              <c:numCache>
                <c:formatCode>mmm\-yy</c:formatCode>
                <c:ptCount val="12"/>
                <c:pt idx="0">
                  <c:v>45261</c:v>
                </c:pt>
                <c:pt idx="1">
                  <c:v>45231</c:v>
                </c:pt>
                <c:pt idx="2">
                  <c:v>45200</c:v>
                </c:pt>
                <c:pt idx="3">
                  <c:v>45170</c:v>
                </c:pt>
                <c:pt idx="4">
                  <c:v>45139</c:v>
                </c:pt>
                <c:pt idx="5">
                  <c:v>44743</c:v>
                </c:pt>
                <c:pt idx="6">
                  <c:v>45078</c:v>
                </c:pt>
                <c:pt idx="7">
                  <c:v>45047</c:v>
                </c:pt>
                <c:pt idx="8">
                  <c:v>45017</c:v>
                </c:pt>
                <c:pt idx="9">
                  <c:v>44986</c:v>
                </c:pt>
                <c:pt idx="10">
                  <c:v>44958</c:v>
                </c:pt>
                <c:pt idx="11">
                  <c:v>44927</c:v>
                </c:pt>
              </c:numCache>
            </c:numRef>
          </c:cat>
          <c:val>
            <c:numRef>
              <c:f>Canais_atendimento!$B$10:$M$10</c:f>
              <c:numCache>
                <c:formatCode>General</c:formatCode>
                <c:ptCount val="12"/>
                <c:pt idx="8">
                  <c:v>86</c:v>
                </c:pt>
                <c:pt idx="9">
                  <c:v>132</c:v>
                </c:pt>
                <c:pt idx="10">
                  <c:v>116</c:v>
                </c:pt>
                <c:pt idx="11" formatCode="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B4-416A-934C-DA8C13A0B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2052735"/>
        <c:axId val="1812048159"/>
      </c:lineChart>
      <c:valAx>
        <c:axId val="1812048159"/>
        <c:scaling>
          <c:orientation val="minMax"/>
          <c:max val="2500"/>
          <c:min val="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2735"/>
        <c:crosses val="autoZero"/>
        <c:crossBetween val="between"/>
        <c:majorUnit val="250"/>
      </c:valAx>
      <c:dateAx>
        <c:axId val="1812052735"/>
        <c:scaling>
          <c:orientation val="minMax"/>
          <c:max val="18"/>
          <c:min val="7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mmm/yy" sourceLinked="0"/>
        <c:majorTickMark val="none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8159"/>
        <c:crosses val="autoZero"/>
        <c:auto val="1"/>
        <c:lblOffset val="100"/>
        <c:baseTimeUnit val="months"/>
        <c:majorUnit val="1"/>
      </c:date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2282641140445669"/>
          <c:y val="6.564023247094113E-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2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>
        <c:manualLayout>
          <c:xMode val="edge"/>
          <c:yMode val="edge"/>
          <c:x val="1.0806621613243226E-3"/>
          <c:y val="0.20221057000391654"/>
          <c:w val="0.69346539359745396"/>
          <c:h val="0.79092997562387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Canais_atendimento!$A$5:$A$5</c:f>
              <c:strCache>
                <c:ptCount val="1"/>
                <c:pt idx="0">
                  <c:v>Carta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Canais_atendimento!$Q$5:$Q$5</c:f>
              <c:numCache>
                <c:formatCode>0.0</c:formatCode>
                <c:ptCount val="1"/>
                <c:pt idx="0">
                  <c:v>0.39451827242524917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6-4CE0-B2B7-7952A13BE776}"/>
            </c:ext>
          </c:extLst>
        </c:ser>
        <c:ser>
          <c:idx val="1"/>
          <c:order val="1"/>
          <c:tx>
            <c:strRef>
              <c:f>Canais_atendimento!$A$6:$A$6</c:f>
              <c:strCache>
                <c:ptCount val="1"/>
                <c:pt idx="0">
                  <c:v>Central SP156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Canais_atendimento!$Q$6:$Q$6</c:f>
              <c:numCache>
                <c:formatCode>0.0</c:formatCode>
                <c:ptCount val="1"/>
                <c:pt idx="0">
                  <c:v>38.932724252491695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B6-4CE0-B2B7-7952A13BE776}"/>
            </c:ext>
          </c:extLst>
        </c:ser>
        <c:ser>
          <c:idx val="2"/>
          <c:order val="2"/>
          <c:tx>
            <c:strRef>
              <c:f>Canais_atendimento!$A$7:$A$7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BCB-4800-B171-8ACA39861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Canais_atendimento!$Q$7:$Q$7</c:f>
              <c:numCache>
                <c:formatCode>0.0</c:formatCode>
                <c:ptCount val="1"/>
                <c:pt idx="0">
                  <c:v>16.154485049833887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B6-4CE0-B2B7-7952A13BE776}"/>
            </c:ext>
          </c:extLst>
        </c:ser>
        <c:ser>
          <c:idx val="3"/>
          <c:order val="3"/>
          <c:tx>
            <c:strRef>
              <c:f>Canais_atendimento!$A$8:$A$8</c:f>
              <c:strCache>
                <c:ptCount val="1"/>
                <c:pt idx="0">
                  <c:v>Encaminhamento de outros órgãos (Processo SEI, Memorando, Ofício, etc.)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Canais_atendimento!$Q$8:$Q$8</c:f>
              <c:numCache>
                <c:formatCode>0.0</c:formatCode>
                <c:ptCount val="1"/>
                <c:pt idx="0">
                  <c:v>1.1835548172757475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B6-4CE0-B2B7-7952A13BE776}"/>
            </c:ext>
          </c:extLst>
        </c:ser>
        <c:ser>
          <c:idx val="4"/>
          <c:order val="4"/>
          <c:tx>
            <c:strRef>
              <c:f>Canais_atendimento!$A$9:$A$9</c:f>
              <c:strCache>
                <c:ptCount val="1"/>
                <c:pt idx="0">
                  <c:v>Portal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BCB-4800-B171-8ACA39861A45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8BCB-4800-B171-8ACA39861A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Canais_atendimento!$Q$9:$Q$9</c:f>
              <c:numCache>
                <c:formatCode>0.0</c:formatCode>
                <c:ptCount val="1"/>
                <c:pt idx="0">
                  <c:v>41.549003322259139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B6-4CE0-B2B7-7952A13BE776}"/>
            </c:ext>
          </c:extLst>
        </c:ser>
        <c:ser>
          <c:idx val="5"/>
          <c:order val="5"/>
          <c:tx>
            <c:strRef>
              <c:f>Canais_atendimento!$A$10:$A$10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10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1"/>
              </c:ext>
            </c:extLst>
          </c:dLbls>
          <c:cat>
            <c:strRef>
              <c:f>Canais_atendimento!$Q$4:$Q$4</c:f>
              <c:strCache>
                <c:ptCount val="1"/>
                <c:pt idx="0">
                  <c:v>% Canais de entrada ABR/23</c:v>
                </c:pt>
              </c:strCache>
            </c:strRef>
          </c:cat>
          <c:val>
            <c:numRef>
              <c:f>Canais_atendimento!$Q$10:$Q$10</c:f>
              <c:numCache>
                <c:formatCode>0.0</c:formatCode>
                <c:ptCount val="1"/>
                <c:pt idx="0">
                  <c:v>1.7857142857142858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B6-4CE0-B2B7-7952A13B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2051487"/>
        <c:axId val="1812049823"/>
      </c:barChart>
      <c:valAx>
        <c:axId val="1812049823"/>
        <c:scaling>
          <c:orientation val="minMax"/>
          <c:max val="100"/>
        </c:scaling>
        <c:delete val="0"/>
        <c:axPos val="l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1487"/>
        <c:crosses val="autoZero"/>
        <c:crossBetween val="between"/>
        <c:majorUnit val="10"/>
      </c:valAx>
      <c:catAx>
        <c:axId val="1812051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4982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196592059850786"/>
          <c:y val="7.6349543166792336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775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6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6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10 assuntos mais demandados - Média/2023</a:t>
            </a:r>
          </a:p>
        </c:rich>
      </c:tx>
      <c:layout>
        <c:manualLayout>
          <c:xMode val="edge"/>
          <c:yMode val="edge"/>
          <c:x val="0.11865925175194685"/>
          <c:y val="3.325135539159967E-3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7.5743007371603305E-2"/>
          <c:y val="0.11856738380143428"/>
          <c:w val="0.9182334138925704"/>
          <c:h val="0.871448942897885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BFBFBF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AA92-48C6-A1E4-B5FF1EFB694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A92-48C6-A1E4-B5FF1EFB694F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AA92-48C6-A1E4-B5FF1EFB69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A92-48C6-A1E4-B5FF1EFB694F}"/>
              </c:ext>
            </c:extLst>
          </c:dPt>
          <c:dPt>
            <c:idx val="5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AA92-48C6-A1E4-B5FF1EFB694F}"/>
              </c:ext>
            </c:extLst>
          </c:dPt>
          <c:dPt>
            <c:idx val="6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A92-48C6-A1E4-B5FF1EFB694F}"/>
              </c:ext>
            </c:extLst>
          </c:dPt>
          <c:dPt>
            <c:idx val="7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AA92-48C6-A1E4-B5FF1EFB694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A92-48C6-A1E4-B5FF1EFB694F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AA92-48C6-A1E4-B5FF1EFB694F}"/>
              </c:ext>
            </c:extLst>
          </c:dPt>
          <c:cat>
            <c:strRef>
              <c:f>'10_Assuntos_+_demadados_2023'!$A$7:$A$16</c:f>
              <c:strCache>
                <c:ptCount val="10"/>
                <c:pt idx="0">
                  <c:v>Cadastro Único (CadÚnico)</c:v>
                </c:pt>
                <c:pt idx="1">
                  <c:v>Qualidade de atendimento</c:v>
                </c:pt>
                <c:pt idx="2">
                  <c:v>Buraco e pavimentação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Drenagem de água de chuva</c:v>
                </c:pt>
                <c:pt idx="7">
                  <c:v>Calçadas, guias e postes</c:v>
                </c:pt>
                <c:pt idx="8">
                  <c:v>Capinação e roçada de áreas verdes</c:v>
                </c:pt>
                <c:pt idx="9">
                  <c:v>Multas de trânsito</c:v>
                </c:pt>
              </c:strCache>
            </c:strRef>
          </c:cat>
          <c:val>
            <c:numRef>
              <c:f>'10_Assuntos_+_demadados_2023'!$O$7:$O$16</c:f>
              <c:numCache>
                <c:formatCode>0</c:formatCode>
                <c:ptCount val="10"/>
                <c:pt idx="0">
                  <c:v>702.5</c:v>
                </c:pt>
                <c:pt idx="1">
                  <c:v>315.5</c:v>
                </c:pt>
                <c:pt idx="2">
                  <c:v>311.25</c:v>
                </c:pt>
                <c:pt idx="3">
                  <c:v>266.75</c:v>
                </c:pt>
                <c:pt idx="4">
                  <c:v>201.75</c:v>
                </c:pt>
                <c:pt idx="5">
                  <c:v>142.5</c:v>
                </c:pt>
                <c:pt idx="6">
                  <c:v>139.75</c:v>
                </c:pt>
                <c:pt idx="7">
                  <c:v>125.75</c:v>
                </c:pt>
                <c:pt idx="8">
                  <c:v>124.5</c:v>
                </c:pt>
                <c:pt idx="9">
                  <c:v>120.25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35-413B-9604-B95A15BB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8"/>
        <c:axId val="1812053151"/>
        <c:axId val="1812050655"/>
      </c:barChart>
      <c:valAx>
        <c:axId val="1812050655"/>
        <c:scaling>
          <c:orientation val="minMax"/>
          <c:max val="800"/>
          <c:min val="0"/>
        </c:scaling>
        <c:delete val="0"/>
        <c:axPos val="b"/>
        <c:majorGridlines>
          <c:spPr>
            <a:ln w="6345" cap="flat">
              <a:solidFill>
                <a:srgbClr val="898989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inMax"/>
        </c:scaling>
        <c:delete val="0"/>
        <c:axPos val="l"/>
        <c:numFmt formatCode="mmm/yy" sourceLinked="0"/>
        <c:majorTickMark val="out"/>
        <c:minorTickMark val="none"/>
        <c:tickLblPos val="nextTo"/>
        <c:spPr>
          <a:noFill/>
          <a:ln w="6345" cap="flat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9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 cap="flat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4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4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% em relação ao todo de ABR/23 (exetuando-se denúncias)</a:t>
            </a:r>
          </a:p>
        </c:rich>
      </c:tx>
      <c:layout>
        <c:manualLayout>
          <c:xMode val="edge"/>
          <c:yMode val="edge"/>
          <c:x val="9.1135284390029287E-3"/>
          <c:y val="1.718439340160200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0078740157480314E-2"/>
          <c:y val="0.11583098744781256"/>
          <c:w val="0.62612762277547673"/>
          <c:h val="0.84799287394775136"/>
        </c:manualLayout>
      </c:layout>
      <c:pieChart>
        <c:varyColors val="1"/>
        <c:ser>
          <c:idx val="0"/>
          <c:order val="0"/>
          <c:tx>
            <c:v>Série1</c:v>
          </c:tx>
          <c:dPt>
            <c:idx val="0"/>
            <c:bubble3D val="0"/>
            <c:spPr>
              <a:solidFill>
                <a:srgbClr val="4472C4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401-410B-924E-784F35968C9B}"/>
              </c:ext>
            </c:extLst>
          </c:dPt>
          <c:dPt>
            <c:idx val="1"/>
            <c:bubble3D val="0"/>
            <c:spPr>
              <a:solidFill>
                <a:srgbClr val="FF00FF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01-410B-924E-784F35968C9B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401-410B-924E-784F35968C9B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01-410B-924E-784F35968C9B}"/>
              </c:ext>
            </c:extLst>
          </c:dPt>
          <c:dPt>
            <c:idx val="4"/>
            <c:bubble3D val="0"/>
            <c:spPr>
              <a:solidFill>
                <a:srgbClr val="5B9BD5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401-410B-924E-784F35968C9B}"/>
              </c:ext>
            </c:extLst>
          </c:dPt>
          <c:dPt>
            <c:idx val="5"/>
            <c:bubble3D val="0"/>
            <c:spPr>
              <a:solidFill>
                <a:srgbClr val="9900CC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01-410B-924E-784F35968C9B}"/>
              </c:ext>
            </c:extLst>
          </c:dPt>
          <c:dPt>
            <c:idx val="6"/>
            <c:bubble3D val="0"/>
            <c:spPr>
              <a:solidFill>
                <a:srgbClr val="FFF2CC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401-410B-924E-784F35968C9B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401-410B-924E-784F35968C9B}"/>
              </c:ext>
            </c:extLst>
          </c:dPt>
          <c:dPt>
            <c:idx val="8"/>
            <c:bubble3D val="0"/>
            <c:spPr>
              <a:solidFill>
                <a:srgbClr val="00FFFF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401-410B-924E-784F35968C9B}"/>
              </c:ext>
            </c:extLst>
          </c:dPt>
          <c:dPt>
            <c:idx val="9"/>
            <c:bubble3D val="0"/>
            <c:spPr>
              <a:solidFill>
                <a:srgbClr val="FFFF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401-410B-924E-784F35968C9B}"/>
              </c:ext>
            </c:extLst>
          </c:dPt>
          <c:dPt>
            <c:idx val="10"/>
            <c:bubble3D val="0"/>
            <c:spPr>
              <a:solidFill>
                <a:srgbClr val="E2F0D9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401-410B-924E-784F35968C9B}"/>
              </c:ext>
            </c:extLst>
          </c:dPt>
          <c:dPt>
            <c:idx val="11"/>
            <c:bubble3D val="0"/>
            <c:spPr>
              <a:solidFill>
                <a:srgbClr val="000000"/>
              </a:solidFill>
              <a:ln w="19046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401-410B-924E-784F35968C9B}"/>
              </c:ext>
            </c:extLst>
          </c:dPt>
          <c:dLbls>
            <c:dLbl>
              <c:idx val="10"/>
              <c:layout>
                <c:manualLayout>
                  <c:x val="4.1004809369927016E-2"/>
                  <c:y val="6.5692741269702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01-410B-924E-784F35968C9B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lIns="0" tIns="0" rIns="0" bIns="0"/>
                <a:lstStyle/>
                <a:p>
                  <a:pPr marL="0" marR="0" indent="0" algn="ctr" defTabSz="914400" fontAlgn="auto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tabLst/>
                    <a:defRPr sz="900" b="1" i="0" u="none" strike="noStrike" kern="1200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01-410B-924E-784F35968C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sz="9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</c:ext>
            </c:extLst>
          </c:dLbls>
          <c:cat>
            <c:strLit>
              <c:ptCount val="11"/>
              <c:pt idx="0">
                <c:v>Cadastro Único (CadÚnico)</c:v>
              </c:pt>
              <c:pt idx="1">
                <c:v>Qualidade de atendimento</c:v>
              </c:pt>
              <c:pt idx="2">
                <c:v>Buraco e pavimentação</c:v>
              </c:pt>
              <c:pt idx="3">
                <c:v>Árvore</c:v>
              </c:pt>
              <c:pt idx="4">
                <c:v>Poluição sonora - PSIU</c:v>
              </c:pt>
              <c:pt idx="5">
                <c:v>Sinalização e Circulação de veículos e Pedestres</c:v>
              </c:pt>
              <c:pt idx="6">
                <c:v>Drenagem de água de chuva</c:v>
              </c:pt>
              <c:pt idx="7">
                <c:v>Calçadas, guias e postes</c:v>
              </c:pt>
              <c:pt idx="8">
                <c:v>Capinação e roçada de áreas verdes</c:v>
              </c:pt>
              <c:pt idx="9">
                <c:v>Multas de trânsito</c:v>
              </c:pt>
              <c:pt idx="10">
                <c:v>Outros</c:v>
              </c:pt>
            </c:strLit>
          </c:cat>
          <c:val>
            <c:numLit>
              <c:formatCode>General</c:formatCode>
              <c:ptCount val="11"/>
              <c:pt idx="0">
                <c:v>20.907928388746804</c:v>
              </c:pt>
              <c:pt idx="1">
                <c:v>5.3921568627450984</c:v>
              </c:pt>
              <c:pt idx="2">
                <c:v>8.0775788576300087</c:v>
              </c:pt>
              <c:pt idx="3">
                <c:v>4.9232736572890028</c:v>
              </c:pt>
              <c:pt idx="4">
                <c:v>3.4100596760443307</c:v>
              </c:pt>
              <c:pt idx="5">
                <c:v>2.7280477408354646</c:v>
              </c:pt>
              <c:pt idx="6">
                <c:v>2.7706734867860185</c:v>
              </c:pt>
              <c:pt idx="7">
                <c:v>2.4722932651321399</c:v>
              </c:pt>
              <c:pt idx="8">
                <c:v>2.9624893435635125</c:v>
              </c:pt>
              <c:pt idx="9">
                <c:v>1.577152600170503</c:v>
              </c:pt>
              <c:pt idx="10">
                <c:v>44.778346121057119</c:v>
              </c:pt>
            </c:numLit>
          </c:val>
          <c:extLst>
            <c:ext xmlns:c16="http://schemas.microsoft.com/office/drawing/2014/chart" uri="{C3380CC4-5D6E-409C-BE32-E72D297353CC}">
              <c16:uniqueId val="{00000018-CAD7-48F6-BCAB-D874D1C17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60"/>
      </c:pieChart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125058789616611"/>
          <c:y val="1.1477567894686741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sz="69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rgbClr val="FFFFFF"/>
    </a:solidFill>
    <a:ln w="9528" cap="flat">
      <a:solidFill>
        <a:srgbClr val="D9D9D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</a:rPr>
              <a:t>Média - 10 assuntos mais demandados dos 3 últimos meses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'ASSUNTOS_10+_últimos_3_meses'!$F$6:$F$6</c:f>
              <c:strCache>
                <c:ptCount val="1"/>
                <c:pt idx="0">
                  <c:v>Média</c:v>
                </c:pt>
              </c:strCache>
            </c:strRef>
          </c:tx>
          <c:spPr>
            <a:solidFill>
              <a:srgbClr val="9BBB59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FF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7B33-40D1-93B2-C98B8F79D6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7B33-40D1-93B2-C98B8F79D65F}"/>
              </c:ext>
            </c:extLst>
          </c:dPt>
          <c:dPt>
            <c:idx val="2"/>
            <c:invertIfNegative val="0"/>
            <c:bubble3D val="0"/>
            <c:spPr>
              <a:solidFill>
                <a:srgbClr val="99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7B33-40D1-93B2-C98B8F79D65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7B33-40D1-93B2-C98B8F79D65F}"/>
              </c:ext>
            </c:extLst>
          </c:dPt>
          <c:dPt>
            <c:idx val="4"/>
            <c:invertIfNegative val="0"/>
            <c:bubble3D val="0"/>
            <c:spPr>
              <a:solidFill>
                <a:srgbClr val="FF66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7B33-40D1-93B2-C98B8F79D65F}"/>
              </c:ext>
            </c:extLst>
          </c:dPt>
          <c:dPt>
            <c:idx val="5"/>
            <c:invertIfNegative val="0"/>
            <c:bubble3D val="0"/>
            <c:spPr>
              <a:solidFill>
                <a:srgbClr val="00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7B33-40D1-93B2-C98B8F79D65F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7B33-40D1-93B2-C98B8F79D65F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7B33-40D1-93B2-C98B8F79D65F}"/>
              </c:ext>
            </c:extLst>
          </c:dPt>
          <c:dPt>
            <c:idx val="8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7B33-40D1-93B2-C98B8F79D65F}"/>
              </c:ext>
            </c:extLst>
          </c:dPt>
          <c:dPt>
            <c:idx val="9"/>
            <c:invertIfNegative val="0"/>
            <c:bubble3D val="0"/>
            <c:spPr>
              <a:solidFill>
                <a:srgbClr val="3333F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7B33-40D1-93B2-C98B8F79D65F}"/>
              </c:ext>
            </c:extLst>
          </c:dPt>
          <c:cat>
            <c:strRef>
              <c:f>'ASSUNTOS_10+_últimos_3_meses'!$A$7:$A$16</c:f>
              <c:strCache>
                <c:ptCount val="10"/>
                <c:pt idx="0">
                  <c:v>Cadastro Único (CadÚnico)</c:v>
                </c:pt>
                <c:pt idx="1">
                  <c:v>Buraco e pavimentação</c:v>
                </c:pt>
                <c:pt idx="2">
                  <c:v>Qualidade de atendimento</c:v>
                </c:pt>
                <c:pt idx="3">
                  <c:v>Árvore</c:v>
                </c:pt>
                <c:pt idx="4">
                  <c:v>Poluição sonora - PSIU</c:v>
                </c:pt>
                <c:pt idx="5">
                  <c:v>Sinalização e Circulação de veículos e Pedestres</c:v>
                </c:pt>
                <c:pt idx="6">
                  <c:v>Drenagem de água de chuva</c:v>
                </c:pt>
                <c:pt idx="7">
                  <c:v>Capinação e roçada de áreas verdes</c:v>
                </c:pt>
                <c:pt idx="8">
                  <c:v>Calçadas, guias e postes</c:v>
                </c:pt>
                <c:pt idx="9">
                  <c:v>Ônibus</c:v>
                </c:pt>
              </c:strCache>
            </c:strRef>
          </c:cat>
          <c:val>
            <c:numRef>
              <c:f>'ASSUNTOS_10+_últimos_3_meses'!$F$7:$F$16</c:f>
              <c:numCache>
                <c:formatCode>0</c:formatCode>
                <c:ptCount val="10"/>
                <c:pt idx="0">
                  <c:v>769.66666666666663</c:v>
                </c:pt>
                <c:pt idx="1">
                  <c:v>327.33333333333331</c:v>
                </c:pt>
                <c:pt idx="2">
                  <c:v>308.33333333333331</c:v>
                </c:pt>
                <c:pt idx="3">
                  <c:v>255.33333333333334</c:v>
                </c:pt>
                <c:pt idx="4">
                  <c:v>189.33333333333334</c:v>
                </c:pt>
                <c:pt idx="5">
                  <c:v>147</c:v>
                </c:pt>
                <c:pt idx="6">
                  <c:v>147</c:v>
                </c:pt>
                <c:pt idx="7">
                  <c:v>139</c:v>
                </c:pt>
                <c:pt idx="8">
                  <c:v>137.33333333333334</c:v>
                </c:pt>
                <c:pt idx="9">
                  <c:v>128.66666666666666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191-49BC-90D3-EE2D472CA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8448655"/>
        <c:axId val="1791463743"/>
      </c:barChart>
      <c:valAx>
        <c:axId val="1791463743"/>
        <c:scaling>
          <c:orientation val="minMax"/>
          <c:max val="800"/>
        </c:scaling>
        <c:delete val="0"/>
        <c:axPos val="b"/>
        <c:majorGridlines>
          <c:spPr>
            <a:ln w="9528" cap="flat">
              <a:solidFill>
                <a:srgbClr val="868686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48655"/>
        <c:crosses val="autoZero"/>
        <c:crossBetween val="between"/>
      </c:valAx>
      <c:catAx>
        <c:axId val="181844865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8" cap="flat">
            <a:solidFill>
              <a:srgbClr val="868686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91463743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9528" cap="flat">
      <a:solidFill>
        <a:srgbClr val="868686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16</xdr:col>
          <xdr:colOff>76200</xdr:colOff>
          <xdr:row>52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0</xdr:rowOff>
    </xdr:from>
    <xdr:ext cx="6791321" cy="4133846"/>
    <xdr:grpSp>
      <xdr:nvGrpSpPr>
        <xdr:cNvPr id="2" name="Gráfico 7"/>
        <xdr:cNvGrpSpPr/>
      </xdr:nvGrpSpPr>
      <xdr:grpSpPr>
        <a:xfrm>
          <a:off x="8839196" y="0"/>
          <a:ext cx="6791321" cy="4133846"/>
          <a:chOff x="8839196" y="0"/>
          <a:chExt cx="6791321" cy="4133846"/>
        </a:xfrm>
      </xdr:grpSpPr>
      <xdr:graphicFrame macro="">
        <xdr:nvGraphicFramePr>
          <xdr:cNvPr id="3" name="Gráfico 2"/>
          <xdr:cNvGraphicFramePr/>
        </xdr:nvGraphicFramePr>
        <xdr:xfrm>
          <a:off x="8839196" y="0"/>
          <a:ext cx="6791321" cy="41338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19"/>
          <xdr:cNvSpPr txBox="1"/>
        </xdr:nvSpPr>
        <xdr:spPr>
          <a:xfrm>
            <a:off x="15297146" y="123828"/>
            <a:ext cx="295278" cy="32385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</a:t>
            </a:r>
          </a:p>
        </xdr:txBody>
      </xdr:sp>
      <xdr:sp macro="" textlink="">
        <xdr:nvSpPr>
          <xdr:cNvPr id="5" name="CaixaDeTexto 20"/>
          <xdr:cNvSpPr/>
        </xdr:nvSpPr>
        <xdr:spPr>
          <a:xfrm>
            <a:off x="8839196" y="266364"/>
            <a:ext cx="914400" cy="983519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6" name="CaixaDeTexto 21"/>
          <xdr:cNvSpPr txBox="1"/>
        </xdr:nvSpPr>
        <xdr:spPr>
          <a:xfrm>
            <a:off x="8848725" y="180978"/>
            <a:ext cx="914400" cy="27622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9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Quantidade</a:t>
            </a:r>
          </a:p>
        </xdr:txBody>
      </xdr:sp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104771</xdr:colOff>
      <xdr:row>0</xdr:row>
      <xdr:rowOff>0</xdr:rowOff>
    </xdr:from>
    <xdr:ext cx="5348819" cy="3679829"/>
    <xdr:grpSp>
      <xdr:nvGrpSpPr>
        <xdr:cNvPr id="2" name="Gráfico 2"/>
        <xdr:cNvGrpSpPr/>
      </xdr:nvGrpSpPr>
      <xdr:grpSpPr>
        <a:xfrm>
          <a:off x="9363071" y="0"/>
          <a:ext cx="5348819" cy="3679829"/>
          <a:chOff x="9363071" y="0"/>
          <a:chExt cx="5348819" cy="3679829"/>
        </a:xfrm>
      </xdr:grpSpPr>
      <xdr:graphicFrame macro="">
        <xdr:nvGraphicFramePr>
          <xdr:cNvPr id="3" name="Gráfico 2"/>
          <xdr:cNvGraphicFramePr/>
        </xdr:nvGraphicFramePr>
        <xdr:xfrm>
          <a:off x="9363071" y="0"/>
          <a:ext cx="5348819" cy="36798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9784848" y="86017"/>
            <a:ext cx="4888702" cy="258061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Média das 10 subprefeituras mais demandadas em 2023</a:t>
            </a:r>
            <a:endParaRPr lang="pt-BR" sz="16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</xdr:col>
      <xdr:colOff>85725</xdr:colOff>
      <xdr:row>18</xdr:row>
      <xdr:rowOff>57150</xdr:rowOff>
    </xdr:from>
    <xdr:ext cx="6165854" cy="3200400"/>
    <xdr:graphicFrame macro="">
      <xdr:nvGraphicFramePr>
        <xdr:cNvPr id="5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47621</xdr:colOff>
      <xdr:row>3</xdr:row>
      <xdr:rowOff>9528</xdr:rowOff>
    </xdr:from>
    <xdr:ext cx="7239003" cy="6276971"/>
    <xdr:grpSp>
      <xdr:nvGrpSpPr>
        <xdr:cNvPr id="2" name="Gráfico 1"/>
        <xdr:cNvGrpSpPr/>
      </xdr:nvGrpSpPr>
      <xdr:grpSpPr>
        <a:xfrm>
          <a:off x="3171821" y="590553"/>
          <a:ext cx="7239003" cy="6276971"/>
          <a:chOff x="3171821" y="581028"/>
          <a:chExt cx="7239003" cy="6276971"/>
        </a:xfrm>
      </xdr:grpSpPr>
      <xdr:graphicFrame macro="">
        <xdr:nvGraphicFramePr>
          <xdr:cNvPr id="3" name="Gráfico 2"/>
          <xdr:cNvGraphicFramePr/>
        </xdr:nvGraphicFramePr>
        <xdr:xfrm>
          <a:off x="3171821" y="581028"/>
          <a:ext cx="7239003" cy="627697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3209925" y="647696"/>
            <a:ext cx="7181853" cy="38100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6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Ranking das Subprefeituras mais demandadas - ABRIL/2023</a:t>
            </a:r>
          </a:p>
        </xdr:txBody>
      </xdr:sp>
    </xdr:grp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9528</xdr:colOff>
      <xdr:row>0</xdr:row>
      <xdr:rowOff>0</xdr:rowOff>
    </xdr:from>
    <xdr:ext cx="4563532" cy="2235195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17</xdr:col>
      <xdr:colOff>28575</xdr:colOff>
      <xdr:row>8</xdr:row>
      <xdr:rowOff>285750</xdr:rowOff>
    </xdr:from>
    <xdr:ext cx="4582579" cy="2022479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7</xdr:col>
      <xdr:colOff>57150</xdr:colOff>
      <xdr:row>15</xdr:row>
      <xdr:rowOff>152403</xdr:rowOff>
    </xdr:from>
    <xdr:ext cx="4704295" cy="2823630"/>
    <xdr:grpSp>
      <xdr:nvGrpSpPr>
        <xdr:cNvPr id="4" name="Gráfico 1"/>
        <xdr:cNvGrpSpPr/>
      </xdr:nvGrpSpPr>
      <xdr:grpSpPr>
        <a:xfrm>
          <a:off x="5048250" y="3629028"/>
          <a:ext cx="4704295" cy="2823630"/>
          <a:chOff x="5048250" y="3629028"/>
          <a:chExt cx="4704295" cy="2823630"/>
        </a:xfrm>
      </xdr:grpSpPr>
      <xdr:graphicFrame macro="">
        <xdr:nvGraphicFramePr>
          <xdr:cNvPr id="5" name="Gráfico 4"/>
          <xdr:cNvGraphicFramePr/>
        </xdr:nvGraphicFramePr>
        <xdr:xfrm>
          <a:off x="5048250" y="3629028"/>
          <a:ext cx="4704295" cy="28236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2"/>
          <xdr:cNvSpPr txBox="1"/>
        </xdr:nvSpPr>
        <xdr:spPr>
          <a:xfrm>
            <a:off x="5719602" y="3629028"/>
            <a:ext cx="3459586" cy="588242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Protocolos inicialmente registrados como denúncias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ts val="13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en-US" sz="12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% deferidas, indeferidas e reclassificadas - 2023</a:t>
            </a:r>
            <a:endParaRPr lang="pt-BR" sz="12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17</xdr:col>
      <xdr:colOff>104771</xdr:colOff>
      <xdr:row>19</xdr:row>
      <xdr:rowOff>19046</xdr:rowOff>
    </xdr:from>
    <xdr:ext cx="3902073" cy="2106082"/>
    <xdr:graphicFrame macro="">
      <xdr:nvGraphicFramePr>
        <xdr:cNvPr id="7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8</xdr:col>
      <xdr:colOff>152403</xdr:colOff>
      <xdr:row>30</xdr:row>
      <xdr:rowOff>85725</xdr:rowOff>
    </xdr:from>
    <xdr:ext cx="6801910" cy="6120344"/>
    <xdr:graphicFrame macro="">
      <xdr:nvGraphicFramePr>
        <xdr:cNvPr id="8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104771</xdr:colOff>
      <xdr:row>2</xdr:row>
      <xdr:rowOff>66678</xdr:rowOff>
    </xdr:from>
    <xdr:ext cx="4457700" cy="2981328"/>
    <xdr:grpSp>
      <xdr:nvGrpSpPr>
        <xdr:cNvPr id="4" name="Gráfico 1"/>
        <xdr:cNvGrpSpPr/>
      </xdr:nvGrpSpPr>
      <xdr:grpSpPr>
        <a:xfrm>
          <a:off x="2876546" y="447678"/>
          <a:ext cx="4457700" cy="2981328"/>
          <a:chOff x="2876546" y="447678"/>
          <a:chExt cx="4457700" cy="2981328"/>
        </a:xfrm>
      </xdr:grpSpPr>
      <xdr:graphicFrame macro="">
        <xdr:nvGraphicFramePr>
          <xdr:cNvPr id="5" name="Gráfico 4"/>
          <xdr:cNvGraphicFramePr/>
        </xdr:nvGraphicFramePr>
        <xdr:xfrm>
          <a:off x="2876546" y="447678"/>
          <a:ext cx="4457700" cy="29813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6" name="CaixaDeTexto 2"/>
          <xdr:cNvSpPr txBox="1"/>
        </xdr:nvSpPr>
        <xdr:spPr>
          <a:xfrm>
            <a:off x="5814303" y="759973"/>
            <a:ext cx="580351" cy="22243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0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Variação</a:t>
            </a:r>
          </a:p>
        </xdr:txBody>
      </xdr:sp>
    </xdr:grpSp>
    <xdr:clientData/>
  </xdr:oneCellAnchor>
  <xdr:oneCellAnchor>
    <xdr:from>
      <xdr:col>21</xdr:col>
      <xdr:colOff>266703</xdr:colOff>
      <xdr:row>0</xdr:row>
      <xdr:rowOff>47621</xdr:rowOff>
    </xdr:from>
    <xdr:ext cx="5448296" cy="3629025"/>
    <xdr:graphicFrame macro="">
      <xdr:nvGraphicFramePr>
        <xdr:cNvPr id="3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13</xdr:col>
      <xdr:colOff>114300</xdr:colOff>
      <xdr:row>0</xdr:row>
      <xdr:rowOff>38103</xdr:rowOff>
    </xdr:from>
    <xdr:ext cx="4829175" cy="3686175"/>
    <xdr:graphicFrame macro="">
      <xdr:nvGraphicFramePr>
        <xdr:cNvPr id="2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581028</xdr:colOff>
      <xdr:row>0</xdr:row>
      <xdr:rowOff>0</xdr:rowOff>
    </xdr:from>
    <xdr:ext cx="5143499" cy="2914650"/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257175</xdr:colOff>
      <xdr:row>0</xdr:row>
      <xdr:rowOff>76196</xdr:rowOff>
    </xdr:from>
    <xdr:ext cx="3686174" cy="3095628"/>
    <xdr:grpSp>
      <xdr:nvGrpSpPr>
        <xdr:cNvPr id="2" name="Gráfico 1"/>
        <xdr:cNvGrpSpPr/>
      </xdr:nvGrpSpPr>
      <xdr:grpSpPr>
        <a:xfrm>
          <a:off x="7162800" y="76196"/>
          <a:ext cx="3686174" cy="3095628"/>
          <a:chOff x="7162800" y="76196"/>
          <a:chExt cx="3686174" cy="3095628"/>
        </a:xfrm>
      </xdr:grpSpPr>
      <xdr:grpSp>
        <xdr:nvGrpSpPr>
          <xdr:cNvPr id="3" name="Gráfico 3"/>
          <xdr:cNvGrpSpPr/>
        </xdr:nvGrpSpPr>
        <xdr:grpSpPr>
          <a:xfrm>
            <a:off x="7178335" y="76196"/>
            <a:ext cx="3670639" cy="3095628"/>
            <a:chOff x="7178335" y="76196"/>
            <a:chExt cx="3670639" cy="3095628"/>
          </a:xfrm>
        </xdr:grpSpPr>
        <xdr:graphicFrame macro="">
          <xdr:nvGraphicFramePr>
            <xdr:cNvPr id="4" name="Gráfico 3"/>
            <xdr:cNvGraphicFramePr/>
          </xdr:nvGraphicFramePr>
          <xdr:xfrm>
            <a:off x="7178335" y="76196"/>
            <a:ext cx="3670639" cy="309562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5" name="CaixaDeTexto 4"/>
            <xdr:cNvSpPr txBox="1"/>
          </xdr:nvSpPr>
          <xdr:spPr>
            <a:xfrm>
              <a:off x="7264517" y="355793"/>
              <a:ext cx="689603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6" name="CaixaDeTexto 5"/>
            <xdr:cNvSpPr txBox="1"/>
          </xdr:nvSpPr>
          <xdr:spPr>
            <a:xfrm>
              <a:off x="8662626" y="1144682"/>
              <a:ext cx="685086" cy="958656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squar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endParaRPr lang="pt-BR" sz="1100" b="0" i="0" u="none" strike="noStrike" kern="0" cap="none" spc="0" baseline="0">
                <a:solidFill>
                  <a:srgbClr val="000000"/>
                </a:solidFill>
                <a:uFillTx/>
                <a:latin typeface="Calibri"/>
              </a:endParaRPr>
            </a:p>
          </xdr:txBody>
        </xdr:sp>
        <xdr:sp macro="" textlink="">
          <xdr:nvSpPr>
            <xdr:cNvPr id="7" name="CaixaDeTexto 6"/>
            <xdr:cNvSpPr txBox="1"/>
          </xdr:nvSpPr>
          <xdr:spPr>
            <a:xfrm>
              <a:off x="7415384" y="255931"/>
              <a:ext cx="208309" cy="289599"/>
            </a:xfrm>
            <a:prstGeom prst="rect">
              <a:avLst/>
            </a:prstGeom>
            <a:noFill/>
            <a:ln cap="flat">
              <a:noFill/>
            </a:ln>
          </xdr:spPr>
          <xdr:txBody>
            <a:bodyPr vert="horz" wrap="none" lIns="91440" tIns="45720" rIns="91440" bIns="45720" anchor="t" anchorCtr="0" compatLnSpc="0">
              <a:noAutofit/>
            </a:bodyPr>
            <a:lstStyle/>
            <a:p>
              <a:pPr marL="0" marR="0" lvl="0" indent="0" defTabSz="914400" rtl="0" fontAlgn="auto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None/>
                <a:tabLst/>
                <a:defRPr sz="1800" b="0" i="0" u="none" strike="noStrike" kern="0" cap="none" spc="0" baseline="0">
                  <a:solidFill>
                    <a:srgbClr val="000000"/>
                  </a:solidFill>
                  <a:uFillTx/>
                </a:defRPr>
              </a:pPr>
              <a:r>
                <a:rPr lang="pt-BR" sz="1400" b="1" i="0" u="none" strike="noStrike" kern="0" cap="none" spc="0" baseline="0">
                  <a:solidFill>
                    <a:srgbClr val="000000"/>
                  </a:solidFill>
                  <a:uFillTx/>
                  <a:latin typeface="Calibri"/>
                </a:rPr>
                <a:t>*</a:t>
              </a:r>
            </a:p>
          </xdr:txBody>
        </xdr:sp>
      </xdr:grpSp>
      <xdr:sp macro="" textlink="">
        <xdr:nvSpPr>
          <xdr:cNvPr id="8" name="CaixaDeTexto 19"/>
          <xdr:cNvSpPr txBox="1"/>
        </xdr:nvSpPr>
        <xdr:spPr>
          <a:xfrm>
            <a:off x="7162800" y="2847971"/>
            <a:ext cx="981078" cy="209553"/>
          </a:xfrm>
          <a:prstGeom prst="rect">
            <a:avLst/>
          </a:prstGeom>
          <a:solidFill>
            <a:srgbClr val="4472C4"/>
          </a:solidFill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8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*Escala Logaritimica</a:t>
            </a:r>
          </a:p>
        </xdr:txBody>
      </xdr:sp>
    </xdr:grpSp>
    <xdr:clientData/>
  </xdr:oneCellAnchor>
  <xdr:oneCellAnchor>
    <xdr:from>
      <xdr:col>19</xdr:col>
      <xdr:colOff>47621</xdr:colOff>
      <xdr:row>0</xdr:row>
      <xdr:rowOff>57150</xdr:rowOff>
    </xdr:from>
    <xdr:ext cx="4048121" cy="3171825"/>
    <xdr:graphicFrame macro="">
      <xdr:nvGraphicFramePr>
        <xdr:cNvPr id="9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3</xdr:col>
      <xdr:colOff>76196</xdr:colOff>
      <xdr:row>2</xdr:row>
      <xdr:rowOff>38103</xdr:rowOff>
    </xdr:from>
    <xdr:ext cx="4638678" cy="2752728"/>
    <xdr:graphicFrame macro="">
      <xdr:nvGraphicFramePr>
        <xdr:cNvPr id="10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11</xdr:row>
      <xdr:rowOff>57150</xdr:rowOff>
    </xdr:from>
    <xdr:ext cx="5286375" cy="4248146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2</xdr:col>
      <xdr:colOff>438153</xdr:colOff>
      <xdr:row>11</xdr:row>
      <xdr:rowOff>76196</xdr:rowOff>
    </xdr:from>
    <xdr:ext cx="5343525" cy="4267203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14</xdr:col>
      <xdr:colOff>209553</xdr:colOff>
      <xdr:row>11</xdr:row>
      <xdr:rowOff>66678</xdr:rowOff>
    </xdr:from>
    <xdr:ext cx="4838703" cy="4276721"/>
    <xdr:grpSp>
      <xdr:nvGrpSpPr>
        <xdr:cNvPr id="4" name="Gráfico 4"/>
        <xdr:cNvGrpSpPr/>
      </xdr:nvGrpSpPr>
      <xdr:grpSpPr>
        <a:xfrm>
          <a:off x="10925178" y="2686053"/>
          <a:ext cx="4838703" cy="4276721"/>
          <a:chOff x="10925178" y="2619378"/>
          <a:chExt cx="4838703" cy="4276721"/>
        </a:xfrm>
      </xdr:grpSpPr>
      <xdr:graphicFrame macro="">
        <xdr:nvGraphicFramePr>
          <xdr:cNvPr id="5" name="Gráfico 5"/>
          <xdr:cNvGraphicFramePr/>
        </xdr:nvGraphicFramePr>
        <xdr:xfrm>
          <a:off x="10925178" y="2619378"/>
          <a:ext cx="4838703" cy="42767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6" name="CaixaDeTexto 3"/>
          <xdr:cNvSpPr/>
        </xdr:nvSpPr>
        <xdr:spPr>
          <a:xfrm>
            <a:off x="12383079" y="2674754"/>
            <a:ext cx="1887047" cy="292123"/>
          </a:xfrm>
          <a:prstGeom prst="rect">
            <a:avLst/>
          </a:prstGeom>
          <a:noFill/>
          <a:ln cap="flat">
            <a:noFill/>
            <a:prstDash val="solid"/>
          </a:ln>
        </xdr:spPr>
        <xdr:txBody>
          <a:bodyPr lIns="0" tIns="0" rIns="0" bIns="0"/>
          <a:lstStyle/>
          <a:p>
            <a:endParaRPr lang="pt-BR"/>
          </a:p>
        </xdr:txBody>
      </xdr:sp>
      <xdr:sp macro="" textlink="">
        <xdr:nvSpPr>
          <xdr:cNvPr id="7" name="CaixaDeTexto 4"/>
          <xdr:cNvSpPr txBox="1"/>
        </xdr:nvSpPr>
        <xdr:spPr>
          <a:xfrm>
            <a:off x="11277596" y="2733678"/>
            <a:ext cx="3486149" cy="285750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itchFamily="34"/>
                <a:cs typeface="Arial" pitchFamily="34"/>
              </a:rPr>
              <a:t>Canais de entrada % - ABRIL/2023</a:t>
            </a:r>
          </a:p>
        </xdr:txBody>
      </xdr:sp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19046</xdr:rowOff>
    </xdr:from>
    <xdr:ext cx="5772149" cy="3629025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28575</xdr:colOff>
      <xdr:row>17</xdr:row>
      <xdr:rowOff>28575</xdr:rowOff>
    </xdr:from>
    <xdr:ext cx="6591296" cy="3676646"/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9528</xdr:colOff>
      <xdr:row>0</xdr:row>
      <xdr:rowOff>19046</xdr:rowOff>
    </xdr:from>
    <xdr:ext cx="6076946" cy="3276596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19046</xdr:colOff>
      <xdr:row>17</xdr:row>
      <xdr:rowOff>57150</xdr:rowOff>
    </xdr:from>
    <xdr:ext cx="7124703" cy="3409953"/>
    <xdr:graphicFrame macro="">
      <xdr:nvGraphicFramePr>
        <xdr:cNvPr id="3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2</xdr:row>
      <xdr:rowOff>47621</xdr:rowOff>
    </xdr:from>
    <xdr:ext cx="5867403" cy="4600575"/>
    <xdr:grpSp>
      <xdr:nvGrpSpPr>
        <xdr:cNvPr id="2" name="Gráfico 7"/>
        <xdr:cNvGrpSpPr/>
      </xdr:nvGrpSpPr>
      <xdr:grpSpPr>
        <a:xfrm>
          <a:off x="3686175" y="428621"/>
          <a:ext cx="5867403" cy="4600575"/>
          <a:chOff x="3686175" y="428621"/>
          <a:chExt cx="5867403" cy="4600575"/>
        </a:xfrm>
      </xdr:grpSpPr>
      <xdr:graphicFrame macro="">
        <xdr:nvGraphicFramePr>
          <xdr:cNvPr id="3" name="Gráfico 2"/>
          <xdr:cNvGraphicFramePr/>
        </xdr:nvGraphicFramePr>
        <xdr:xfrm>
          <a:off x="3686175" y="428621"/>
          <a:ext cx="5867403" cy="46005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3705221" y="457196"/>
            <a:ext cx="5800725" cy="647696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1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assuntos mais demandados do mês de abril em</a:t>
            </a:r>
          </a:p>
          <a:p>
            <a:pPr marL="0" marR="0" lvl="0" indent="0" algn="ctr" defTabSz="914400" rtl="0" fontAlgn="auto" hangingPunct="1">
              <a:lnSpc>
                <a:spcPts val="15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ABRIL/23</a:t>
            </a:r>
          </a:p>
        </xdr:txBody>
      </xdr:sp>
    </xdr:grpSp>
    <xdr:clientData/>
  </xdr:oneCellAnchor>
  <xdr:oneCellAnchor>
    <xdr:from>
      <xdr:col>9</xdr:col>
      <xdr:colOff>1733546</xdr:colOff>
      <xdr:row>2</xdr:row>
      <xdr:rowOff>47621</xdr:rowOff>
    </xdr:from>
    <xdr:ext cx="5962646" cy="4581528"/>
    <xdr:graphicFrame macro="">
      <xdr:nvGraphicFramePr>
        <xdr:cNvPr id="5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76196</xdr:colOff>
      <xdr:row>0</xdr:row>
      <xdr:rowOff>28575</xdr:rowOff>
    </xdr:from>
    <xdr:ext cx="6438903" cy="3838578"/>
    <xdr:grpSp>
      <xdr:nvGrpSpPr>
        <xdr:cNvPr id="2" name="Gráfico 3"/>
        <xdr:cNvGrpSpPr/>
      </xdr:nvGrpSpPr>
      <xdr:grpSpPr>
        <a:xfrm>
          <a:off x="11306171" y="28575"/>
          <a:ext cx="6438903" cy="3838578"/>
          <a:chOff x="11306171" y="28575"/>
          <a:chExt cx="6438903" cy="3838578"/>
        </a:xfrm>
      </xdr:grpSpPr>
      <xdr:graphicFrame macro="">
        <xdr:nvGraphicFramePr>
          <xdr:cNvPr id="3" name="Gráfico 2"/>
          <xdr:cNvGraphicFramePr/>
        </xdr:nvGraphicFramePr>
        <xdr:xfrm>
          <a:off x="11306171" y="28575"/>
          <a:ext cx="6438903" cy="383857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5"/>
          <xdr:cNvSpPr txBox="1"/>
        </xdr:nvSpPr>
        <xdr:spPr>
          <a:xfrm>
            <a:off x="12973050" y="66678"/>
            <a:ext cx="3781428" cy="314325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órgãos mais demandados - Média/2023</a:t>
            </a:r>
          </a:p>
        </xdr:txBody>
      </xdr:sp>
    </xdr:grpSp>
    <xdr:clientData/>
  </xdr:oneCellAnchor>
  <xdr:oneCellAnchor>
    <xdr:from>
      <xdr:col>0</xdr:col>
      <xdr:colOff>323853</xdr:colOff>
      <xdr:row>17</xdr:row>
      <xdr:rowOff>142875</xdr:rowOff>
    </xdr:from>
    <xdr:ext cx="6772275" cy="3943349"/>
    <xdr:graphicFrame macro="">
      <xdr:nvGraphicFramePr>
        <xdr:cNvPr id="5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0</xdr:col>
      <xdr:colOff>352428</xdr:colOff>
      <xdr:row>17</xdr:row>
      <xdr:rowOff>114300</xdr:rowOff>
    </xdr:from>
    <xdr:ext cx="5504075" cy="381003"/>
    <xdr:sp macro="" textlink="">
      <xdr:nvSpPr>
        <xdr:cNvPr id="6" name="CaixaDeTexto 2"/>
        <xdr:cNvSpPr txBox="1"/>
      </xdr:nvSpPr>
      <xdr:spPr>
        <a:xfrm>
          <a:off x="352428" y="3762375"/>
          <a:ext cx="5504075" cy="381003"/>
        </a:xfrm>
        <a:prstGeom prst="rect">
          <a:avLst/>
        </a:prstGeom>
        <a:noFill/>
        <a:ln cap="flat">
          <a:noFill/>
        </a:ln>
      </xdr:spPr>
      <xdr:txBody>
        <a:bodyPr vert="horz" wrap="non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0" cap="none" spc="0" baseline="0">
              <a:solidFill>
                <a:srgbClr val="000000"/>
              </a:solidFill>
              <a:uFillTx/>
              <a:latin typeface="Calibri"/>
            </a:rPr>
            <a:t>UNIDADES - % em relação ao todo de ABR/23 (exetuando-se denúncias)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4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t-BR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19046</xdr:rowOff>
    </xdr:from>
    <xdr:ext cx="7038978" cy="3171825"/>
    <xdr:graphicFrame macro="">
      <xdr:nvGraphicFramePr>
        <xdr:cNvPr id="2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38103</xdr:colOff>
      <xdr:row>17</xdr:row>
      <xdr:rowOff>57150</xdr:rowOff>
    </xdr:from>
    <xdr:ext cx="6619871" cy="3505196"/>
    <xdr:graphicFrame macro="">
      <xdr:nvGraphicFramePr>
        <xdr:cNvPr id="3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152403</xdr:colOff>
      <xdr:row>2</xdr:row>
      <xdr:rowOff>19046</xdr:rowOff>
    </xdr:from>
    <xdr:ext cx="5244037" cy="3499912"/>
    <xdr:grpSp>
      <xdr:nvGrpSpPr>
        <xdr:cNvPr id="2" name="Gráfico 3"/>
        <xdr:cNvGrpSpPr/>
      </xdr:nvGrpSpPr>
      <xdr:grpSpPr>
        <a:xfrm>
          <a:off x="4543428" y="400046"/>
          <a:ext cx="5244037" cy="3499912"/>
          <a:chOff x="4543428" y="400046"/>
          <a:chExt cx="5244037" cy="3499912"/>
        </a:xfrm>
      </xdr:grpSpPr>
      <xdr:graphicFrame macro="">
        <xdr:nvGraphicFramePr>
          <xdr:cNvPr id="3" name="Gráfico 2"/>
          <xdr:cNvGraphicFramePr/>
        </xdr:nvGraphicFramePr>
        <xdr:xfrm>
          <a:off x="4552818" y="441030"/>
          <a:ext cx="5234647" cy="345892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2"/>
          <xdr:cNvSpPr txBox="1"/>
        </xdr:nvSpPr>
        <xdr:spPr>
          <a:xfrm>
            <a:off x="4543428" y="400046"/>
            <a:ext cx="4822216" cy="475533"/>
          </a:xfrm>
          <a:prstGeom prst="rect">
            <a:avLst/>
          </a:prstGeom>
          <a:noFill/>
          <a:ln cap="flat">
            <a:noFill/>
          </a:ln>
        </xdr:spPr>
        <xdr:txBody>
          <a:bodyPr vert="horz" wrap="none" lIns="91440" tIns="45720" rIns="91440" bIns="45720" anchor="t" anchorCtr="0" compatLnSpc="0">
            <a:noAutofit/>
          </a:bodyPr>
          <a:lstStyle/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10 unidades mais demandados do mês de abril em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algn="ctr" defTabSz="914400" rtl="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r>
              <a:rPr lang="pt-BR" sz="1400" b="1" i="0" u="none" strike="noStrike" kern="0" cap="none" spc="0" baseline="0">
                <a:solidFill>
                  <a:srgbClr val="000000"/>
                </a:solidFill>
                <a:uFillTx/>
                <a:latin typeface="Calibri"/>
              </a:rPr>
              <a:t>  comparação com o total de entrada do mês ABRIL/23</a:t>
            </a:r>
            <a:endParaRPr lang="pt-BR" sz="14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  <a:p>
            <a:pPr marL="0" marR="0" lvl="0" indent="0" defTabSz="914400" rtl="0" fontAlgn="auto" hangingPunct="1">
              <a:lnSpc>
                <a:spcPts val="1200"/>
              </a:lnSpc>
              <a:spcBef>
                <a:spcPts val="0"/>
              </a:spcBef>
              <a:spcAft>
                <a:spcPts val="0"/>
              </a:spcAft>
              <a:buNone/>
              <a:tabLst/>
              <a:defRPr sz="1800" b="0" i="0" u="none" strike="noStrike" kern="0" cap="none" spc="0" baseline="0">
                <a:solidFill>
                  <a:srgbClr val="000000"/>
                </a:solidFill>
                <a:uFillTx/>
              </a:defRPr>
            </a:pPr>
            <a:endParaRPr lang="pt-BR" sz="1100" b="0" i="0" u="none" strike="noStrike" kern="0" cap="none" spc="0" baseline="0">
              <a:solidFill>
                <a:srgbClr val="000000"/>
              </a:solidFill>
              <a:uFillTx/>
              <a:latin typeface="Calibri"/>
            </a:endParaRPr>
          </a:p>
        </xdr:txBody>
      </xdr:sp>
    </xdr:grpSp>
    <xdr:clientData/>
  </xdr:oneCellAnchor>
  <xdr:oneCellAnchor>
    <xdr:from>
      <xdr:col>11</xdr:col>
      <xdr:colOff>190496</xdr:colOff>
      <xdr:row>2</xdr:row>
      <xdr:rowOff>76196</xdr:rowOff>
    </xdr:from>
    <xdr:ext cx="4824941" cy="3433233"/>
    <xdr:graphicFrame macro="">
      <xdr:nvGraphicFramePr>
        <xdr:cNvPr id="5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Documento_do_Microsoft_Word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Q1" sqref="Q1"/>
    </sheetView>
  </sheetViews>
  <sheetFormatPr defaultRowHeight="15"/>
  <cols>
    <col min="1" max="1" width="9.140625" customWidth="1"/>
  </cols>
  <sheetData/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  <legacyDrawing r:id="rId2"/>
  <oleObjects>
    <mc:AlternateContent xmlns:mc="http://schemas.openxmlformats.org/markup-compatibility/2006">
      <mc:Choice Requires="x14">
        <oleObject progId="Word.Document.12" shapeId="1025" r:id="rId3">
          <objectPr defaultSize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16</xdr:col>
                <xdr:colOff>76200</xdr:colOff>
                <xdr:row>52</xdr:row>
                <xdr:rowOff>19050</xdr:rowOff>
              </to>
            </anchor>
          </objectPr>
        </oleObject>
      </mc:Choice>
      <mc:Fallback>
        <oleObject progId="Word.Document.12" shapeId="1025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/>
  </sheetViews>
  <sheetFormatPr defaultColWidth="5.5703125" defaultRowHeight="14.25"/>
  <cols>
    <col min="1" max="1" width="52.140625" style="13" customWidth="1"/>
    <col min="2" max="2" width="7.5703125" style="13" bestFit="1" customWidth="1"/>
    <col min="3" max="3" width="7.7109375" style="182" bestFit="1" customWidth="1"/>
    <col min="4" max="4" width="7.140625" style="13" bestFit="1" customWidth="1"/>
    <col min="5" max="5" width="7" style="179" bestFit="1" customWidth="1"/>
    <col min="6" max="6" width="7.5703125" style="13" bestFit="1" customWidth="1"/>
    <col min="7" max="7" width="6.28515625" style="179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5.85546875" style="13" bestFit="1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77" t="s">
        <v>0</v>
      </c>
      <c r="B1" s="177"/>
      <c r="C1" s="178"/>
      <c r="D1" s="177"/>
      <c r="N1" s="306"/>
      <c r="O1" s="306"/>
      <c r="P1" s="306"/>
    </row>
    <row r="2" spans="1:20" ht="15">
      <c r="A2" s="1" t="s">
        <v>1</v>
      </c>
      <c r="B2" s="1"/>
      <c r="C2" s="181"/>
      <c r="D2" s="1"/>
      <c r="N2" s="306"/>
      <c r="O2" s="306"/>
      <c r="P2" s="306"/>
    </row>
    <row r="3" spans="1:20" ht="15">
      <c r="A3" s="1"/>
      <c r="B3" s="1"/>
      <c r="C3" s="181"/>
      <c r="D3" s="1"/>
      <c r="N3" s="306"/>
      <c r="O3" s="306"/>
      <c r="P3" s="306"/>
    </row>
    <row r="4" spans="1:20" ht="15">
      <c r="A4" s="1" t="s">
        <v>293</v>
      </c>
      <c r="B4" s="1"/>
      <c r="C4" s="181"/>
      <c r="D4" s="1"/>
      <c r="N4" s="306"/>
      <c r="O4" s="306"/>
      <c r="P4" s="180">
        <v>4687</v>
      </c>
    </row>
    <row r="5" spans="1:20">
      <c r="E5" s="13"/>
      <c r="F5" s="179"/>
      <c r="G5" s="13"/>
      <c r="H5" s="179"/>
    </row>
    <row r="6" spans="1:20" ht="48">
      <c r="A6" s="69" t="s">
        <v>214</v>
      </c>
      <c r="B6" s="307">
        <v>45261</v>
      </c>
      <c r="C6" s="25">
        <v>45231</v>
      </c>
      <c r="D6" s="119">
        <v>45200</v>
      </c>
      <c r="E6" s="119">
        <v>45170</v>
      </c>
      <c r="F6" s="119">
        <v>45139</v>
      </c>
      <c r="G6" s="308">
        <v>45108</v>
      </c>
      <c r="H6" s="25">
        <v>45078</v>
      </c>
      <c r="I6" s="308">
        <v>45047</v>
      </c>
      <c r="J6" s="307">
        <v>45017</v>
      </c>
      <c r="K6" s="25">
        <v>44986</v>
      </c>
      <c r="L6" s="119">
        <v>44958</v>
      </c>
      <c r="M6" s="25">
        <v>44927</v>
      </c>
      <c r="N6" s="119" t="s">
        <v>5</v>
      </c>
      <c r="O6" s="68" t="s">
        <v>6</v>
      </c>
      <c r="P6" s="309" t="s">
        <v>215</v>
      </c>
    </row>
    <row r="7" spans="1:20" ht="14.25" customHeight="1" thickBot="1">
      <c r="A7" s="287" t="s">
        <v>242</v>
      </c>
      <c r="B7" s="310"/>
      <c r="C7" s="310"/>
      <c r="D7" s="311"/>
      <c r="E7" s="311"/>
      <c r="F7" s="311"/>
      <c r="G7" s="311"/>
      <c r="H7" s="312"/>
      <c r="I7" s="311"/>
      <c r="J7" s="35">
        <v>1034</v>
      </c>
      <c r="K7" s="35">
        <v>886</v>
      </c>
      <c r="L7" s="35">
        <v>527</v>
      </c>
      <c r="M7" s="35">
        <v>564</v>
      </c>
      <c r="N7" s="311">
        <f t="shared" ref="N7:N16" si="0">SUM(B7:M7)</f>
        <v>3011</v>
      </c>
      <c r="O7" s="313">
        <f t="shared" ref="O7:O17" si="1">AVERAGE(B7:M7)</f>
        <v>752.75</v>
      </c>
      <c r="P7" s="191">
        <f t="shared" ref="P7:P17" si="2">(J7*100)/$P$4</f>
        <v>22.061019842116494</v>
      </c>
      <c r="S7" s="179"/>
      <c r="T7" s="179"/>
    </row>
    <row r="8" spans="1:20" ht="15" customHeight="1" thickBot="1">
      <c r="A8" s="287" t="s">
        <v>241</v>
      </c>
      <c r="B8" s="314"/>
      <c r="C8" s="314"/>
      <c r="D8" s="315"/>
      <c r="E8" s="315"/>
      <c r="F8" s="315"/>
      <c r="G8" s="315"/>
      <c r="H8" s="315"/>
      <c r="I8" s="315"/>
      <c r="J8" s="46">
        <v>572</v>
      </c>
      <c r="K8" s="46">
        <v>573</v>
      </c>
      <c r="L8" s="46">
        <v>536</v>
      </c>
      <c r="M8" s="46">
        <v>545</v>
      </c>
      <c r="N8" s="315">
        <f t="shared" si="0"/>
        <v>2226</v>
      </c>
      <c r="O8" s="285">
        <f t="shared" si="1"/>
        <v>556.5</v>
      </c>
      <c r="P8" s="191">
        <f t="shared" si="2"/>
        <v>12.203968423298486</v>
      </c>
      <c r="S8" s="179"/>
      <c r="T8" s="179"/>
    </row>
    <row r="9" spans="1:20" ht="15.75" thickBot="1">
      <c r="A9" s="287" t="s">
        <v>240</v>
      </c>
      <c r="B9" s="316"/>
      <c r="C9" s="316"/>
      <c r="D9" s="317"/>
      <c r="E9" s="317"/>
      <c r="F9" s="317"/>
      <c r="G9" s="317"/>
      <c r="H9" s="317"/>
      <c r="I9" s="317"/>
      <c r="J9" s="46">
        <v>332</v>
      </c>
      <c r="K9" s="46">
        <v>373</v>
      </c>
      <c r="L9" s="46">
        <v>318</v>
      </c>
      <c r="M9" s="46">
        <v>343</v>
      </c>
      <c r="N9" s="315">
        <f t="shared" si="0"/>
        <v>1366</v>
      </c>
      <c r="O9" s="285">
        <f t="shared" si="1"/>
        <v>341.5</v>
      </c>
      <c r="P9" s="191">
        <f t="shared" si="2"/>
        <v>7.0834222317047155</v>
      </c>
      <c r="S9" s="179"/>
      <c r="T9" s="179"/>
    </row>
    <row r="10" spans="1:20" ht="15.75" thickBot="1">
      <c r="A10" s="287" t="s">
        <v>227</v>
      </c>
      <c r="B10" s="318"/>
      <c r="C10" s="47"/>
      <c r="D10" s="216"/>
      <c r="E10" s="215"/>
      <c r="F10" s="216"/>
      <c r="G10" s="215"/>
      <c r="H10" s="216"/>
      <c r="I10" s="216"/>
      <c r="J10" s="46">
        <v>231</v>
      </c>
      <c r="K10" s="46">
        <v>299</v>
      </c>
      <c r="L10" s="46">
        <v>330</v>
      </c>
      <c r="M10" s="46">
        <v>327</v>
      </c>
      <c r="N10" s="315">
        <f t="shared" si="0"/>
        <v>1187</v>
      </c>
      <c r="O10" s="285">
        <f t="shared" si="1"/>
        <v>296.75</v>
      </c>
      <c r="P10" s="191">
        <f t="shared" si="2"/>
        <v>4.928525709409004</v>
      </c>
      <c r="S10" s="179"/>
      <c r="T10" s="179"/>
    </row>
    <row r="11" spans="1:20" ht="15.75" thickBot="1">
      <c r="A11" s="287" t="s">
        <v>238</v>
      </c>
      <c r="B11" s="314"/>
      <c r="C11" s="314"/>
      <c r="D11" s="315"/>
      <c r="E11" s="315"/>
      <c r="F11" s="315"/>
      <c r="G11" s="315"/>
      <c r="H11" s="319"/>
      <c r="I11" s="315"/>
      <c r="J11" s="46">
        <v>222</v>
      </c>
      <c r="K11" s="46">
        <v>306</v>
      </c>
      <c r="L11" s="46">
        <v>292</v>
      </c>
      <c r="M11" s="46">
        <v>328</v>
      </c>
      <c r="N11" s="315">
        <f t="shared" si="0"/>
        <v>1148</v>
      </c>
      <c r="O11" s="285">
        <f t="shared" si="1"/>
        <v>287</v>
      </c>
      <c r="P11" s="191">
        <f t="shared" si="2"/>
        <v>4.7365052272242369</v>
      </c>
      <c r="S11" s="179"/>
      <c r="T11" s="179"/>
    </row>
    <row r="12" spans="1:20" ht="15" customHeight="1" thickBot="1">
      <c r="A12" s="287" t="s">
        <v>237</v>
      </c>
      <c r="B12" s="314"/>
      <c r="C12" s="314"/>
      <c r="D12" s="315"/>
      <c r="E12" s="315"/>
      <c r="F12" s="315"/>
      <c r="G12" s="315"/>
      <c r="H12" s="315"/>
      <c r="I12" s="315"/>
      <c r="J12" s="46">
        <v>247</v>
      </c>
      <c r="K12" s="46">
        <v>318</v>
      </c>
      <c r="L12" s="46">
        <v>286</v>
      </c>
      <c r="M12" s="46">
        <v>247</v>
      </c>
      <c r="N12" s="315">
        <f t="shared" si="0"/>
        <v>1098</v>
      </c>
      <c r="O12" s="285">
        <f t="shared" si="1"/>
        <v>274.5</v>
      </c>
      <c r="P12" s="191">
        <f t="shared" si="2"/>
        <v>5.2698954555152548</v>
      </c>
      <c r="S12" s="179"/>
      <c r="T12" s="179"/>
    </row>
    <row r="13" spans="1:20" ht="15.75" thickBot="1">
      <c r="A13" s="287" t="s">
        <v>246</v>
      </c>
      <c r="B13" s="314"/>
      <c r="C13" s="314"/>
      <c r="D13" s="315"/>
      <c r="E13" s="315"/>
      <c r="F13" s="315"/>
      <c r="G13" s="315"/>
      <c r="H13" s="315"/>
      <c r="I13" s="315"/>
      <c r="J13" s="46">
        <v>183</v>
      </c>
      <c r="K13" s="46">
        <v>326</v>
      </c>
      <c r="L13" s="46">
        <v>377</v>
      </c>
      <c r="M13" s="46">
        <v>131</v>
      </c>
      <c r="N13" s="315">
        <f t="shared" si="0"/>
        <v>1017</v>
      </c>
      <c r="O13" s="285">
        <f t="shared" si="1"/>
        <v>254.25</v>
      </c>
      <c r="P13" s="191">
        <f t="shared" si="2"/>
        <v>3.9044164710902498</v>
      </c>
      <c r="S13" s="179"/>
      <c r="T13" s="179"/>
    </row>
    <row r="14" spans="1:20" ht="15.75" thickBot="1">
      <c r="A14" s="287" t="s">
        <v>233</v>
      </c>
      <c r="B14" s="314"/>
      <c r="C14" s="314"/>
      <c r="D14" s="315"/>
      <c r="E14" s="315"/>
      <c r="F14" s="315"/>
      <c r="G14" s="315"/>
      <c r="H14" s="319"/>
      <c r="I14" s="315"/>
      <c r="J14" s="46">
        <v>238</v>
      </c>
      <c r="K14" s="46">
        <v>333</v>
      </c>
      <c r="L14" s="46">
        <v>204</v>
      </c>
      <c r="M14" s="46">
        <v>140</v>
      </c>
      <c r="N14" s="315">
        <f t="shared" si="0"/>
        <v>915</v>
      </c>
      <c r="O14" s="285">
        <f t="shared" si="1"/>
        <v>228.75</v>
      </c>
      <c r="P14" s="191">
        <f t="shared" si="2"/>
        <v>5.0778749733304887</v>
      </c>
      <c r="S14" s="179"/>
      <c r="T14" s="179"/>
    </row>
    <row r="15" spans="1:20" ht="15.75" thickBot="1">
      <c r="A15" s="287" t="s">
        <v>274</v>
      </c>
      <c r="B15" s="314"/>
      <c r="C15" s="314"/>
      <c r="D15" s="315"/>
      <c r="E15" s="315"/>
      <c r="F15" s="315"/>
      <c r="G15" s="315"/>
      <c r="H15" s="315"/>
      <c r="I15" s="315"/>
      <c r="J15" s="46">
        <v>91</v>
      </c>
      <c r="K15" s="46">
        <v>140</v>
      </c>
      <c r="L15" s="46">
        <v>71</v>
      </c>
      <c r="M15" s="46">
        <v>70</v>
      </c>
      <c r="N15" s="315">
        <f t="shared" si="0"/>
        <v>372</v>
      </c>
      <c r="O15" s="285">
        <f t="shared" si="1"/>
        <v>93</v>
      </c>
      <c r="P15" s="191">
        <f t="shared" si="2"/>
        <v>1.9415404309793045</v>
      </c>
      <c r="S15" s="179"/>
      <c r="T15" s="179"/>
    </row>
    <row r="16" spans="1:20" ht="15.75" thickBot="1">
      <c r="A16" s="287" t="s">
        <v>294</v>
      </c>
      <c r="B16" s="320"/>
      <c r="C16" s="320"/>
      <c r="D16" s="321"/>
      <c r="E16" s="321"/>
      <c r="F16" s="321"/>
      <c r="G16" s="321"/>
      <c r="H16" s="321"/>
      <c r="I16" s="321"/>
      <c r="J16" s="55">
        <v>57</v>
      </c>
      <c r="K16" s="55">
        <v>140</v>
      </c>
      <c r="L16" s="55">
        <v>99</v>
      </c>
      <c r="M16" s="55">
        <v>68</v>
      </c>
      <c r="N16" s="321">
        <f t="shared" si="0"/>
        <v>364</v>
      </c>
      <c r="O16" s="298">
        <f t="shared" si="1"/>
        <v>91</v>
      </c>
      <c r="P16" s="191">
        <f t="shared" si="2"/>
        <v>1.2161297205035204</v>
      </c>
      <c r="S16" s="179"/>
      <c r="T16" s="179"/>
    </row>
    <row r="17" spans="1:41" ht="15.75" customHeight="1" thickBot="1">
      <c r="A17" s="322" t="s">
        <v>5</v>
      </c>
      <c r="B17" s="62"/>
      <c r="C17" s="62"/>
      <c r="D17" s="62"/>
      <c r="E17" s="62"/>
      <c r="F17" s="62"/>
      <c r="G17" s="62"/>
      <c r="H17" s="62"/>
      <c r="I17" s="63"/>
      <c r="J17" s="62">
        <f>SUM(J7:J16)</f>
        <v>3207</v>
      </c>
      <c r="K17" s="62">
        <f>SUM(K7:K16)</f>
        <v>3694</v>
      </c>
      <c r="L17" s="62">
        <f>SUM(L7:L16)</f>
        <v>3040</v>
      </c>
      <c r="M17" s="234">
        <f>SUM(M7:M16)</f>
        <v>2763</v>
      </c>
      <c r="N17" s="323">
        <f>SUM(N7:N16)</f>
        <v>12704</v>
      </c>
      <c r="O17" s="66">
        <f t="shared" si="1"/>
        <v>3176</v>
      </c>
      <c r="P17" s="98">
        <f t="shared" si="2"/>
        <v>68.423298485171756</v>
      </c>
      <c r="S17" s="179"/>
      <c r="T17" s="179"/>
    </row>
    <row r="18" spans="1:41" ht="23.25" customHeight="1">
      <c r="A18" s="180" t="s">
        <v>216</v>
      </c>
      <c r="E18" s="13"/>
      <c r="G18" s="13"/>
      <c r="O18" s="180" t="s">
        <v>217</v>
      </c>
      <c r="P18" s="203">
        <f>100-P17</f>
        <v>31.576701514828244</v>
      </c>
    </row>
    <row r="19" spans="1:41" ht="54.75" customHeight="1">
      <c r="A19" s="204"/>
      <c r="B19" s="204"/>
      <c r="C19" s="205"/>
      <c r="G19" s="13"/>
      <c r="N19" s="864"/>
      <c r="O19" s="864"/>
      <c r="P19" s="864"/>
      <c r="W19" s="179"/>
    </row>
    <row r="20" spans="1:41">
      <c r="A20" s="206"/>
      <c r="B20" s="206"/>
      <c r="C20" s="207"/>
      <c r="G20" s="13"/>
      <c r="O20" s="179"/>
      <c r="W20" s="179"/>
      <c r="AC20" s="208"/>
      <c r="AD20" s="209"/>
      <c r="AE20" s="209"/>
      <c r="AF20" s="209"/>
      <c r="AG20" s="209"/>
      <c r="AH20" s="209"/>
      <c r="AI20" s="209"/>
      <c r="AJ20" s="182"/>
      <c r="AK20" s="209"/>
      <c r="AL20" s="209"/>
      <c r="AM20" s="209"/>
      <c r="AN20" s="209"/>
      <c r="AO20" s="210"/>
    </row>
    <row r="21" spans="1:41" ht="92.25" customHeight="1">
      <c r="A21" s="204"/>
      <c r="B21" s="204"/>
      <c r="C21" s="205"/>
      <c r="G21" s="13"/>
      <c r="L21" s="211"/>
      <c r="N21" s="864"/>
      <c r="O21" s="864"/>
      <c r="P21" s="864"/>
      <c r="W21" s="179"/>
      <c r="AC21" s="208"/>
      <c r="AD21" s="209"/>
      <c r="AE21" s="209"/>
      <c r="AF21" s="209"/>
      <c r="AG21" s="209"/>
      <c r="AH21" s="209"/>
      <c r="AI21" s="209"/>
      <c r="AJ21" s="182"/>
      <c r="AK21" s="209"/>
      <c r="AL21" s="209"/>
      <c r="AM21" s="209"/>
      <c r="AN21" s="209"/>
      <c r="AO21" s="210"/>
    </row>
    <row r="22" spans="1:41">
      <c r="A22" s="204"/>
      <c r="B22" s="204"/>
      <c r="C22" s="205"/>
      <c r="G22" s="13"/>
      <c r="O22" s="179"/>
      <c r="W22" s="212"/>
      <c r="AC22" s="208"/>
      <c r="AD22" s="209"/>
      <c r="AE22" s="209"/>
      <c r="AF22" s="209"/>
      <c r="AG22" s="209"/>
      <c r="AH22" s="209"/>
      <c r="AI22" s="209"/>
      <c r="AJ22" s="182"/>
      <c r="AK22" s="209"/>
      <c r="AL22" s="209"/>
      <c r="AM22" s="209"/>
      <c r="AN22" s="209"/>
      <c r="AO22" s="210"/>
    </row>
    <row r="23" spans="1:41" ht="66.75" customHeight="1">
      <c r="A23" s="204"/>
      <c r="B23" s="204"/>
      <c r="C23" s="205"/>
      <c r="G23" s="13"/>
      <c r="N23" s="864"/>
      <c r="O23" s="864"/>
      <c r="P23" s="864"/>
      <c r="W23" s="179"/>
      <c r="AC23" s="208"/>
      <c r="AD23" s="209"/>
      <c r="AE23" s="209"/>
      <c r="AF23" s="209"/>
      <c r="AG23" s="209"/>
      <c r="AH23" s="209"/>
      <c r="AI23" s="209"/>
      <c r="AJ23" s="182"/>
      <c r="AK23" s="209"/>
      <c r="AL23" s="209"/>
      <c r="AM23" s="209"/>
      <c r="AN23" s="209"/>
      <c r="AO23" s="210"/>
    </row>
    <row r="24" spans="1:41">
      <c r="A24" s="206"/>
      <c r="B24" s="206"/>
      <c r="C24" s="207"/>
      <c r="G24" s="13"/>
      <c r="W24" s="179"/>
      <c r="AC24" s="208"/>
      <c r="AD24" s="209"/>
      <c r="AE24" s="209"/>
      <c r="AF24" s="209"/>
      <c r="AG24" s="209"/>
      <c r="AH24" s="209"/>
      <c r="AI24" s="209"/>
      <c r="AJ24" s="182"/>
      <c r="AK24" s="209"/>
      <c r="AL24" s="209"/>
      <c r="AM24" s="209"/>
      <c r="AN24" s="209"/>
      <c r="AO24" s="210"/>
    </row>
    <row r="25" spans="1:41">
      <c r="A25" s="204"/>
      <c r="B25" s="204"/>
      <c r="C25" s="205"/>
      <c r="G25" s="13"/>
      <c r="W25" s="179"/>
      <c r="AC25" s="208"/>
      <c r="AD25" s="209"/>
      <c r="AE25" s="209"/>
      <c r="AF25" s="209"/>
      <c r="AG25" s="209"/>
      <c r="AH25" s="209"/>
      <c r="AI25" s="209"/>
      <c r="AJ25" s="182"/>
      <c r="AK25" s="209"/>
      <c r="AL25" s="209"/>
      <c r="AM25" s="209"/>
      <c r="AN25" s="209"/>
      <c r="AO25" s="210"/>
    </row>
    <row r="26" spans="1:41">
      <c r="AC26" s="208"/>
      <c r="AD26" s="209"/>
      <c r="AE26" s="209"/>
      <c r="AF26" s="209"/>
      <c r="AG26" s="209"/>
      <c r="AH26" s="209"/>
      <c r="AI26" s="209"/>
      <c r="AJ26" s="182"/>
      <c r="AK26" s="209"/>
      <c r="AL26" s="209"/>
      <c r="AM26" s="209"/>
      <c r="AN26" s="209"/>
      <c r="AO26" s="210"/>
    </row>
    <row r="27" spans="1:41">
      <c r="R27" s="208"/>
      <c r="S27" s="209"/>
      <c r="T27" s="210"/>
      <c r="U27" s="210"/>
      <c r="V27" s="210"/>
      <c r="W27" s="213"/>
      <c r="AC27" s="208"/>
      <c r="AD27" s="209"/>
      <c r="AE27" s="209"/>
      <c r="AF27" s="209"/>
      <c r="AG27" s="209"/>
      <c r="AH27" s="209"/>
      <c r="AI27" s="209"/>
      <c r="AJ27" s="182"/>
      <c r="AK27" s="209"/>
      <c r="AL27" s="209"/>
      <c r="AM27" s="209"/>
      <c r="AN27" s="209"/>
      <c r="AO27" s="210"/>
    </row>
    <row r="28" spans="1:41">
      <c r="R28" s="208"/>
      <c r="S28" s="209"/>
      <c r="T28" s="210"/>
      <c r="U28" s="210"/>
      <c r="V28" s="210"/>
      <c r="W28" s="213"/>
      <c r="AC28" s="208"/>
      <c r="AD28" s="209"/>
      <c r="AE28" s="209"/>
      <c r="AF28" s="209"/>
      <c r="AG28" s="209"/>
      <c r="AH28" s="209"/>
      <c r="AI28" s="209"/>
      <c r="AJ28" s="182"/>
      <c r="AK28" s="209"/>
      <c r="AL28" s="209"/>
      <c r="AM28" s="209"/>
      <c r="AN28" s="209"/>
      <c r="AO28" s="210"/>
    </row>
    <row r="29" spans="1:41">
      <c r="R29" s="208"/>
      <c r="S29" s="209"/>
      <c r="T29" s="210"/>
      <c r="U29" s="210"/>
      <c r="V29" s="210"/>
      <c r="W29" s="213"/>
      <c r="AC29" s="208"/>
      <c r="AD29" s="209"/>
      <c r="AE29" s="209"/>
      <c r="AF29" s="209"/>
      <c r="AG29" s="209"/>
      <c r="AH29" s="209"/>
      <c r="AI29" s="209"/>
      <c r="AJ29" s="182"/>
      <c r="AK29" s="209"/>
      <c r="AL29" s="209"/>
      <c r="AM29" s="209"/>
      <c r="AN29" s="209"/>
      <c r="AO29" s="210"/>
    </row>
    <row r="30" spans="1:41">
      <c r="R30" s="208"/>
      <c r="S30" s="209"/>
      <c r="T30" s="210"/>
      <c r="U30" s="210"/>
      <c r="V30" s="210"/>
      <c r="W30" s="213"/>
      <c r="AO30" s="179"/>
    </row>
    <row r="31" spans="1:41">
      <c r="R31" s="208"/>
      <c r="S31" s="209"/>
      <c r="T31" s="210"/>
      <c r="U31" s="210"/>
      <c r="V31" s="210"/>
      <c r="W31" s="213"/>
    </row>
    <row r="32" spans="1:41">
      <c r="R32" s="208"/>
      <c r="S32" s="209"/>
      <c r="T32" s="210"/>
      <c r="U32" s="210"/>
      <c r="V32" s="210"/>
      <c r="W32" s="213"/>
    </row>
    <row r="33" spans="1:23">
      <c r="R33" s="208"/>
      <c r="S33" s="209"/>
      <c r="T33" s="210"/>
      <c r="U33" s="210"/>
      <c r="V33" s="210"/>
      <c r="W33" s="213"/>
    </row>
    <row r="34" spans="1:23">
      <c r="R34" s="208"/>
      <c r="S34" s="209"/>
      <c r="T34" s="210"/>
      <c r="U34" s="210"/>
      <c r="V34" s="210"/>
      <c r="W34" s="213"/>
    </row>
    <row r="35" spans="1:23">
      <c r="R35" s="208"/>
      <c r="S35" s="209"/>
      <c r="T35" s="210"/>
      <c r="U35" s="210"/>
      <c r="V35" s="210"/>
      <c r="W35" s="213"/>
    </row>
    <row r="36" spans="1:23">
      <c r="R36" s="208"/>
      <c r="S36" s="209"/>
      <c r="T36" s="210"/>
      <c r="U36" s="210"/>
      <c r="V36" s="210"/>
      <c r="W36" s="213"/>
    </row>
    <row r="42" spans="1:23" ht="14.25" customHeight="1"/>
    <row r="43" spans="1:23">
      <c r="A43" s="206"/>
      <c r="B43" s="206"/>
      <c r="C43" s="207"/>
      <c r="D43" s="206"/>
    </row>
    <row r="44" spans="1:23" ht="14.25" customHeight="1"/>
    <row r="45" spans="1:23">
      <c r="A45" s="206"/>
      <c r="B45" s="206"/>
      <c r="C45" s="207"/>
      <c r="D45" s="206"/>
    </row>
    <row r="46" spans="1:23" ht="14.25" customHeight="1"/>
  </sheetData>
  <mergeCells count="3">
    <mergeCell ref="N19:P19"/>
    <mergeCell ref="N21:P21"/>
    <mergeCell ref="N23:P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/>
  </sheetViews>
  <sheetFormatPr defaultRowHeight="14.25"/>
  <cols>
    <col min="1" max="1" width="10.42578125" style="13" customWidth="1"/>
    <col min="2" max="2" width="13.42578125" style="179" customWidth="1"/>
    <col min="3" max="3" width="11.7109375" style="179" bestFit="1" customWidth="1"/>
    <col min="4" max="4" width="6.28515625" style="13" bestFit="1" customWidth="1"/>
    <col min="5" max="5" width="12" style="13" bestFit="1" customWidth="1"/>
    <col min="6" max="6" width="13.42578125" style="13" bestFit="1" customWidth="1"/>
    <col min="7" max="7" width="11.28515625" style="13" bestFit="1" customWidth="1"/>
    <col min="8" max="8" width="7.5703125" style="13" bestFit="1" customWidth="1"/>
    <col min="9" max="9" width="8.5703125" style="13" bestFit="1" customWidth="1"/>
    <col min="10" max="10" width="13.42578125" style="13" bestFit="1" customWidth="1"/>
    <col min="11" max="11" width="11.28515625" style="13" bestFit="1" customWidth="1"/>
    <col min="12" max="12" width="7.140625" style="13" customWidth="1"/>
    <col min="13" max="13" width="8.5703125" style="13" bestFit="1" customWidth="1"/>
    <col min="14" max="14" width="13.42578125" style="13" bestFit="1" customWidth="1"/>
    <col min="15" max="15" width="12" style="13" customWidth="1"/>
    <col min="16" max="16" width="9.7109375" style="13" customWidth="1"/>
    <col min="17" max="17" width="9.140625" style="13" customWidth="1"/>
    <col min="18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295</v>
      </c>
    </row>
    <row r="5" spans="1:15" ht="15">
      <c r="A5" s="1"/>
    </row>
    <row r="6" spans="1:15">
      <c r="A6" s="13" t="s">
        <v>219</v>
      </c>
    </row>
    <row r="7" spans="1:15">
      <c r="A7" s="13" t="s">
        <v>220</v>
      </c>
    </row>
    <row r="8" spans="1:15" ht="15" thickBot="1">
      <c r="B8" s="13"/>
      <c r="C8" s="13"/>
    </row>
    <row r="9" spans="1:15" s="218" customFormat="1" ht="41.25" customHeight="1" thickBot="1">
      <c r="A9" s="867" t="str">
        <f>'10_UNIDADES_+_demandadas_2023'!A7</f>
        <v>Secretaria Municipal de Assistência e Desenvolvimento Social</v>
      </c>
      <c r="B9" s="867"/>
      <c r="C9" s="867"/>
      <c r="E9" s="867" t="str">
        <f>'10_UNIDADES_+_demandadas_2023'!A8</f>
        <v>Secretaria Municipal das Subprefeituras</v>
      </c>
      <c r="F9" s="867"/>
      <c r="G9" s="867"/>
      <c r="I9" s="867" t="str">
        <f>'10_UNIDADES_+_demandadas_2023'!A9</f>
        <v>Secretaria Municipal da Saúde</v>
      </c>
      <c r="J9" s="867"/>
      <c r="K9" s="867"/>
      <c r="M9" s="867" t="str">
        <f>'10_UNIDADES_+_demandadas_2023'!A10</f>
        <v>Companhia de Engenharia de Tráfego - CET</v>
      </c>
      <c r="N9" s="867"/>
      <c r="O9" s="867"/>
    </row>
    <row r="10" spans="1:15" ht="15.75" thickBot="1">
      <c r="A10" s="4" t="s">
        <v>2</v>
      </c>
      <c r="B10" s="4" t="s">
        <v>221</v>
      </c>
      <c r="C10" s="4" t="s">
        <v>222</v>
      </c>
      <c r="E10" s="5" t="s">
        <v>2</v>
      </c>
      <c r="F10" s="4" t="s">
        <v>221</v>
      </c>
      <c r="G10" s="4" t="s">
        <v>222</v>
      </c>
      <c r="I10" s="4" t="s">
        <v>2</v>
      </c>
      <c r="J10" s="4" t="s">
        <v>221</v>
      </c>
      <c r="K10" s="4" t="s">
        <v>222</v>
      </c>
      <c r="M10" s="5" t="s">
        <v>2</v>
      </c>
      <c r="N10" s="5" t="s">
        <v>221</v>
      </c>
      <c r="O10" s="5" t="s">
        <v>222</v>
      </c>
    </row>
    <row r="11" spans="1:15" ht="15">
      <c r="A11" s="220">
        <v>44927</v>
      </c>
      <c r="B11" s="324">
        <f>'10_UNIDADES_+_demandadas_2023'!M7</f>
        <v>564</v>
      </c>
      <c r="C11" s="325">
        <f>((B11-424)/424)*100</f>
        <v>33.018867924528301</v>
      </c>
      <c r="E11" s="220">
        <v>44927</v>
      </c>
      <c r="F11" s="324">
        <f>'10_UNIDADES_+_demandadas_2023'!M8</f>
        <v>545</v>
      </c>
      <c r="G11" s="325">
        <f>((F11-454)/454)*100</f>
        <v>20.044052863436125</v>
      </c>
      <c r="I11" s="220">
        <v>44927</v>
      </c>
      <c r="J11" s="324">
        <f>'10_UNIDADES_+_demandadas_2023'!M9</f>
        <v>343</v>
      </c>
      <c r="K11" s="325">
        <f>((J11-251)/251)*100</f>
        <v>36.65338645418327</v>
      </c>
      <c r="M11" s="220">
        <v>44927</v>
      </c>
      <c r="N11" s="222">
        <f>'10_UNIDADES_+_demandadas_2023'!M10</f>
        <v>327</v>
      </c>
      <c r="O11" s="326">
        <f>((N11-263)/263)*100</f>
        <v>24.334600760456272</v>
      </c>
    </row>
    <row r="12" spans="1:15" ht="15">
      <c r="A12" s="223">
        <v>44958</v>
      </c>
      <c r="B12" s="327">
        <f>'10_UNIDADES_+_demandadas_2023'!L7</f>
        <v>527</v>
      </c>
      <c r="C12" s="328">
        <f>((B12-B11)/B11)*100</f>
        <v>-6.5602836879432624</v>
      </c>
      <c r="E12" s="223">
        <v>44958</v>
      </c>
      <c r="F12" s="327">
        <f>'10_UNIDADES_+_demandadas_2023'!L8</f>
        <v>536</v>
      </c>
      <c r="G12" s="328">
        <f>((F12-F11)/F11)*100</f>
        <v>-1.6513761467889909</v>
      </c>
      <c r="I12" s="223">
        <v>44958</v>
      </c>
      <c r="J12" s="327">
        <f>'10_UNIDADES_+_demandadas_2023'!L9</f>
        <v>318</v>
      </c>
      <c r="K12" s="328">
        <f>((J12-J11)/J11)*100</f>
        <v>-7.2886297376093294</v>
      </c>
      <c r="M12" s="223">
        <v>44958</v>
      </c>
      <c r="N12" s="224">
        <f>'10_UNIDADES_+_demandadas_2023'!L10</f>
        <v>330</v>
      </c>
      <c r="O12" s="9">
        <f>((N12-N11)/N11)*100</f>
        <v>0.91743119266055051</v>
      </c>
    </row>
    <row r="13" spans="1:15" ht="15">
      <c r="A13" s="223">
        <v>44986</v>
      </c>
      <c r="B13" s="327">
        <f>'10_UNIDADES_+_demandadas_2023'!K7</f>
        <v>886</v>
      </c>
      <c r="C13" s="328">
        <f>((B13-B12)/B12)*100</f>
        <v>68.121442125237195</v>
      </c>
      <c r="E13" s="223">
        <v>44986</v>
      </c>
      <c r="F13" s="327">
        <f>'10_UNIDADES_+_demandadas_2023'!K8</f>
        <v>573</v>
      </c>
      <c r="G13" s="328">
        <f>((F13-F12)/F12)*100</f>
        <v>6.9029850746268657</v>
      </c>
      <c r="I13" s="223">
        <v>44986</v>
      </c>
      <c r="J13" s="327">
        <f>'10_UNIDADES_+_demandadas_2023'!K9</f>
        <v>373</v>
      </c>
      <c r="K13" s="328">
        <f>((J13-J12)/J12)*100</f>
        <v>17.29559748427673</v>
      </c>
      <c r="M13" s="223">
        <v>44986</v>
      </c>
      <c r="N13" s="224">
        <f>'10_UNIDADES_+_demandadas_2023'!K10</f>
        <v>299</v>
      </c>
      <c r="O13" s="9">
        <f>((N13-N12)/N12)*100</f>
        <v>-9.3939393939393927</v>
      </c>
    </row>
    <row r="14" spans="1:15" ht="15">
      <c r="A14" s="223">
        <v>45017</v>
      </c>
      <c r="B14" s="327">
        <f>'10_UNIDADES_+_demandadas_2023'!J7</f>
        <v>1034</v>
      </c>
      <c r="C14" s="328">
        <f>((B14-B13)/B13)*100</f>
        <v>16.704288939051921</v>
      </c>
      <c r="E14" s="223">
        <v>45017</v>
      </c>
      <c r="F14" s="327">
        <f>'10_UNIDADES_+_demandadas_2023'!J8</f>
        <v>572</v>
      </c>
      <c r="G14" s="328">
        <f>((F14-F13)/F13)*100</f>
        <v>-0.17452006980802792</v>
      </c>
      <c r="I14" s="223">
        <v>45017</v>
      </c>
      <c r="J14" s="327">
        <f>'10_UNIDADES_+_demandadas_2023'!J9</f>
        <v>332</v>
      </c>
      <c r="K14" s="328">
        <f>((J14-J13)/J13)*100</f>
        <v>-10.991957104557642</v>
      </c>
      <c r="M14" s="223">
        <v>45017</v>
      </c>
      <c r="N14" s="224">
        <f>'10_UNIDADES_+_demandadas_2023'!J10</f>
        <v>231</v>
      </c>
      <c r="O14" s="9">
        <f>((N14-N13)/N13)*100</f>
        <v>-22.742474916387959</v>
      </c>
    </row>
    <row r="15" spans="1:15" ht="15">
      <c r="A15" s="223">
        <v>45047</v>
      </c>
      <c r="B15" s="327"/>
      <c r="C15" s="328"/>
      <c r="E15" s="223">
        <v>45047</v>
      </c>
      <c r="F15" s="327"/>
      <c r="G15" s="328"/>
      <c r="I15" s="223">
        <v>45047</v>
      </c>
      <c r="J15" s="327"/>
      <c r="K15" s="328"/>
      <c r="M15" s="223">
        <v>45047</v>
      </c>
      <c r="N15" s="224"/>
      <c r="O15" s="9"/>
    </row>
    <row r="16" spans="1:15" ht="15">
      <c r="A16" s="223">
        <v>45078</v>
      </c>
      <c r="B16" s="327"/>
      <c r="C16" s="328"/>
      <c r="E16" s="223">
        <v>45078</v>
      </c>
      <c r="F16" s="327"/>
      <c r="G16" s="328"/>
      <c r="I16" s="223">
        <v>45078</v>
      </c>
      <c r="J16" s="327"/>
      <c r="K16" s="328"/>
      <c r="M16" s="223">
        <v>45078</v>
      </c>
      <c r="N16" s="224"/>
      <c r="O16" s="9"/>
    </row>
    <row r="17" spans="1:15" ht="15">
      <c r="A17" s="223">
        <v>45108</v>
      </c>
      <c r="B17" s="327"/>
      <c r="C17" s="328"/>
      <c r="E17" s="223">
        <v>45108</v>
      </c>
      <c r="F17" s="327"/>
      <c r="G17" s="328"/>
      <c r="I17" s="223">
        <v>45108</v>
      </c>
      <c r="J17" s="327"/>
      <c r="K17" s="328"/>
      <c r="M17" s="223">
        <v>45108</v>
      </c>
      <c r="N17" s="224"/>
      <c r="O17" s="9"/>
    </row>
    <row r="18" spans="1:15" ht="15">
      <c r="A18" s="223">
        <v>45139</v>
      </c>
      <c r="B18" s="327"/>
      <c r="C18" s="328"/>
      <c r="E18" s="223">
        <v>45139</v>
      </c>
      <c r="F18" s="327"/>
      <c r="G18" s="328"/>
      <c r="I18" s="223">
        <v>45139</v>
      </c>
      <c r="J18" s="327"/>
      <c r="K18" s="328"/>
      <c r="M18" s="223">
        <v>45139</v>
      </c>
      <c r="N18" s="224"/>
      <c r="O18" s="9"/>
    </row>
    <row r="19" spans="1:15" ht="15">
      <c r="A19" s="223">
        <v>45170</v>
      </c>
      <c r="B19" s="327"/>
      <c r="C19" s="328"/>
      <c r="E19" s="223">
        <v>45170</v>
      </c>
      <c r="F19" s="327"/>
      <c r="G19" s="328"/>
      <c r="I19" s="223">
        <v>45170</v>
      </c>
      <c r="J19" s="327"/>
      <c r="K19" s="328"/>
      <c r="M19" s="223">
        <v>45170</v>
      </c>
      <c r="N19" s="224"/>
      <c r="O19" s="9"/>
    </row>
    <row r="20" spans="1:15" ht="15">
      <c r="A20" s="223">
        <v>45200</v>
      </c>
      <c r="B20" s="327"/>
      <c r="C20" s="328"/>
      <c r="E20" s="223">
        <v>45200</v>
      </c>
      <c r="F20" s="327"/>
      <c r="G20" s="328"/>
      <c r="I20" s="223">
        <v>45200</v>
      </c>
      <c r="J20" s="327"/>
      <c r="K20" s="328"/>
      <c r="M20" s="223">
        <v>45200</v>
      </c>
      <c r="N20" s="224"/>
      <c r="O20" s="9"/>
    </row>
    <row r="21" spans="1:15" ht="15">
      <c r="A21" s="223">
        <v>45231</v>
      </c>
      <c r="B21" s="327"/>
      <c r="C21" s="328"/>
      <c r="E21" s="223">
        <v>45231</v>
      </c>
      <c r="F21" s="327"/>
      <c r="G21" s="328"/>
      <c r="I21" s="223">
        <v>45231</v>
      </c>
      <c r="J21" s="327"/>
      <c r="K21" s="328"/>
      <c r="M21" s="223">
        <v>45231</v>
      </c>
      <c r="N21" s="224"/>
      <c r="O21" s="9"/>
    </row>
    <row r="22" spans="1:15" ht="15.75" thickBot="1">
      <c r="A22" s="226">
        <v>45261</v>
      </c>
      <c r="B22" s="329"/>
      <c r="C22" s="330"/>
      <c r="E22" s="226">
        <v>45261</v>
      </c>
      <c r="F22" s="329"/>
      <c r="G22" s="330"/>
      <c r="I22" s="226">
        <v>45261</v>
      </c>
      <c r="J22" s="329"/>
      <c r="K22" s="330"/>
      <c r="M22" s="226">
        <v>45261</v>
      </c>
      <c r="N22" s="331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30.75" customHeight="1" thickBot="1">
      <c r="A25" s="867" t="str">
        <f>'10_UNIDADES_+_demandadas_2023'!A11</f>
        <v>Secretaria Municipal da Fazenda</v>
      </c>
      <c r="B25" s="867"/>
      <c r="C25" s="867"/>
      <c r="E25" s="867" t="str">
        <f>'10_UNIDADES_+_demandadas_2023'!A12</f>
        <v>Secretaria Executiva de Limpeza Urbana**</v>
      </c>
      <c r="F25" s="867"/>
      <c r="G25" s="867"/>
      <c r="I25" s="867" t="str">
        <f>'10_UNIDADES_+_demandadas_2023'!A13</f>
        <v>Secretaria Municipal de Educação</v>
      </c>
      <c r="J25" s="867"/>
      <c r="K25" s="867"/>
      <c r="M25" s="867" t="str">
        <f>'10_UNIDADES_+_demandadas_2023'!A14</f>
        <v>São Paulo Transportes - SPTRANS</v>
      </c>
      <c r="N25" s="867"/>
      <c r="O25" s="867"/>
    </row>
    <row r="26" spans="1:15" ht="15.75" thickBot="1">
      <c r="A26" s="4" t="s">
        <v>2</v>
      </c>
      <c r="B26" s="5" t="s">
        <v>221</v>
      </c>
      <c r="C26" s="5" t="s">
        <v>222</v>
      </c>
      <c r="E26" s="5" t="s">
        <v>2</v>
      </c>
      <c r="F26" s="5" t="s">
        <v>221</v>
      </c>
      <c r="G26" s="5" t="s">
        <v>222</v>
      </c>
      <c r="I26" s="4" t="s">
        <v>2</v>
      </c>
      <c r="J26" s="5" t="s">
        <v>221</v>
      </c>
      <c r="K26" s="5" t="s">
        <v>222</v>
      </c>
      <c r="M26" s="332" t="s">
        <v>2</v>
      </c>
      <c r="N26" s="5" t="s">
        <v>221</v>
      </c>
      <c r="O26" s="5" t="s">
        <v>222</v>
      </c>
    </row>
    <row r="27" spans="1:15" ht="15">
      <c r="A27" s="220">
        <v>44927</v>
      </c>
      <c r="B27" s="222">
        <f>'10_UNIDADES_+_demandadas_2023'!M11</f>
        <v>328</v>
      </c>
      <c r="C27" s="326">
        <f>((B27-213)/213)*100</f>
        <v>53.990610328638496</v>
      </c>
      <c r="E27" s="220">
        <v>44927</v>
      </c>
      <c r="F27" s="222">
        <f>'10_UNIDADES_+_demandadas_2023'!M12</f>
        <v>247</v>
      </c>
      <c r="G27" s="326">
        <f>((F27-242)/242)*100</f>
        <v>2.0661157024793391</v>
      </c>
      <c r="I27" s="220">
        <v>44927</v>
      </c>
      <c r="J27" s="222">
        <f>'10_UNIDADES_+_demandadas_2023'!M13</f>
        <v>131</v>
      </c>
      <c r="K27" s="326">
        <f>((J27-135)/135)*100</f>
        <v>-2.9629629629629632</v>
      </c>
      <c r="M27" s="220">
        <v>44927</v>
      </c>
      <c r="N27" s="222">
        <f>'10_UNIDADES_+_demandadas_2023'!M14</f>
        <v>140</v>
      </c>
      <c r="O27" s="326">
        <f>((N27-112)/112)*100</f>
        <v>25</v>
      </c>
    </row>
    <row r="28" spans="1:15" ht="15">
      <c r="A28" s="223">
        <v>44958</v>
      </c>
      <c r="B28" s="224">
        <f>'10_UNIDADES_+_demandadas_2023'!L11</f>
        <v>292</v>
      </c>
      <c r="C28" s="9">
        <f>((B28-B27)/B27)*100</f>
        <v>-10.975609756097562</v>
      </c>
      <c r="E28" s="223">
        <v>44958</v>
      </c>
      <c r="F28" s="224">
        <f>'10_UNIDADES_+_demandadas_2023'!L12</f>
        <v>286</v>
      </c>
      <c r="G28" s="9">
        <f>((F28-F27)/F27)*100</f>
        <v>15.789473684210526</v>
      </c>
      <c r="I28" s="223">
        <v>44958</v>
      </c>
      <c r="J28" s="224">
        <f>'10_UNIDADES_+_demandadas_2023'!L13</f>
        <v>377</v>
      </c>
      <c r="K28" s="9">
        <f>((J28-J27)/J27)*100</f>
        <v>187.78625954198475</v>
      </c>
      <c r="M28" s="223">
        <v>44958</v>
      </c>
      <c r="N28" s="224">
        <f>'10_UNIDADES_+_demandadas_2023'!L14</f>
        <v>204</v>
      </c>
      <c r="O28" s="9">
        <f>((N28-N27)/N27)*100</f>
        <v>45.714285714285715</v>
      </c>
    </row>
    <row r="29" spans="1:15" ht="15">
      <c r="A29" s="223">
        <v>44986</v>
      </c>
      <c r="B29" s="224">
        <f>'10_UNIDADES_+_demandadas_2023'!K11</f>
        <v>306</v>
      </c>
      <c r="C29" s="9">
        <f>((B29-B28)/B28)*100</f>
        <v>4.7945205479452051</v>
      </c>
      <c r="E29" s="223">
        <v>44986</v>
      </c>
      <c r="F29" s="224">
        <f>'10_UNIDADES_+_demandadas_2023'!K12</f>
        <v>318</v>
      </c>
      <c r="G29" s="9">
        <f>((F29-F28)/F28)*100</f>
        <v>11.188811188811188</v>
      </c>
      <c r="I29" s="223">
        <v>44986</v>
      </c>
      <c r="J29" s="224">
        <f>'10_UNIDADES_+_demandadas_2023'!K13</f>
        <v>326</v>
      </c>
      <c r="K29" s="9">
        <f>((J29-J28)/J28)*100</f>
        <v>-13.527851458885943</v>
      </c>
      <c r="M29" s="223">
        <v>44986</v>
      </c>
      <c r="N29" s="224">
        <f>'10_UNIDADES_+_demandadas_2023'!K14</f>
        <v>333</v>
      </c>
      <c r="O29" s="9">
        <f>((N29-N28)/N28)*100</f>
        <v>63.235294117647058</v>
      </c>
    </row>
    <row r="30" spans="1:15" ht="15">
      <c r="A30" s="223">
        <v>45017</v>
      </c>
      <c r="B30" s="224">
        <f>'10_UNIDADES_+_demandadas_2023'!J11</f>
        <v>222</v>
      </c>
      <c r="C30" s="9">
        <f>((B30-B29)/B29)*100</f>
        <v>-27.450980392156865</v>
      </c>
      <c r="E30" s="223">
        <v>45017</v>
      </c>
      <c r="F30" s="224">
        <f>'10_UNIDADES_+_demandadas_2023'!J12</f>
        <v>247</v>
      </c>
      <c r="G30" s="9">
        <f>((F30-F29)/F29)*100</f>
        <v>-22.327044025157232</v>
      </c>
      <c r="I30" s="223">
        <v>45017</v>
      </c>
      <c r="J30" s="224">
        <f>'10_UNIDADES_+_demandadas_2023'!J13</f>
        <v>183</v>
      </c>
      <c r="K30" s="9">
        <f>((J30-J29)/J29)*100</f>
        <v>-43.865030674846629</v>
      </c>
      <c r="M30" s="223">
        <v>45017</v>
      </c>
      <c r="N30" s="224">
        <f>'10_UNIDADES_+_demandadas_2023'!J14</f>
        <v>238</v>
      </c>
      <c r="O30" s="9">
        <f>((N30-N29)/N29)*100</f>
        <v>-28.528528528528529</v>
      </c>
    </row>
    <row r="31" spans="1:15" ht="15">
      <c r="A31" s="223">
        <v>45047</v>
      </c>
      <c r="B31" s="224"/>
      <c r="C31" s="9"/>
      <c r="E31" s="223">
        <v>45047</v>
      </c>
      <c r="F31" s="224"/>
      <c r="G31" s="9"/>
      <c r="I31" s="223">
        <v>45047</v>
      </c>
      <c r="J31" s="224"/>
      <c r="K31" s="9"/>
      <c r="M31" s="223">
        <v>45047</v>
      </c>
      <c r="N31" s="224"/>
      <c r="O31" s="9"/>
    </row>
    <row r="32" spans="1:15" ht="15">
      <c r="A32" s="223">
        <v>45078</v>
      </c>
      <c r="B32" s="224"/>
      <c r="C32" s="9"/>
      <c r="E32" s="223">
        <v>45078</v>
      </c>
      <c r="F32" s="224"/>
      <c r="G32" s="9"/>
      <c r="I32" s="223">
        <v>45078</v>
      </c>
      <c r="J32" s="224"/>
      <c r="K32" s="9"/>
      <c r="M32" s="223">
        <v>45078</v>
      </c>
      <c r="N32" s="224"/>
      <c r="O32" s="9"/>
    </row>
    <row r="33" spans="1:15" ht="15">
      <c r="A33" s="223">
        <v>45108</v>
      </c>
      <c r="B33" s="224"/>
      <c r="C33" s="9"/>
      <c r="E33" s="223">
        <v>45108</v>
      </c>
      <c r="F33" s="224"/>
      <c r="G33" s="9"/>
      <c r="I33" s="223">
        <v>45108</v>
      </c>
      <c r="J33" s="224"/>
      <c r="K33" s="9"/>
      <c r="M33" s="223">
        <v>45108</v>
      </c>
      <c r="N33" s="224"/>
      <c r="O33" s="9"/>
    </row>
    <row r="34" spans="1:15" ht="15">
      <c r="A34" s="223">
        <v>45139</v>
      </c>
      <c r="B34" s="224"/>
      <c r="C34" s="9"/>
      <c r="E34" s="223">
        <v>45139</v>
      </c>
      <c r="F34" s="224"/>
      <c r="G34" s="9"/>
      <c r="I34" s="223">
        <v>45139</v>
      </c>
      <c r="J34" s="224"/>
      <c r="K34" s="9"/>
      <c r="M34" s="223">
        <v>45139</v>
      </c>
      <c r="N34" s="224"/>
      <c r="O34" s="9"/>
    </row>
    <row r="35" spans="1:15" ht="15">
      <c r="A35" s="223">
        <v>45170</v>
      </c>
      <c r="B35" s="224"/>
      <c r="C35" s="9"/>
      <c r="E35" s="223">
        <v>45170</v>
      </c>
      <c r="F35" s="224"/>
      <c r="G35" s="9"/>
      <c r="I35" s="223">
        <v>45170</v>
      </c>
      <c r="J35" s="224"/>
      <c r="K35" s="9"/>
      <c r="M35" s="223">
        <v>45170</v>
      </c>
      <c r="N35" s="224"/>
      <c r="O35" s="9"/>
    </row>
    <row r="36" spans="1:15" ht="15">
      <c r="A36" s="223">
        <v>45200</v>
      </c>
      <c r="B36" s="224"/>
      <c r="C36" s="9"/>
      <c r="E36" s="223">
        <v>45200</v>
      </c>
      <c r="F36" s="224"/>
      <c r="G36" s="9"/>
      <c r="I36" s="223">
        <v>45200</v>
      </c>
      <c r="J36" s="224"/>
      <c r="K36" s="9"/>
      <c r="M36" s="223">
        <v>45200</v>
      </c>
      <c r="N36" s="224"/>
      <c r="O36" s="9"/>
    </row>
    <row r="37" spans="1:15" ht="15">
      <c r="A37" s="223">
        <v>45231</v>
      </c>
      <c r="B37" s="224"/>
      <c r="C37" s="9"/>
      <c r="E37" s="223">
        <v>45231</v>
      </c>
      <c r="F37" s="225"/>
      <c r="G37" s="9"/>
      <c r="I37" s="223">
        <v>45231</v>
      </c>
      <c r="J37" s="224"/>
      <c r="K37" s="9"/>
      <c r="M37" s="223">
        <v>45231</v>
      </c>
      <c r="N37" s="224"/>
      <c r="O37" s="9"/>
    </row>
    <row r="38" spans="1:15" ht="15.75" thickBot="1">
      <c r="A38" s="226">
        <v>45261</v>
      </c>
      <c r="B38" s="331"/>
      <c r="C38" s="19"/>
      <c r="E38" s="226">
        <v>45261</v>
      </c>
      <c r="F38" s="228"/>
      <c r="G38" s="19"/>
      <c r="I38" s="226">
        <v>45261</v>
      </c>
      <c r="J38" s="331"/>
      <c r="K38" s="19"/>
      <c r="M38" s="226">
        <v>45261</v>
      </c>
      <c r="N38" s="331"/>
      <c r="O38" s="19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67" t="str">
        <f>'10_UNIDADES_+_demandadas_2023'!A15</f>
        <v>Subprefeitura Lapa</v>
      </c>
      <c r="B41" s="867"/>
      <c r="C41" s="867"/>
      <c r="E41" s="867" t="str">
        <f>'10_UNIDADES_+_demandadas_2023'!A16</f>
        <v>Agência Reguladora de Serviços Públicos do Município de São Paulo</v>
      </c>
      <c r="F41" s="867"/>
      <c r="G41" s="867"/>
    </row>
    <row r="42" spans="1:15" ht="15.75" thickBot="1">
      <c r="A42" s="332" t="s">
        <v>2</v>
      </c>
      <c r="B42" s="5" t="s">
        <v>221</v>
      </c>
      <c r="C42" s="5" t="s">
        <v>222</v>
      </c>
      <c r="E42" s="4" t="s">
        <v>2</v>
      </c>
      <c r="F42" s="5" t="s">
        <v>221</v>
      </c>
      <c r="G42" s="5" t="s">
        <v>222</v>
      </c>
    </row>
    <row r="43" spans="1:15" ht="15">
      <c r="A43" s="220">
        <v>44927</v>
      </c>
      <c r="B43" s="222">
        <f>'10_UNIDADES_+_demandadas_2023'!M15</f>
        <v>70</v>
      </c>
      <c r="C43" s="326">
        <f>((B43-76)/76)*100</f>
        <v>-7.8947368421052628</v>
      </c>
      <c r="E43" s="220">
        <v>44927</v>
      </c>
      <c r="F43" s="222">
        <f>'10_UNIDADES_+_demandadas_2023'!M16</f>
        <v>68</v>
      </c>
      <c r="G43" s="326">
        <f>((F43-55)/55)*100</f>
        <v>23.636363636363637</v>
      </c>
    </row>
    <row r="44" spans="1:15" ht="15">
      <c r="A44" s="223">
        <v>44958</v>
      </c>
      <c r="B44" s="224">
        <f>'10_UNIDADES_+_demandadas_2023'!L15</f>
        <v>71</v>
      </c>
      <c r="C44" s="9">
        <f>((B44-B43)/B43)*100</f>
        <v>1.4285714285714286</v>
      </c>
      <c r="E44" s="223">
        <v>44958</v>
      </c>
      <c r="F44" s="224">
        <f>'10_UNIDADES_+_demandadas_2023'!L16</f>
        <v>99</v>
      </c>
      <c r="G44" s="9">
        <f>((F44-F43)/F43)*100</f>
        <v>45.588235294117645</v>
      </c>
    </row>
    <row r="45" spans="1:15" ht="15">
      <c r="A45" s="223">
        <v>44986</v>
      </c>
      <c r="B45" s="224">
        <f>'10_UNIDADES_+_demandadas_2023'!K15</f>
        <v>140</v>
      </c>
      <c r="C45" s="9">
        <f>((B45-B44)/B44)*100</f>
        <v>97.183098591549296</v>
      </c>
      <c r="E45" s="223">
        <v>44986</v>
      </c>
      <c r="F45" s="224">
        <f>'10_UNIDADES_+_demandadas_2023'!K16</f>
        <v>140</v>
      </c>
      <c r="G45" s="9">
        <f>((F45-F44)/F44)*100</f>
        <v>41.414141414141412</v>
      </c>
    </row>
    <row r="46" spans="1:15" ht="15">
      <c r="A46" s="223">
        <v>45017</v>
      </c>
      <c r="B46" s="224">
        <f>'10_UNIDADES_+_demandadas_2023'!J15</f>
        <v>91</v>
      </c>
      <c r="C46" s="9">
        <f>((B46-B45)/B45)*100</f>
        <v>-35</v>
      </c>
      <c r="E46" s="223">
        <v>45017</v>
      </c>
      <c r="F46" s="224">
        <f>'10_UNIDADES_+_demandadas_2023'!J16</f>
        <v>57</v>
      </c>
      <c r="G46" s="9">
        <f>((F46-F45)/F45)*100</f>
        <v>-59.285714285714285</v>
      </c>
    </row>
    <row r="47" spans="1:15" ht="15">
      <c r="A47" s="223">
        <v>45047</v>
      </c>
      <c r="B47" s="224"/>
      <c r="C47" s="9"/>
      <c r="E47" s="223">
        <v>45047</v>
      </c>
      <c r="F47" s="224"/>
      <c r="G47" s="9"/>
    </row>
    <row r="48" spans="1:15" ht="15">
      <c r="A48" s="223">
        <v>45078</v>
      </c>
      <c r="B48" s="224"/>
      <c r="C48" s="9"/>
      <c r="E48" s="223">
        <v>45078</v>
      </c>
      <c r="F48" s="224"/>
      <c r="G48" s="9"/>
    </row>
    <row r="49" spans="1:7" ht="15">
      <c r="A49" s="223">
        <v>45108</v>
      </c>
      <c r="B49" s="224"/>
      <c r="C49" s="9"/>
      <c r="E49" s="223">
        <v>45108</v>
      </c>
      <c r="F49" s="224"/>
      <c r="G49" s="9"/>
    </row>
    <row r="50" spans="1:7" ht="15">
      <c r="A50" s="223">
        <v>45139</v>
      </c>
      <c r="B50" s="224"/>
      <c r="C50" s="9"/>
      <c r="E50" s="223">
        <v>45139</v>
      </c>
      <c r="F50" s="224"/>
      <c r="G50" s="9"/>
    </row>
    <row r="51" spans="1:7" ht="15">
      <c r="A51" s="223">
        <v>45170</v>
      </c>
      <c r="B51" s="224"/>
      <c r="C51" s="9"/>
      <c r="E51" s="223">
        <v>45170</v>
      </c>
      <c r="F51" s="224"/>
      <c r="G51" s="9"/>
    </row>
    <row r="52" spans="1:7" ht="15">
      <c r="A52" s="223">
        <v>45200</v>
      </c>
      <c r="B52" s="224"/>
      <c r="C52" s="9"/>
      <c r="E52" s="223">
        <v>45200</v>
      </c>
      <c r="F52" s="224"/>
      <c r="G52" s="9"/>
    </row>
    <row r="53" spans="1:7" ht="15">
      <c r="A53" s="223">
        <v>45231</v>
      </c>
      <c r="B53" s="224"/>
      <c r="C53" s="9"/>
      <c r="E53" s="223">
        <v>45231</v>
      </c>
      <c r="F53" s="224"/>
      <c r="G53" s="9"/>
    </row>
    <row r="54" spans="1:7" ht="15.75" thickBot="1">
      <c r="A54" s="226">
        <v>45261</v>
      </c>
      <c r="B54" s="331"/>
      <c r="C54" s="19"/>
      <c r="E54" s="226">
        <v>45261</v>
      </c>
      <c r="F54" s="228"/>
      <c r="G54" s="19"/>
    </row>
    <row r="55" spans="1:7">
      <c r="B55" s="13"/>
      <c r="C55" s="13"/>
    </row>
    <row r="56" spans="1:7">
      <c r="B56" s="13"/>
      <c r="C56" s="13"/>
    </row>
    <row r="57" spans="1:7">
      <c r="B57" s="13"/>
      <c r="C57" s="13"/>
    </row>
    <row r="58" spans="1:7">
      <c r="B58" s="13"/>
      <c r="C58" s="13"/>
    </row>
    <row r="59" spans="1:7">
      <c r="B59" s="13"/>
      <c r="C59" s="13"/>
    </row>
    <row r="60" spans="1:7" ht="15">
      <c r="A60" s="1"/>
    </row>
  </sheetData>
  <mergeCells count="10">
    <mergeCell ref="A41:C41"/>
    <mergeCell ref="E41:G41"/>
    <mergeCell ref="A9:C9"/>
    <mergeCell ref="E9:G9"/>
    <mergeCell ref="I9:K9"/>
    <mergeCell ref="M9:O9"/>
    <mergeCell ref="A25:C25"/>
    <mergeCell ref="E25:G25"/>
    <mergeCell ref="I25:K25"/>
    <mergeCell ref="M25:O2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/>
  </sheetViews>
  <sheetFormatPr defaultColWidth="5.5703125" defaultRowHeight="14.25"/>
  <cols>
    <col min="1" max="1" width="52.42578125" style="13" customWidth="1"/>
    <col min="2" max="2" width="7.7109375" style="209" bestFit="1" customWidth="1"/>
    <col min="3" max="4" width="7.5703125" style="209" bestFit="1" customWidth="1"/>
    <col min="5" max="5" width="7.5703125" style="209" customWidth="1"/>
    <col min="6" max="6" width="9.140625" style="209" customWidth="1"/>
    <col min="7" max="7" width="3" style="13" customWidth="1"/>
    <col min="8" max="17" width="9.140625" style="13" customWidth="1"/>
    <col min="18" max="18" width="15.42578125" style="13" customWidth="1"/>
    <col min="19" max="222" width="9.140625" style="13" customWidth="1"/>
    <col min="223" max="223" width="58.28515625" style="13" customWidth="1"/>
    <col min="224" max="224" width="3.7109375" style="13" bestFit="1" customWidth="1"/>
    <col min="225" max="225" width="5.5703125" style="13" bestFit="1" customWidth="1"/>
    <col min="226" max="226" width="5.5703125" style="13" customWidth="1"/>
    <col min="227" max="16384" width="5.5703125" style="13"/>
  </cols>
  <sheetData>
    <row r="1" spans="1:18" ht="15">
      <c r="A1" s="177" t="s">
        <v>0</v>
      </c>
      <c r="B1" s="274"/>
      <c r="C1" s="274"/>
      <c r="D1" s="274"/>
      <c r="E1" s="274"/>
    </row>
    <row r="2" spans="1:18" ht="15">
      <c r="A2" s="1" t="s">
        <v>1</v>
      </c>
      <c r="B2" s="276"/>
      <c r="C2" s="276"/>
      <c r="D2" s="276"/>
      <c r="E2" s="276"/>
    </row>
    <row r="3" spans="1:18" ht="15">
      <c r="A3" s="1"/>
      <c r="B3" s="276"/>
      <c r="C3" s="276"/>
      <c r="D3" s="276"/>
      <c r="E3" s="276"/>
    </row>
    <row r="4" spans="1:18" ht="15">
      <c r="A4" s="1" t="s">
        <v>296</v>
      </c>
      <c r="B4" s="276"/>
      <c r="C4" s="276"/>
      <c r="D4" s="276"/>
      <c r="E4" s="276"/>
    </row>
    <row r="6" spans="1:18" ht="15.75" thickBot="1">
      <c r="A6" s="333" t="s">
        <v>214</v>
      </c>
      <c r="B6" s="254">
        <v>45017</v>
      </c>
      <c r="C6" s="254">
        <v>44986</v>
      </c>
      <c r="D6" s="280">
        <v>44958</v>
      </c>
      <c r="E6" s="254" t="s">
        <v>5</v>
      </c>
      <c r="F6" s="323" t="s">
        <v>6</v>
      </c>
    </row>
    <row r="7" spans="1:18" ht="14.25" customHeight="1" thickBot="1">
      <c r="A7" s="281" t="s">
        <v>242</v>
      </c>
      <c r="B7" s="35">
        <v>1034</v>
      </c>
      <c r="C7" s="35">
        <v>886</v>
      </c>
      <c r="D7" s="334">
        <v>527</v>
      </c>
      <c r="E7" s="335">
        <f t="shared" ref="E7:E16" si="0">SUM(B7:D7)</f>
        <v>2447</v>
      </c>
      <c r="F7" s="336">
        <f t="shared" ref="F7:F17" si="1">AVERAGE(B7:D7)</f>
        <v>815.66666666666663</v>
      </c>
      <c r="R7" s="208"/>
    </row>
    <row r="8" spans="1:18" ht="15" customHeight="1" thickBot="1">
      <c r="A8" s="287" t="s">
        <v>241</v>
      </c>
      <c r="B8" s="46">
        <v>572</v>
      </c>
      <c r="C8" s="46">
        <v>573</v>
      </c>
      <c r="D8" s="48">
        <v>536</v>
      </c>
      <c r="E8" s="40">
        <f t="shared" si="0"/>
        <v>1681</v>
      </c>
      <c r="F8" s="284">
        <f t="shared" si="1"/>
        <v>560.33333333333337</v>
      </c>
      <c r="R8" s="208"/>
    </row>
    <row r="9" spans="1:18" ht="15.75" thickBot="1">
      <c r="A9" s="287" t="s">
        <v>240</v>
      </c>
      <c r="B9" s="46">
        <v>332</v>
      </c>
      <c r="C9" s="46">
        <v>373</v>
      </c>
      <c r="D9" s="48">
        <v>318</v>
      </c>
      <c r="E9" s="40">
        <f t="shared" si="0"/>
        <v>1023</v>
      </c>
      <c r="F9" s="284">
        <f t="shared" si="1"/>
        <v>341</v>
      </c>
      <c r="R9" s="208"/>
    </row>
    <row r="10" spans="1:18" ht="15.75" thickBot="1">
      <c r="A10" s="287" t="s">
        <v>246</v>
      </c>
      <c r="B10" s="46">
        <v>183</v>
      </c>
      <c r="C10" s="46">
        <v>326</v>
      </c>
      <c r="D10" s="48">
        <v>377</v>
      </c>
      <c r="E10" s="40">
        <f t="shared" si="0"/>
        <v>886</v>
      </c>
      <c r="F10" s="284">
        <f t="shared" si="1"/>
        <v>295.33333333333331</v>
      </c>
      <c r="R10" s="208"/>
    </row>
    <row r="11" spans="1:18" ht="15.75" thickBot="1">
      <c r="A11" s="287" t="s">
        <v>227</v>
      </c>
      <c r="B11" s="46">
        <v>231</v>
      </c>
      <c r="C11" s="46">
        <v>299</v>
      </c>
      <c r="D11" s="48">
        <v>330</v>
      </c>
      <c r="E11" s="40">
        <f t="shared" si="0"/>
        <v>860</v>
      </c>
      <c r="F11" s="284">
        <f t="shared" si="1"/>
        <v>286.66666666666669</v>
      </c>
      <c r="R11" s="208"/>
    </row>
    <row r="12" spans="1:18" ht="15" customHeight="1" thickBot="1">
      <c r="A12" s="287" t="s">
        <v>237</v>
      </c>
      <c r="B12" s="46">
        <v>247</v>
      </c>
      <c r="C12" s="46">
        <v>318</v>
      </c>
      <c r="D12" s="48">
        <v>286</v>
      </c>
      <c r="E12" s="40">
        <f t="shared" si="0"/>
        <v>851</v>
      </c>
      <c r="F12" s="284">
        <f t="shared" si="1"/>
        <v>283.66666666666669</v>
      </c>
      <c r="R12" s="208"/>
    </row>
    <row r="13" spans="1:18" ht="15.75" thickBot="1">
      <c r="A13" s="287" t="s">
        <v>238</v>
      </c>
      <c r="B13" s="46">
        <v>222</v>
      </c>
      <c r="C13" s="46">
        <v>306</v>
      </c>
      <c r="D13" s="48">
        <v>292</v>
      </c>
      <c r="E13" s="40">
        <f t="shared" si="0"/>
        <v>820</v>
      </c>
      <c r="F13" s="284">
        <f t="shared" si="1"/>
        <v>273.33333333333331</v>
      </c>
      <c r="R13" s="208"/>
    </row>
    <row r="14" spans="1:18" ht="15.75" thickBot="1">
      <c r="A14" s="287" t="s">
        <v>233</v>
      </c>
      <c r="B14" s="46">
        <v>238</v>
      </c>
      <c r="C14" s="46">
        <v>333</v>
      </c>
      <c r="D14" s="48">
        <v>204</v>
      </c>
      <c r="E14" s="40">
        <f t="shared" si="0"/>
        <v>775</v>
      </c>
      <c r="F14" s="284">
        <f t="shared" si="1"/>
        <v>258.33333333333331</v>
      </c>
      <c r="R14" s="208"/>
    </row>
    <row r="15" spans="1:18" ht="15.75" thickBot="1">
      <c r="A15" s="287" t="s">
        <v>274</v>
      </c>
      <c r="B15" s="46">
        <v>91</v>
      </c>
      <c r="C15" s="46">
        <v>140</v>
      </c>
      <c r="D15" s="48">
        <v>71</v>
      </c>
      <c r="E15" s="40">
        <f t="shared" si="0"/>
        <v>302</v>
      </c>
      <c r="F15" s="284">
        <f t="shared" si="1"/>
        <v>100.66666666666667</v>
      </c>
      <c r="R15" s="208"/>
    </row>
    <row r="16" spans="1:18" ht="15.75" thickBot="1">
      <c r="A16" s="292" t="s">
        <v>225</v>
      </c>
      <c r="B16" s="55">
        <v>57</v>
      </c>
      <c r="C16" s="55">
        <v>140</v>
      </c>
      <c r="D16" s="57">
        <v>99</v>
      </c>
      <c r="E16" s="337">
        <f t="shared" si="0"/>
        <v>296</v>
      </c>
      <c r="F16" s="338">
        <f t="shared" si="1"/>
        <v>98.666666666666671</v>
      </c>
      <c r="R16" s="208"/>
    </row>
    <row r="17" spans="1:7" ht="15.75" customHeight="1" thickBot="1">
      <c r="A17" s="200" t="s">
        <v>5</v>
      </c>
      <c r="B17" s="65">
        <f>SUM(B7:B16)</f>
        <v>3207</v>
      </c>
      <c r="C17" s="333">
        <f>SUM(C7:C16)</f>
        <v>3694</v>
      </c>
      <c r="D17" s="66">
        <f>SUM(D7:D16)</f>
        <v>3040</v>
      </c>
      <c r="E17" s="303">
        <f>SUM(E7:E16)</f>
        <v>9941</v>
      </c>
      <c r="F17" s="339">
        <f t="shared" si="1"/>
        <v>3313.6666666666665</v>
      </c>
    </row>
    <row r="18" spans="1:7" s="342" customFormat="1" ht="15">
      <c r="A18" s="340"/>
      <c r="B18" s="6"/>
      <c r="C18" s="6"/>
      <c r="D18" s="6"/>
      <c r="E18" s="6"/>
      <c r="F18" s="341"/>
    </row>
    <row r="19" spans="1:7" ht="57" customHeight="1">
      <c r="A19" s="343"/>
      <c r="B19" s="344"/>
      <c r="C19" s="344"/>
      <c r="D19" s="344"/>
      <c r="E19" s="344"/>
      <c r="F19" s="864"/>
      <c r="G19" s="864"/>
    </row>
    <row r="20" spans="1:7">
      <c r="A20" s="206"/>
      <c r="B20" s="345"/>
      <c r="C20" s="345"/>
      <c r="D20" s="345"/>
      <c r="E20" s="345"/>
    </row>
    <row r="21" spans="1:7" ht="82.5" customHeight="1">
      <c r="A21" s="343"/>
      <c r="B21" s="344"/>
      <c r="C21" s="344"/>
      <c r="D21" s="344"/>
      <c r="E21" s="344"/>
      <c r="F21" s="864"/>
      <c r="G21" s="864"/>
    </row>
    <row r="22" spans="1:7">
      <c r="A22" s="343"/>
      <c r="B22" s="344"/>
      <c r="C22" s="344"/>
      <c r="D22" s="344"/>
      <c r="E22" s="344"/>
    </row>
    <row r="23" spans="1:7" ht="66.75" customHeight="1">
      <c r="A23" s="343"/>
      <c r="B23" s="344"/>
      <c r="C23" s="344"/>
      <c r="D23" s="344"/>
      <c r="E23" s="344"/>
      <c r="F23" s="864"/>
      <c r="G23" s="864"/>
    </row>
    <row r="24" spans="1:7">
      <c r="A24" s="206"/>
      <c r="B24" s="345"/>
      <c r="C24" s="345"/>
      <c r="D24" s="345"/>
      <c r="E24" s="345"/>
    </row>
    <row r="25" spans="1:7">
      <c r="A25" s="204"/>
      <c r="B25" s="346"/>
      <c r="C25" s="346"/>
      <c r="D25" s="346"/>
      <c r="E25" s="346"/>
    </row>
  </sheetData>
  <mergeCells count="3">
    <mergeCell ref="F19:G19"/>
    <mergeCell ref="F21:G21"/>
    <mergeCell ref="F23:G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workbookViewId="0"/>
  </sheetViews>
  <sheetFormatPr defaultColWidth="5.5703125" defaultRowHeight="14.25"/>
  <cols>
    <col min="1" max="1" width="58.28515625" style="13" customWidth="1"/>
    <col min="2" max="2" width="7.5703125" style="209" bestFit="1" customWidth="1"/>
    <col min="3" max="16" width="9.140625" style="13" customWidth="1"/>
    <col min="17" max="21" width="9.140625" style="180" customWidth="1"/>
    <col min="22" max="22" width="12" style="180" customWidth="1"/>
    <col min="23" max="23" width="9.140625" style="180" customWidth="1"/>
    <col min="24" max="24" width="12.85546875" style="180" customWidth="1"/>
    <col min="25" max="25" width="20.28515625" style="180" bestFit="1" customWidth="1"/>
    <col min="26" max="26" width="24.28515625" style="180" hidden="1" customWidth="1"/>
    <col min="27" max="27" width="9.140625" style="180" customWidth="1"/>
    <col min="28" max="235" width="9.140625" style="13" customWidth="1"/>
    <col min="236" max="236" width="58.28515625" style="13" customWidth="1"/>
    <col min="237" max="237" width="3.7109375" style="13" bestFit="1" customWidth="1"/>
    <col min="238" max="238" width="5.5703125" style="13" bestFit="1" customWidth="1"/>
    <col min="239" max="239" width="5.5703125" style="13" customWidth="1"/>
    <col min="240" max="16384" width="5.5703125" style="13"/>
  </cols>
  <sheetData>
    <row r="1" spans="1:15" ht="15">
      <c r="A1" s="177" t="s">
        <v>0</v>
      </c>
    </row>
    <row r="2" spans="1:15" ht="15">
      <c r="A2" s="1" t="s">
        <v>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5" ht="15">
      <c r="A3" s="1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</row>
    <row r="4" spans="1:15" ht="15">
      <c r="A4" s="106" t="s">
        <v>297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</row>
    <row r="5" spans="1:15"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</row>
    <row r="6" spans="1:15" ht="15.75" thickBot="1">
      <c r="A6" s="347" t="s">
        <v>214</v>
      </c>
      <c r="B6" s="68">
        <v>45017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</row>
    <row r="7" spans="1:15">
      <c r="A7" s="348" t="s">
        <v>242</v>
      </c>
      <c r="B7" s="349">
        <v>1034</v>
      </c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</row>
    <row r="8" spans="1:15">
      <c r="A8" s="350" t="s">
        <v>241</v>
      </c>
      <c r="B8" s="351">
        <v>572</v>
      </c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</row>
    <row r="9" spans="1:15" ht="15" customHeight="1">
      <c r="A9" s="350" t="s">
        <v>240</v>
      </c>
      <c r="B9" s="351">
        <v>332</v>
      </c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</row>
    <row r="10" spans="1:15">
      <c r="A10" s="350" t="s">
        <v>237</v>
      </c>
      <c r="B10" s="351">
        <v>247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</row>
    <row r="11" spans="1:15">
      <c r="A11" s="350" t="s">
        <v>233</v>
      </c>
      <c r="B11" s="351">
        <v>238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</row>
    <row r="12" spans="1:15">
      <c r="A12" s="350" t="s">
        <v>227</v>
      </c>
      <c r="B12" s="351">
        <v>231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</row>
    <row r="13" spans="1:15" ht="15" customHeight="1">
      <c r="A13" s="350" t="s">
        <v>238</v>
      </c>
      <c r="B13" s="351">
        <v>222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</row>
    <row r="14" spans="1:15">
      <c r="A14" s="350" t="s">
        <v>246</v>
      </c>
      <c r="B14" s="351">
        <v>183</v>
      </c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</row>
    <row r="15" spans="1:15">
      <c r="A15" s="350" t="s">
        <v>274</v>
      </c>
      <c r="B15" s="351">
        <v>91</v>
      </c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</row>
    <row r="16" spans="1:15">
      <c r="A16" s="352" t="s">
        <v>148</v>
      </c>
      <c r="B16" s="353">
        <v>76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</row>
    <row r="17" spans="1:31" ht="15.75" thickBot="1">
      <c r="A17" s="354" t="s">
        <v>5</v>
      </c>
      <c r="B17" s="355">
        <f>SUM(B7:B16)</f>
        <v>3226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</row>
    <row r="18" spans="1:31" ht="15">
      <c r="A18" s="356"/>
      <c r="B18" s="357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31">
      <c r="A19" s="358" t="s">
        <v>298</v>
      </c>
      <c r="B19" s="359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Q19" s="13"/>
      <c r="R19" s="13"/>
      <c r="S19" s="13"/>
      <c r="T19" s="13"/>
    </row>
    <row r="20" spans="1:31" s="306" customFormat="1" ht="15.75" customHeight="1">
      <c r="A20" s="360"/>
      <c r="B20" s="361"/>
    </row>
    <row r="21" spans="1:31" s="306" customFormat="1">
      <c r="A21" s="362"/>
      <c r="B21" s="363"/>
    </row>
    <row r="22" spans="1:31" s="306" customFormat="1" ht="15" customHeight="1">
      <c r="A22" s="364"/>
      <c r="B22" s="365" t="str">
        <f>A7</f>
        <v>Secretaria Municipal de Assistência e Desenvolvimento Social</v>
      </c>
      <c r="C22" s="365" t="str">
        <f>A8</f>
        <v>Secretaria Municipal das Subprefeituras</v>
      </c>
      <c r="D22" s="365" t="str">
        <f>A9</f>
        <v>Secretaria Municipal da Saúde</v>
      </c>
      <c r="E22" s="365" t="str">
        <f>A10</f>
        <v>Secretaria Executiva de Limpeza Urbana**</v>
      </c>
      <c r="F22" s="365" t="str">
        <f>A11</f>
        <v>São Paulo Transportes - SPTRANS</v>
      </c>
      <c r="G22" s="365" t="str">
        <f>A12</f>
        <v>Companhia de Engenharia de Tráfego - CET</v>
      </c>
      <c r="H22" s="365" t="str">
        <f>A13</f>
        <v>Secretaria Municipal da Fazenda</v>
      </c>
      <c r="I22" s="365" t="str">
        <f>A14</f>
        <v>Secretaria Municipal de Educação</v>
      </c>
      <c r="J22" s="365" t="str">
        <f>A15</f>
        <v>Subprefeitura Lapa</v>
      </c>
      <c r="K22" s="365" t="str">
        <f>A16</f>
        <v>Órgão externo</v>
      </c>
      <c r="L22" s="365" t="s">
        <v>5</v>
      </c>
      <c r="M22" s="365"/>
      <c r="N22" s="180"/>
    </row>
    <row r="23" spans="1:31" s="306" customFormat="1">
      <c r="A23" s="358"/>
      <c r="B23" s="365">
        <f>B7</f>
        <v>1034</v>
      </c>
      <c r="C23" s="365">
        <f>B8</f>
        <v>572</v>
      </c>
      <c r="D23" s="365">
        <f>B9</f>
        <v>332</v>
      </c>
      <c r="E23" s="365">
        <f>B10</f>
        <v>247</v>
      </c>
      <c r="F23" s="365">
        <f>B11</f>
        <v>238</v>
      </c>
      <c r="G23" s="365">
        <f>B12</f>
        <v>231</v>
      </c>
      <c r="H23" s="365">
        <f>B13</f>
        <v>222</v>
      </c>
      <c r="I23" s="365">
        <f>B14</f>
        <v>183</v>
      </c>
      <c r="J23" s="365">
        <f>B15</f>
        <v>91</v>
      </c>
      <c r="K23" s="365">
        <f>B16</f>
        <v>76</v>
      </c>
      <c r="L23" s="366"/>
      <c r="M23" s="365"/>
      <c r="N23" s="180"/>
      <c r="S23" s="367"/>
      <c r="T23" s="368"/>
      <c r="U23" s="368"/>
      <c r="V23" s="368"/>
      <c r="W23" s="368"/>
      <c r="X23" s="368"/>
      <c r="Y23" s="368"/>
      <c r="Z23" s="369"/>
      <c r="AA23" s="368"/>
      <c r="AB23" s="368"/>
      <c r="AC23" s="368"/>
      <c r="AD23" s="368"/>
      <c r="AE23" s="370"/>
    </row>
    <row r="24" spans="1:31" s="306" customFormat="1" ht="16.5" customHeight="1">
      <c r="A24" s="371"/>
      <c r="B24" s="365"/>
      <c r="C24" s="365"/>
      <c r="D24" s="365"/>
      <c r="E24" s="365"/>
      <c r="F24" s="365"/>
      <c r="G24" s="365"/>
      <c r="H24" s="365"/>
      <c r="I24" s="365"/>
      <c r="J24" s="365"/>
      <c r="K24" s="365"/>
      <c r="L24" s="366"/>
      <c r="M24" s="365"/>
      <c r="N24" s="180"/>
      <c r="S24" s="367"/>
      <c r="T24" s="368"/>
      <c r="U24" s="368"/>
      <c r="V24" s="368"/>
      <c r="W24" s="368"/>
      <c r="X24" s="368"/>
      <c r="Y24" s="368"/>
      <c r="Z24" s="369"/>
      <c r="AA24" s="368"/>
      <c r="AB24" s="368"/>
      <c r="AC24" s="368"/>
      <c r="AD24" s="368"/>
      <c r="AE24" s="370"/>
    </row>
    <row r="25" spans="1:31" s="306" customFormat="1">
      <c r="A25" s="358"/>
      <c r="B25" s="365"/>
      <c r="C25" s="365"/>
      <c r="D25" s="365"/>
      <c r="E25" s="365"/>
      <c r="F25" s="365"/>
      <c r="G25" s="365"/>
      <c r="H25" s="365"/>
      <c r="I25" s="365"/>
      <c r="J25" s="365"/>
      <c r="K25" s="365"/>
      <c r="L25" s="366">
        <v>4687</v>
      </c>
      <c r="M25" s="365"/>
      <c r="N25" s="180"/>
      <c r="S25" s="367"/>
      <c r="T25" s="368"/>
      <c r="U25" s="368"/>
      <c r="V25" s="368"/>
      <c r="W25" s="368"/>
      <c r="X25" s="368"/>
      <c r="Y25" s="368"/>
      <c r="Z25" s="369"/>
      <c r="AA25" s="368"/>
      <c r="AB25" s="368"/>
      <c r="AC25" s="368"/>
      <c r="AD25" s="368"/>
      <c r="AE25" s="370"/>
    </row>
    <row r="26" spans="1:31" s="306" customFormat="1" ht="15">
      <c r="A26" s="180"/>
      <c r="B26" s="372"/>
      <c r="C26" s="180"/>
      <c r="D26" s="180"/>
      <c r="E26" s="180"/>
      <c r="F26" s="180"/>
      <c r="G26" s="180"/>
      <c r="H26" s="269"/>
      <c r="I26" s="180"/>
      <c r="J26" s="180"/>
      <c r="K26" s="180"/>
      <c r="L26" s="180"/>
      <c r="M26" s="180"/>
      <c r="N26" s="180"/>
      <c r="S26" s="367"/>
      <c r="T26" s="368"/>
      <c r="U26" s="368"/>
      <c r="V26" s="368"/>
      <c r="W26" s="368"/>
      <c r="X26" s="368"/>
      <c r="Y26" s="368"/>
      <c r="Z26" s="369"/>
      <c r="AA26" s="368"/>
      <c r="AB26" s="368"/>
      <c r="AC26" s="368"/>
      <c r="AD26" s="368"/>
      <c r="AE26" s="370"/>
    </row>
    <row r="27" spans="1:31" s="306" customFormat="1">
      <c r="B27" s="368"/>
      <c r="S27" s="367"/>
      <c r="T27" s="368"/>
      <c r="U27" s="368"/>
      <c r="V27" s="368"/>
      <c r="W27" s="368"/>
      <c r="X27" s="368"/>
      <c r="Y27" s="368"/>
      <c r="Z27" s="369"/>
      <c r="AA27" s="368"/>
      <c r="AB27" s="368"/>
      <c r="AC27" s="368"/>
      <c r="AD27" s="368"/>
      <c r="AE27" s="370"/>
    </row>
    <row r="28" spans="1:31" s="306" customFormat="1">
      <c r="A28" s="373"/>
      <c r="B28" s="368"/>
      <c r="S28" s="367"/>
      <c r="T28" s="368"/>
      <c r="U28" s="368"/>
      <c r="V28" s="368"/>
      <c r="W28" s="368"/>
      <c r="X28" s="368"/>
      <c r="Y28" s="368"/>
      <c r="Z28" s="369"/>
      <c r="AA28" s="368"/>
      <c r="AB28" s="368"/>
      <c r="AC28" s="368"/>
      <c r="AD28" s="368"/>
      <c r="AE28" s="370"/>
    </row>
    <row r="29" spans="1:31" s="306" customFormat="1">
      <c r="B29" s="368"/>
      <c r="S29" s="367"/>
      <c r="T29" s="368"/>
      <c r="U29" s="368"/>
      <c r="V29" s="368"/>
      <c r="W29" s="368"/>
      <c r="X29" s="368"/>
      <c r="Y29" s="368"/>
      <c r="Z29" s="369"/>
      <c r="AA29" s="368"/>
      <c r="AB29" s="368"/>
      <c r="AC29" s="368"/>
      <c r="AD29" s="368"/>
      <c r="AE29" s="370"/>
    </row>
    <row r="30" spans="1:31" s="306" customFormat="1">
      <c r="B30" s="368"/>
      <c r="S30" s="367"/>
      <c r="T30" s="368"/>
      <c r="U30" s="368"/>
      <c r="V30" s="368"/>
      <c r="W30" s="368"/>
      <c r="X30" s="368"/>
      <c r="Y30" s="368"/>
      <c r="Z30" s="369"/>
      <c r="AA30" s="368"/>
      <c r="AB30" s="368"/>
      <c r="AC30" s="368"/>
      <c r="AD30" s="368"/>
      <c r="AE30" s="370"/>
    </row>
    <row r="31" spans="1:31">
      <c r="Q31" s="13"/>
      <c r="R31" s="13"/>
      <c r="S31" s="208"/>
      <c r="T31" s="209"/>
      <c r="U31" s="209"/>
      <c r="V31" s="209"/>
      <c r="W31" s="209"/>
      <c r="X31" s="209"/>
      <c r="Y31" s="209"/>
      <c r="Z31" s="182"/>
      <c r="AA31" s="209"/>
      <c r="AB31" s="209"/>
      <c r="AC31" s="209"/>
      <c r="AD31" s="209"/>
      <c r="AE31" s="210"/>
    </row>
    <row r="32" spans="1:31">
      <c r="Q32" s="13"/>
      <c r="R32" s="13"/>
      <c r="S32" s="208"/>
      <c r="T32" s="209"/>
      <c r="U32" s="209"/>
      <c r="V32" s="209"/>
      <c r="W32" s="209"/>
      <c r="X32" s="209"/>
      <c r="Y32" s="209"/>
      <c r="Z32" s="182"/>
      <c r="AA32" s="209"/>
      <c r="AB32" s="372"/>
      <c r="AC32" s="209"/>
      <c r="AD32" s="209"/>
      <c r="AE32" s="210"/>
    </row>
    <row r="33" spans="1:28"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80"/>
    </row>
    <row r="34" spans="1:28"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80"/>
    </row>
    <row r="35" spans="1:28">
      <c r="A35" s="180"/>
      <c r="B35" s="372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U35" s="13"/>
      <c r="V35" s="13"/>
      <c r="W35" s="13"/>
      <c r="X35" s="13"/>
      <c r="Y35" s="13"/>
      <c r="Z35" s="13"/>
      <c r="AA35" s="13"/>
      <c r="AB35" s="180"/>
    </row>
    <row r="36" spans="1:28">
      <c r="A36" s="180"/>
      <c r="B36" s="372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U36" s="13"/>
      <c r="V36" s="13"/>
      <c r="W36" s="13"/>
      <c r="X36" s="13"/>
      <c r="Y36" s="13"/>
      <c r="Z36" s="13"/>
      <c r="AA36" s="13"/>
      <c r="AB36" s="180"/>
    </row>
    <row r="37" spans="1:28">
      <c r="A37" s="180"/>
      <c r="B37" s="372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U37" s="13"/>
      <c r="V37" s="13"/>
      <c r="W37" s="13"/>
      <c r="X37" s="13"/>
      <c r="Y37" s="13"/>
      <c r="Z37" s="13"/>
      <c r="AA37" s="13"/>
      <c r="AB37" s="180"/>
    </row>
    <row r="38" spans="1:28">
      <c r="A38" s="180"/>
      <c r="B38" s="372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U38" s="13"/>
      <c r="V38" s="13"/>
      <c r="W38" s="13"/>
      <c r="X38" s="13"/>
      <c r="Y38" s="13"/>
      <c r="Z38" s="13"/>
      <c r="AA38" s="13"/>
      <c r="AB38" s="180"/>
    </row>
    <row r="39" spans="1:28">
      <c r="A39" s="180"/>
      <c r="B39" s="372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U39" s="13"/>
      <c r="V39" s="13"/>
      <c r="W39" s="13"/>
      <c r="X39" s="13"/>
      <c r="Y39" s="13"/>
      <c r="Z39" s="13"/>
      <c r="AA39" s="13"/>
      <c r="AB39" s="180"/>
    </row>
    <row r="40" spans="1:28"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8"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</sheetData>
  <pageMargins left="0.511811024" right="0.511811024" top="0.78740157500000008" bottom="0.78740157500000008" header="0.31496062000000008" footer="0.31496062000000008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workbookViewId="0"/>
  </sheetViews>
  <sheetFormatPr defaultRowHeight="15"/>
  <cols>
    <col min="1" max="1" width="24.85546875" style="376" customWidth="1"/>
    <col min="2" max="3" width="6.85546875" bestFit="1" customWidth="1"/>
    <col min="4" max="4" width="6.42578125" bestFit="1" customWidth="1"/>
    <col min="5" max="5" width="6.140625" style="111" bestFit="1" customWidth="1"/>
    <col min="6" max="6" width="7" style="176" bestFit="1" customWidth="1"/>
    <col min="7" max="7" width="5.85546875" style="176" bestFit="1" customWidth="1"/>
    <col min="8" max="8" width="6.42578125" style="176" bestFit="1" customWidth="1"/>
    <col min="9" max="9" width="7" style="176" bestFit="1" customWidth="1"/>
    <col min="10" max="10" width="6.5703125" style="375" bestFit="1" customWidth="1"/>
    <col min="11" max="11" width="7.140625" style="176" bestFit="1" customWidth="1"/>
    <col min="12" max="12" width="6.28515625" style="176" bestFit="1" customWidth="1"/>
    <col min="13" max="13" width="6.42578125" bestFit="1" customWidth="1"/>
    <col min="14" max="14" width="6.7109375" bestFit="1" customWidth="1"/>
    <col min="15" max="15" width="7.140625" style="3" bestFit="1" customWidth="1"/>
    <col min="16" max="16" width="13.7109375" customWidth="1"/>
    <col min="17" max="17" width="9.140625" customWidth="1"/>
  </cols>
  <sheetData>
    <row r="1" spans="1:16">
      <c r="A1" s="374" t="s">
        <v>0</v>
      </c>
      <c r="B1" s="177"/>
      <c r="C1" s="177"/>
      <c r="D1" s="177"/>
      <c r="E1" s="178"/>
      <c r="F1" s="274"/>
      <c r="G1" s="274"/>
    </row>
    <row r="2" spans="1:16">
      <c r="A2" s="275" t="s">
        <v>1</v>
      </c>
      <c r="B2" s="1"/>
      <c r="C2" s="1"/>
      <c r="D2" s="1"/>
      <c r="E2" s="181"/>
      <c r="F2" s="276"/>
      <c r="G2" s="276"/>
    </row>
    <row r="3" spans="1:16" ht="15.75" thickBot="1"/>
    <row r="4" spans="1:16" ht="51.75">
      <c r="A4" s="63" t="s">
        <v>214</v>
      </c>
      <c r="B4" s="377">
        <v>45261</v>
      </c>
      <c r="C4" s="378">
        <v>45231</v>
      </c>
      <c r="D4" s="379">
        <v>45200</v>
      </c>
      <c r="E4" s="377">
        <v>45170</v>
      </c>
      <c r="F4" s="378">
        <v>45139</v>
      </c>
      <c r="G4" s="379">
        <v>45108</v>
      </c>
      <c r="H4" s="377">
        <v>45078</v>
      </c>
      <c r="I4" s="377">
        <v>45047</v>
      </c>
      <c r="J4" s="377">
        <v>45017</v>
      </c>
      <c r="K4" s="377">
        <v>44986</v>
      </c>
      <c r="L4" s="377">
        <v>44958</v>
      </c>
      <c r="M4" s="378">
        <v>44927</v>
      </c>
      <c r="N4" s="119" t="s">
        <v>5</v>
      </c>
      <c r="O4" s="119" t="s">
        <v>6</v>
      </c>
      <c r="P4" s="380" t="s">
        <v>299</v>
      </c>
    </row>
    <row r="5" spans="1:16">
      <c r="A5" s="281" t="s">
        <v>300</v>
      </c>
      <c r="B5" s="123"/>
      <c r="C5" s="35"/>
      <c r="D5" s="35"/>
      <c r="E5" s="35"/>
      <c r="F5" s="35"/>
      <c r="G5" s="35"/>
      <c r="H5" s="35"/>
      <c r="I5" s="35"/>
      <c r="J5" s="35">
        <v>21</v>
      </c>
      <c r="K5" s="46">
        <v>40</v>
      </c>
      <c r="L5" s="35">
        <v>24</v>
      </c>
      <c r="M5" s="381">
        <v>24</v>
      </c>
      <c r="N5" s="382">
        <f t="shared" ref="N5:N36" si="0">SUM(B5:M5)</f>
        <v>109</v>
      </c>
      <c r="O5" s="383">
        <f t="shared" ref="O5:O37" si="1">AVERAGE(B5:M5)</f>
        <v>27.25</v>
      </c>
      <c r="P5" s="384">
        <f t="shared" ref="P5:P36" si="2">N5/$N$37*100</f>
        <v>2.3639123834309261</v>
      </c>
    </row>
    <row r="6" spans="1:16">
      <c r="A6" s="287" t="s">
        <v>301</v>
      </c>
      <c r="B6" s="134"/>
      <c r="C6" s="46"/>
      <c r="D6" s="46"/>
      <c r="E6" s="46"/>
      <c r="F6" s="46"/>
      <c r="G6" s="46"/>
      <c r="H6" s="46"/>
      <c r="I6" s="46"/>
      <c r="J6" s="46">
        <v>52</v>
      </c>
      <c r="K6" s="46">
        <v>66</v>
      </c>
      <c r="L6" s="46">
        <v>57</v>
      </c>
      <c r="M6" s="52">
        <v>52</v>
      </c>
      <c r="N6" s="385">
        <f t="shared" si="0"/>
        <v>227</v>
      </c>
      <c r="O6" s="386">
        <f t="shared" si="1"/>
        <v>56.75</v>
      </c>
      <c r="P6" s="387">
        <f t="shared" si="2"/>
        <v>4.9230101930166992</v>
      </c>
    </row>
    <row r="7" spans="1:16">
      <c r="A7" s="287" t="s">
        <v>302</v>
      </c>
      <c r="B7" s="134"/>
      <c r="C7" s="46"/>
      <c r="D7" s="46"/>
      <c r="E7" s="46"/>
      <c r="F7" s="46"/>
      <c r="G7" s="46"/>
      <c r="H7" s="46"/>
      <c r="I7" s="46"/>
      <c r="J7" s="46">
        <v>40</v>
      </c>
      <c r="K7" s="46">
        <v>36</v>
      </c>
      <c r="L7" s="46">
        <v>48</v>
      </c>
      <c r="M7" s="52">
        <v>62</v>
      </c>
      <c r="N7" s="385">
        <f t="shared" si="0"/>
        <v>186</v>
      </c>
      <c r="O7" s="386">
        <f t="shared" si="1"/>
        <v>46.5</v>
      </c>
      <c r="P7" s="387">
        <f t="shared" si="2"/>
        <v>4.0338321405335069</v>
      </c>
    </row>
    <row r="8" spans="1:16">
      <c r="A8" s="287" t="s">
        <v>303</v>
      </c>
      <c r="B8" s="134"/>
      <c r="C8" s="46"/>
      <c r="D8" s="46"/>
      <c r="E8" s="46"/>
      <c r="F8" s="46"/>
      <c r="G8" s="46"/>
      <c r="H8" s="46"/>
      <c r="I8" s="46"/>
      <c r="J8" s="46">
        <v>26</v>
      </c>
      <c r="K8" s="46">
        <v>50</v>
      </c>
      <c r="L8" s="46">
        <v>32</v>
      </c>
      <c r="M8" s="52">
        <v>29</v>
      </c>
      <c r="N8" s="385">
        <f t="shared" si="0"/>
        <v>137</v>
      </c>
      <c r="O8" s="386">
        <f t="shared" si="1"/>
        <v>34.25</v>
      </c>
      <c r="P8" s="387">
        <f t="shared" si="2"/>
        <v>2.9711559314682283</v>
      </c>
    </row>
    <row r="9" spans="1:16">
      <c r="A9" s="287" t="s">
        <v>304</v>
      </c>
      <c r="B9" s="134"/>
      <c r="C9" s="46"/>
      <c r="D9" s="45"/>
      <c r="E9" s="46"/>
      <c r="F9" s="46"/>
      <c r="G9" s="45"/>
      <c r="H9" s="46"/>
      <c r="I9" s="45"/>
      <c r="J9" s="46">
        <v>40</v>
      </c>
      <c r="K9" s="46">
        <v>40</v>
      </c>
      <c r="L9" s="46">
        <v>43</v>
      </c>
      <c r="M9" s="52">
        <v>25</v>
      </c>
      <c r="N9" s="385">
        <f t="shared" si="0"/>
        <v>148</v>
      </c>
      <c r="O9" s="386">
        <f t="shared" si="1"/>
        <v>37</v>
      </c>
      <c r="P9" s="387">
        <f t="shared" si="2"/>
        <v>3.2097158967685968</v>
      </c>
    </row>
    <row r="10" spans="1:16">
      <c r="A10" s="287" t="s">
        <v>305</v>
      </c>
      <c r="B10" s="134"/>
      <c r="C10" s="46"/>
      <c r="D10" s="46"/>
      <c r="E10" s="46"/>
      <c r="F10" s="46"/>
      <c r="G10" s="46"/>
      <c r="H10" s="46"/>
      <c r="I10" s="46"/>
      <c r="J10" s="46">
        <v>28</v>
      </c>
      <c r="K10" s="46">
        <v>37</v>
      </c>
      <c r="L10" s="46">
        <v>43</v>
      </c>
      <c r="M10" s="52">
        <v>41</v>
      </c>
      <c r="N10" s="385">
        <f t="shared" si="0"/>
        <v>149</v>
      </c>
      <c r="O10" s="386">
        <f t="shared" si="1"/>
        <v>37.25</v>
      </c>
      <c r="P10" s="387">
        <f t="shared" si="2"/>
        <v>3.2314031663413574</v>
      </c>
    </row>
    <row r="11" spans="1:16">
      <c r="A11" s="287" t="s">
        <v>306</v>
      </c>
      <c r="B11" s="134"/>
      <c r="C11" s="46"/>
      <c r="D11" s="46"/>
      <c r="E11" s="46"/>
      <c r="F11" s="46"/>
      <c r="G11" s="46"/>
      <c r="H11" s="46"/>
      <c r="I11" s="46"/>
      <c r="J11" s="46">
        <v>17</v>
      </c>
      <c r="K11" s="46">
        <v>7</v>
      </c>
      <c r="L11" s="46">
        <v>6</v>
      </c>
      <c r="M11" s="52">
        <v>6</v>
      </c>
      <c r="N11" s="385">
        <f t="shared" si="0"/>
        <v>36</v>
      </c>
      <c r="O11" s="386">
        <f t="shared" si="1"/>
        <v>9</v>
      </c>
      <c r="P11" s="387">
        <f t="shared" si="2"/>
        <v>0.78074170461938841</v>
      </c>
    </row>
    <row r="12" spans="1:16">
      <c r="A12" s="287" t="s">
        <v>307</v>
      </c>
      <c r="B12" s="134"/>
      <c r="C12" s="46"/>
      <c r="D12" s="46"/>
      <c r="E12" s="46"/>
      <c r="F12" s="46"/>
      <c r="G12" s="46"/>
      <c r="H12" s="46"/>
      <c r="I12" s="46"/>
      <c r="J12" s="46">
        <v>12</v>
      </c>
      <c r="K12" s="46">
        <v>10</v>
      </c>
      <c r="L12" s="46">
        <v>15</v>
      </c>
      <c r="M12" s="52">
        <v>14</v>
      </c>
      <c r="N12" s="385">
        <f t="shared" si="0"/>
        <v>51</v>
      </c>
      <c r="O12" s="386">
        <f t="shared" si="1"/>
        <v>12.75</v>
      </c>
      <c r="P12" s="387">
        <f t="shared" si="2"/>
        <v>1.1060507482108002</v>
      </c>
    </row>
    <row r="13" spans="1:16">
      <c r="A13" s="287" t="s">
        <v>308</v>
      </c>
      <c r="B13" s="134"/>
      <c r="C13" s="46"/>
      <c r="D13" s="46"/>
      <c r="E13" s="46"/>
      <c r="F13" s="46"/>
      <c r="G13" s="46"/>
      <c r="H13" s="46"/>
      <c r="I13" s="46"/>
      <c r="J13" s="46">
        <v>14</v>
      </c>
      <c r="K13" s="46">
        <v>20</v>
      </c>
      <c r="L13" s="46">
        <v>27</v>
      </c>
      <c r="M13" s="52">
        <v>22</v>
      </c>
      <c r="N13" s="385">
        <f t="shared" si="0"/>
        <v>83</v>
      </c>
      <c r="O13" s="386">
        <f t="shared" si="1"/>
        <v>20.75</v>
      </c>
      <c r="P13" s="387">
        <f t="shared" si="2"/>
        <v>1.8000433745391458</v>
      </c>
    </row>
    <row r="14" spans="1:16">
      <c r="A14" s="287" t="s">
        <v>309</v>
      </c>
      <c r="B14" s="134"/>
      <c r="C14" s="46"/>
      <c r="D14" s="46"/>
      <c r="E14" s="46"/>
      <c r="F14" s="46"/>
      <c r="G14" s="46"/>
      <c r="H14" s="46"/>
      <c r="I14" s="46"/>
      <c r="J14" s="46">
        <v>11</v>
      </c>
      <c r="K14" s="46">
        <v>10</v>
      </c>
      <c r="L14" s="46">
        <v>13</v>
      </c>
      <c r="M14" s="52">
        <v>10</v>
      </c>
      <c r="N14" s="385">
        <f t="shared" si="0"/>
        <v>44</v>
      </c>
      <c r="O14" s="386">
        <f t="shared" si="1"/>
        <v>11</v>
      </c>
      <c r="P14" s="387">
        <f t="shared" si="2"/>
        <v>0.95423986120147464</v>
      </c>
    </row>
    <row r="15" spans="1:16">
      <c r="A15" s="287" t="s">
        <v>310</v>
      </c>
      <c r="B15" s="134"/>
      <c r="C15" s="46"/>
      <c r="D15" s="46"/>
      <c r="E15" s="46"/>
      <c r="F15" s="46"/>
      <c r="G15" s="46"/>
      <c r="H15" s="46"/>
      <c r="I15" s="46"/>
      <c r="J15" s="46">
        <v>50</v>
      </c>
      <c r="K15" s="46">
        <v>43</v>
      </c>
      <c r="L15" s="46">
        <v>65</v>
      </c>
      <c r="M15" s="52">
        <v>41</v>
      </c>
      <c r="N15" s="385">
        <f t="shared" si="0"/>
        <v>199</v>
      </c>
      <c r="O15" s="386">
        <f t="shared" si="1"/>
        <v>49.75</v>
      </c>
      <c r="P15" s="387">
        <f t="shared" si="2"/>
        <v>4.315766644979397</v>
      </c>
    </row>
    <row r="16" spans="1:16">
      <c r="A16" s="287" t="s">
        <v>311</v>
      </c>
      <c r="B16" s="134"/>
      <c r="C16" s="46"/>
      <c r="D16" s="46"/>
      <c r="E16" s="46"/>
      <c r="F16" s="46"/>
      <c r="G16" s="46"/>
      <c r="H16" s="46"/>
      <c r="I16" s="46"/>
      <c r="J16" s="46">
        <v>21</v>
      </c>
      <c r="K16" s="46">
        <v>27</v>
      </c>
      <c r="L16" s="46">
        <v>35</v>
      </c>
      <c r="M16" s="52">
        <v>28</v>
      </c>
      <c r="N16" s="385">
        <f t="shared" si="0"/>
        <v>111</v>
      </c>
      <c r="O16" s="386">
        <f t="shared" si="1"/>
        <v>27.75</v>
      </c>
      <c r="P16" s="387">
        <f t="shared" si="2"/>
        <v>2.4072869225764477</v>
      </c>
    </row>
    <row r="17" spans="1:20">
      <c r="A17" s="287" t="s">
        <v>312</v>
      </c>
      <c r="B17" s="134"/>
      <c r="C17" s="46"/>
      <c r="D17" s="46"/>
      <c r="E17" s="46"/>
      <c r="F17" s="46"/>
      <c r="G17" s="46"/>
      <c r="H17" s="46"/>
      <c r="I17" s="46"/>
      <c r="J17" s="46">
        <v>45</v>
      </c>
      <c r="K17" s="46">
        <v>55</v>
      </c>
      <c r="L17" s="46">
        <v>47</v>
      </c>
      <c r="M17" s="52">
        <v>49</v>
      </c>
      <c r="N17" s="385">
        <f t="shared" si="0"/>
        <v>196</v>
      </c>
      <c r="O17" s="386">
        <f t="shared" si="1"/>
        <v>49</v>
      </c>
      <c r="P17" s="387">
        <f t="shared" si="2"/>
        <v>4.2507048362611144</v>
      </c>
    </row>
    <row r="18" spans="1:20">
      <c r="A18" s="287" t="s">
        <v>313</v>
      </c>
      <c r="B18" s="134"/>
      <c r="C18" s="46"/>
      <c r="D18" s="46"/>
      <c r="E18" s="46"/>
      <c r="F18" s="46"/>
      <c r="G18" s="46"/>
      <c r="H18" s="46"/>
      <c r="I18" s="46"/>
      <c r="J18" s="46">
        <v>24</v>
      </c>
      <c r="K18" s="46">
        <v>28</v>
      </c>
      <c r="L18" s="46">
        <v>18</v>
      </c>
      <c r="M18" s="52">
        <v>20</v>
      </c>
      <c r="N18" s="385">
        <f t="shared" si="0"/>
        <v>90</v>
      </c>
      <c r="O18" s="386">
        <f t="shared" si="1"/>
        <v>22.5</v>
      </c>
      <c r="P18" s="387">
        <f t="shared" si="2"/>
        <v>1.9518542615484711</v>
      </c>
    </row>
    <row r="19" spans="1:20">
      <c r="A19" s="287" t="s">
        <v>314</v>
      </c>
      <c r="B19" s="134"/>
      <c r="C19" s="46"/>
      <c r="D19" s="46"/>
      <c r="E19" s="46"/>
      <c r="F19" s="46"/>
      <c r="G19" s="46"/>
      <c r="H19" s="46"/>
      <c r="I19" s="46"/>
      <c r="J19" s="46">
        <v>16</v>
      </c>
      <c r="K19" s="46">
        <v>26</v>
      </c>
      <c r="L19" s="46">
        <v>17</v>
      </c>
      <c r="M19" s="52">
        <v>22</v>
      </c>
      <c r="N19" s="385">
        <f t="shared" si="0"/>
        <v>81</v>
      </c>
      <c r="O19" s="386">
        <f t="shared" si="1"/>
        <v>20.25</v>
      </c>
      <c r="P19" s="387">
        <f t="shared" si="2"/>
        <v>1.756668835393624</v>
      </c>
      <c r="Q19" s="208"/>
      <c r="T19" s="182"/>
    </row>
    <row r="20" spans="1:20">
      <c r="A20" s="287" t="s">
        <v>315</v>
      </c>
      <c r="B20" s="134"/>
      <c r="C20" s="46"/>
      <c r="D20" s="46"/>
      <c r="E20" s="46"/>
      <c r="F20" s="46"/>
      <c r="G20" s="46"/>
      <c r="H20" s="46"/>
      <c r="I20" s="46"/>
      <c r="J20" s="46">
        <v>91</v>
      </c>
      <c r="K20" s="46">
        <v>140</v>
      </c>
      <c r="L20" s="46">
        <v>71</v>
      </c>
      <c r="M20" s="52">
        <v>70</v>
      </c>
      <c r="N20" s="385">
        <f t="shared" si="0"/>
        <v>372</v>
      </c>
      <c r="O20" s="386">
        <f t="shared" si="1"/>
        <v>93</v>
      </c>
      <c r="P20" s="387">
        <f t="shared" si="2"/>
        <v>8.0676642810670138</v>
      </c>
      <c r="Q20" s="208"/>
      <c r="T20" s="182"/>
    </row>
    <row r="21" spans="1:20">
      <c r="A21" s="287" t="s">
        <v>316</v>
      </c>
      <c r="B21" s="134"/>
      <c r="C21" s="46"/>
      <c r="D21" s="46"/>
      <c r="E21" s="46"/>
      <c r="F21" s="46"/>
      <c r="G21" s="46"/>
      <c r="H21" s="46"/>
      <c r="I21" s="46"/>
      <c r="J21" s="46">
        <v>14</v>
      </c>
      <c r="K21" s="46">
        <v>33</v>
      </c>
      <c r="L21" s="46">
        <v>23</v>
      </c>
      <c r="M21" s="52">
        <v>22</v>
      </c>
      <c r="N21" s="385">
        <f t="shared" si="0"/>
        <v>92</v>
      </c>
      <c r="O21" s="386">
        <f t="shared" si="1"/>
        <v>23</v>
      </c>
      <c r="P21" s="387">
        <f t="shared" si="2"/>
        <v>1.9952288006939927</v>
      </c>
      <c r="Q21" s="208"/>
      <c r="T21" s="182"/>
    </row>
    <row r="22" spans="1:20">
      <c r="A22" s="287" t="s">
        <v>317</v>
      </c>
      <c r="B22" s="134"/>
      <c r="C22" s="46"/>
      <c r="D22" s="46"/>
      <c r="E22" s="46"/>
      <c r="F22" s="46"/>
      <c r="G22" s="46"/>
      <c r="H22" s="46"/>
      <c r="I22" s="46"/>
      <c r="J22" s="46">
        <v>51</v>
      </c>
      <c r="K22" s="46">
        <v>75</v>
      </c>
      <c r="L22" s="46">
        <v>55</v>
      </c>
      <c r="M22" s="52">
        <v>53</v>
      </c>
      <c r="N22" s="385">
        <f t="shared" si="0"/>
        <v>234</v>
      </c>
      <c r="O22" s="386">
        <f t="shared" si="1"/>
        <v>58.5</v>
      </c>
      <c r="P22" s="387">
        <f t="shared" si="2"/>
        <v>5.0748210800260249</v>
      </c>
      <c r="Q22" s="208"/>
      <c r="T22" s="182"/>
    </row>
    <row r="23" spans="1:20">
      <c r="A23" s="287" t="s">
        <v>318</v>
      </c>
      <c r="B23" s="134"/>
      <c r="C23" s="46"/>
      <c r="D23" s="46"/>
      <c r="E23" s="46"/>
      <c r="F23" s="46"/>
      <c r="G23" s="46"/>
      <c r="H23" s="46"/>
      <c r="I23" s="46"/>
      <c r="J23" s="46">
        <v>13</v>
      </c>
      <c r="K23" s="46">
        <v>7</v>
      </c>
      <c r="L23" s="46">
        <v>16</v>
      </c>
      <c r="M23" s="52">
        <v>5</v>
      </c>
      <c r="N23" s="385">
        <f t="shared" si="0"/>
        <v>41</v>
      </c>
      <c r="O23" s="386">
        <f t="shared" si="1"/>
        <v>10.25</v>
      </c>
      <c r="P23" s="387">
        <f t="shared" si="2"/>
        <v>0.88917805248319226</v>
      </c>
      <c r="Q23" s="388"/>
      <c r="T23" s="389"/>
    </row>
    <row r="24" spans="1:20">
      <c r="A24" s="287" t="s">
        <v>319</v>
      </c>
      <c r="B24" s="134"/>
      <c r="C24" s="46"/>
      <c r="D24" s="46"/>
      <c r="E24" s="46"/>
      <c r="F24" s="46"/>
      <c r="G24" s="46"/>
      <c r="H24" s="46"/>
      <c r="I24" s="46"/>
      <c r="J24" s="46">
        <v>59</v>
      </c>
      <c r="K24" s="46">
        <v>70</v>
      </c>
      <c r="L24" s="46">
        <v>52</v>
      </c>
      <c r="M24" s="52">
        <v>71</v>
      </c>
      <c r="N24" s="385">
        <f t="shared" si="0"/>
        <v>252</v>
      </c>
      <c r="O24" s="386">
        <f t="shared" si="1"/>
        <v>63</v>
      </c>
      <c r="P24" s="387">
        <f t="shared" si="2"/>
        <v>5.4651919323357188</v>
      </c>
      <c r="Q24" s="208"/>
      <c r="T24" s="182"/>
    </row>
    <row r="25" spans="1:20">
      <c r="A25" s="287" t="s">
        <v>320</v>
      </c>
      <c r="B25" s="134"/>
      <c r="C25" s="46"/>
      <c r="D25" s="46"/>
      <c r="E25" s="46"/>
      <c r="F25" s="46"/>
      <c r="G25" s="46"/>
      <c r="H25" s="46"/>
      <c r="I25" s="46"/>
      <c r="J25" s="46">
        <v>4</v>
      </c>
      <c r="K25" s="46">
        <v>14</v>
      </c>
      <c r="L25" s="46">
        <v>5</v>
      </c>
      <c r="M25" s="52">
        <v>10</v>
      </c>
      <c r="N25" s="385">
        <f t="shared" si="0"/>
        <v>33</v>
      </c>
      <c r="O25" s="386">
        <f t="shared" si="1"/>
        <v>8.25</v>
      </c>
      <c r="P25" s="387">
        <f t="shared" si="2"/>
        <v>0.71567989590110603</v>
      </c>
      <c r="Q25" s="208"/>
      <c r="T25" s="182"/>
    </row>
    <row r="26" spans="1:20">
      <c r="A26" s="287" t="s">
        <v>321</v>
      </c>
      <c r="B26" s="134"/>
      <c r="C26" s="46"/>
      <c r="D26" s="46"/>
      <c r="E26" s="46"/>
      <c r="F26" s="46"/>
      <c r="G26" s="46"/>
      <c r="H26" s="46"/>
      <c r="I26" s="46"/>
      <c r="J26" s="46">
        <v>26</v>
      </c>
      <c r="K26" s="46">
        <v>51</v>
      </c>
      <c r="L26" s="46">
        <v>43</v>
      </c>
      <c r="M26" s="52">
        <v>47</v>
      </c>
      <c r="N26" s="385">
        <f t="shared" si="0"/>
        <v>167</v>
      </c>
      <c r="O26" s="386">
        <f t="shared" si="1"/>
        <v>41.75</v>
      </c>
      <c r="P26" s="387">
        <f t="shared" si="2"/>
        <v>3.6217740186510521</v>
      </c>
      <c r="Q26" s="208"/>
      <c r="T26" s="182"/>
    </row>
    <row r="27" spans="1:20">
      <c r="A27" s="287" t="s">
        <v>322</v>
      </c>
      <c r="B27" s="134"/>
      <c r="C27" s="46"/>
      <c r="D27" s="46"/>
      <c r="E27" s="46"/>
      <c r="F27" s="46"/>
      <c r="G27" s="46"/>
      <c r="H27" s="46"/>
      <c r="I27" s="46"/>
      <c r="J27" s="46">
        <v>25</v>
      </c>
      <c r="K27" s="46">
        <v>54</v>
      </c>
      <c r="L27" s="46">
        <v>52</v>
      </c>
      <c r="M27" s="52">
        <v>38</v>
      </c>
      <c r="N27" s="385">
        <f t="shared" si="0"/>
        <v>169</v>
      </c>
      <c r="O27" s="386">
        <f t="shared" si="1"/>
        <v>42.25</v>
      </c>
      <c r="P27" s="387">
        <f t="shared" si="2"/>
        <v>3.6651485577965737</v>
      </c>
      <c r="Q27" s="208"/>
      <c r="T27" s="182"/>
    </row>
    <row r="28" spans="1:20">
      <c r="A28" s="287" t="s">
        <v>323</v>
      </c>
      <c r="B28" s="134"/>
      <c r="C28" s="46"/>
      <c r="D28" s="46"/>
      <c r="E28" s="46"/>
      <c r="F28" s="46"/>
      <c r="G28" s="46"/>
      <c r="H28" s="46"/>
      <c r="I28" s="46"/>
      <c r="J28" s="46">
        <v>46</v>
      </c>
      <c r="K28" s="46">
        <v>57</v>
      </c>
      <c r="L28" s="46">
        <v>34</v>
      </c>
      <c r="M28" s="52">
        <v>42</v>
      </c>
      <c r="N28" s="385">
        <f t="shared" si="0"/>
        <v>179</v>
      </c>
      <c r="O28" s="386">
        <f t="shared" si="1"/>
        <v>44.75</v>
      </c>
      <c r="P28" s="387">
        <f t="shared" si="2"/>
        <v>3.8820212535241816</v>
      </c>
      <c r="Q28" s="208"/>
      <c r="T28" s="182"/>
    </row>
    <row r="29" spans="1:20">
      <c r="A29" s="287" t="s">
        <v>324</v>
      </c>
      <c r="B29" s="134"/>
      <c r="C29" s="46"/>
      <c r="D29" s="46"/>
      <c r="E29" s="46"/>
      <c r="F29" s="46"/>
      <c r="G29" s="46"/>
      <c r="H29" s="46"/>
      <c r="I29" s="46"/>
      <c r="J29" s="46">
        <v>69</v>
      </c>
      <c r="K29" s="46">
        <v>68</v>
      </c>
      <c r="L29" s="46">
        <v>51</v>
      </c>
      <c r="M29" s="52">
        <v>44</v>
      </c>
      <c r="N29" s="385">
        <f t="shared" si="0"/>
        <v>232</v>
      </c>
      <c r="O29" s="386">
        <f t="shared" si="1"/>
        <v>58</v>
      </c>
      <c r="P29" s="387">
        <f t="shared" si="2"/>
        <v>5.0314465408805038</v>
      </c>
      <c r="Q29" s="208"/>
      <c r="T29" s="182"/>
    </row>
    <row r="30" spans="1:20">
      <c r="A30" s="287" t="s">
        <v>325</v>
      </c>
      <c r="B30" s="134"/>
      <c r="C30" s="46"/>
      <c r="D30" s="46"/>
      <c r="E30" s="46"/>
      <c r="F30" s="46"/>
      <c r="G30" s="46"/>
      <c r="H30" s="46"/>
      <c r="I30" s="46"/>
      <c r="J30" s="46">
        <v>17</v>
      </c>
      <c r="K30" s="46">
        <v>27</v>
      </c>
      <c r="L30" s="46">
        <v>34</v>
      </c>
      <c r="M30" s="52">
        <v>32</v>
      </c>
      <c r="N30" s="385">
        <f t="shared" si="0"/>
        <v>110</v>
      </c>
      <c r="O30" s="386">
        <f t="shared" si="1"/>
        <v>27.5</v>
      </c>
      <c r="P30" s="387">
        <f t="shared" si="2"/>
        <v>2.3855996530036871</v>
      </c>
      <c r="Q30" s="208"/>
      <c r="T30" s="182"/>
    </row>
    <row r="31" spans="1:20">
      <c r="A31" s="287" t="s">
        <v>326</v>
      </c>
      <c r="B31" s="134"/>
      <c r="C31" s="46"/>
      <c r="D31" s="46"/>
      <c r="E31" s="46"/>
      <c r="F31" s="46"/>
      <c r="G31" s="46"/>
      <c r="H31" s="46"/>
      <c r="I31" s="46"/>
      <c r="J31" s="46">
        <v>17</v>
      </c>
      <c r="K31" s="46">
        <v>17</v>
      </c>
      <c r="L31" s="46">
        <v>20</v>
      </c>
      <c r="M31" s="52">
        <v>10</v>
      </c>
      <c r="N31" s="385">
        <f t="shared" si="0"/>
        <v>64</v>
      </c>
      <c r="O31" s="386">
        <f t="shared" si="1"/>
        <v>16</v>
      </c>
      <c r="P31" s="387">
        <f t="shared" si="2"/>
        <v>1.3879852526566905</v>
      </c>
      <c r="Q31" s="208"/>
      <c r="T31" s="182"/>
    </row>
    <row r="32" spans="1:20">
      <c r="A32" s="287" t="s">
        <v>327</v>
      </c>
      <c r="B32" s="134"/>
      <c r="C32" s="46"/>
      <c r="D32" s="46"/>
      <c r="E32" s="46"/>
      <c r="F32" s="46"/>
      <c r="G32" s="46"/>
      <c r="H32" s="46"/>
      <c r="I32" s="46"/>
      <c r="J32" s="46">
        <v>19</v>
      </c>
      <c r="K32" s="46">
        <v>21</v>
      </c>
      <c r="L32" s="46">
        <v>12</v>
      </c>
      <c r="M32" s="52">
        <v>23</v>
      </c>
      <c r="N32" s="385">
        <f t="shared" si="0"/>
        <v>75</v>
      </c>
      <c r="O32" s="386">
        <f t="shared" si="1"/>
        <v>18.75</v>
      </c>
      <c r="P32" s="387">
        <f t="shared" si="2"/>
        <v>1.626545217957059</v>
      </c>
      <c r="Q32" s="208"/>
      <c r="T32" s="182"/>
    </row>
    <row r="33" spans="1:20">
      <c r="A33" s="287" t="s">
        <v>328</v>
      </c>
      <c r="B33" s="134"/>
      <c r="C33" s="46"/>
      <c r="D33" s="46"/>
      <c r="E33" s="46"/>
      <c r="F33" s="46"/>
      <c r="G33" s="46"/>
      <c r="H33" s="46"/>
      <c r="I33" s="46"/>
      <c r="J33" s="46">
        <v>63</v>
      </c>
      <c r="K33" s="46">
        <v>78</v>
      </c>
      <c r="L33" s="46">
        <v>72</v>
      </c>
      <c r="M33" s="52">
        <v>46</v>
      </c>
      <c r="N33" s="385">
        <f t="shared" si="0"/>
        <v>259</v>
      </c>
      <c r="O33" s="386">
        <f t="shared" si="1"/>
        <v>64.75</v>
      </c>
      <c r="P33" s="387">
        <f t="shared" si="2"/>
        <v>5.6170028193450445</v>
      </c>
      <c r="Q33" s="208"/>
      <c r="T33" s="182"/>
    </row>
    <row r="34" spans="1:20">
      <c r="A34" s="287" t="s">
        <v>329</v>
      </c>
      <c r="B34" s="134"/>
      <c r="C34" s="46"/>
      <c r="D34" s="46"/>
      <c r="E34" s="46"/>
      <c r="F34" s="46"/>
      <c r="G34" s="46"/>
      <c r="H34" s="46"/>
      <c r="I34" s="46"/>
      <c r="J34" s="46">
        <v>27</v>
      </c>
      <c r="K34" s="46">
        <v>27</v>
      </c>
      <c r="L34" s="46">
        <v>42</v>
      </c>
      <c r="M34" s="52">
        <v>28</v>
      </c>
      <c r="N34" s="385">
        <f t="shared" si="0"/>
        <v>124</v>
      </c>
      <c r="O34" s="386">
        <f t="shared" si="1"/>
        <v>31</v>
      </c>
      <c r="P34" s="387">
        <f t="shared" si="2"/>
        <v>2.6892214270223378</v>
      </c>
      <c r="Q34" s="208"/>
      <c r="T34" s="182"/>
    </row>
    <row r="35" spans="1:20">
      <c r="A35" s="287" t="s">
        <v>330</v>
      </c>
      <c r="B35" s="134"/>
      <c r="C35" s="46"/>
      <c r="D35" s="46"/>
      <c r="E35" s="46"/>
      <c r="F35" s="46"/>
      <c r="G35" s="46"/>
      <c r="H35" s="46"/>
      <c r="I35" s="46"/>
      <c r="J35" s="46">
        <v>39</v>
      </c>
      <c r="K35" s="46">
        <v>65</v>
      </c>
      <c r="L35" s="46">
        <v>59</v>
      </c>
      <c r="M35" s="52">
        <v>48</v>
      </c>
      <c r="N35" s="385">
        <f t="shared" si="0"/>
        <v>211</v>
      </c>
      <c r="O35" s="386">
        <f t="shared" si="1"/>
        <v>52.75</v>
      </c>
      <c r="P35" s="387">
        <f t="shared" si="2"/>
        <v>4.5760138798525265</v>
      </c>
      <c r="Q35" s="208"/>
      <c r="T35" s="182"/>
    </row>
    <row r="36" spans="1:20" ht="15.75" thickBot="1">
      <c r="A36" s="292" t="s">
        <v>331</v>
      </c>
      <c r="B36" s="154"/>
      <c r="C36" s="55"/>
      <c r="D36" s="55"/>
      <c r="E36" s="55"/>
      <c r="F36" s="55"/>
      <c r="G36" s="55"/>
      <c r="H36" s="55"/>
      <c r="I36" s="55"/>
      <c r="J36" s="55">
        <v>57</v>
      </c>
      <c r="K36" s="46">
        <v>44</v>
      </c>
      <c r="L36" s="55">
        <v>32</v>
      </c>
      <c r="M36" s="390">
        <v>17</v>
      </c>
      <c r="N36" s="391">
        <f t="shared" si="0"/>
        <v>150</v>
      </c>
      <c r="O36" s="392">
        <f t="shared" si="1"/>
        <v>37.5</v>
      </c>
      <c r="P36" s="387">
        <f t="shared" si="2"/>
        <v>3.253090435914118</v>
      </c>
      <c r="Q36" s="208"/>
      <c r="T36" s="182"/>
    </row>
    <row r="37" spans="1:20" ht="15.75" thickBot="1">
      <c r="A37" s="393" t="s">
        <v>5</v>
      </c>
      <c r="B37" s="65"/>
      <c r="C37" s="65"/>
      <c r="D37" s="65"/>
      <c r="E37" s="62"/>
      <c r="F37" s="62"/>
      <c r="G37" s="62"/>
      <c r="H37" s="63"/>
      <c r="I37" s="62"/>
      <c r="J37" s="62">
        <f>SUM(J5:J36)</f>
        <v>1054</v>
      </c>
      <c r="K37" s="62">
        <f>SUM(K5:K36)</f>
        <v>1343</v>
      </c>
      <c r="L37" s="62">
        <f>SUM(L5:L36)</f>
        <v>1163</v>
      </c>
      <c r="M37" s="394">
        <f>SUM(M5:M36)</f>
        <v>1051</v>
      </c>
      <c r="N37" s="395">
        <f>SUM(N5:N36)</f>
        <v>4611</v>
      </c>
      <c r="O37" s="234">
        <f t="shared" si="1"/>
        <v>1152.75</v>
      </c>
      <c r="P37" s="396">
        <f>SUM(P5:P36)</f>
        <v>99.999999999999986</v>
      </c>
      <c r="Q37" s="208"/>
      <c r="T37" s="182"/>
    </row>
    <row r="38" spans="1:20">
      <c r="Q38" s="208"/>
      <c r="T38" s="182"/>
    </row>
    <row r="39" spans="1:20">
      <c r="Q39" s="208"/>
      <c r="T39" s="182"/>
    </row>
    <row r="40" spans="1:20">
      <c r="Q40" s="208"/>
      <c r="T40" s="182"/>
    </row>
    <row r="41" spans="1:20">
      <c r="Q41" s="208"/>
      <c r="T41" s="182"/>
    </row>
    <row r="42" spans="1:20">
      <c r="Q42" s="208"/>
      <c r="T42" s="182"/>
    </row>
    <row r="43" spans="1:20">
      <c r="Q43" s="208"/>
      <c r="T43" s="182"/>
    </row>
    <row r="44" spans="1:20">
      <c r="Q44" s="208"/>
      <c r="T44" s="182"/>
    </row>
    <row r="45" spans="1:20">
      <c r="Q45" s="208"/>
      <c r="T45" s="182"/>
    </row>
    <row r="46" spans="1:20">
      <c r="Q46" s="208"/>
      <c r="T46" s="182"/>
    </row>
    <row r="47" spans="1:20">
      <c r="Q47" s="208"/>
      <c r="T47" s="182"/>
    </row>
    <row r="48" spans="1:20">
      <c r="Q48" s="208"/>
      <c r="T48" s="182"/>
    </row>
    <row r="49" spans="17:20">
      <c r="Q49" s="208"/>
      <c r="T49" s="182"/>
    </row>
    <row r="50" spans="17:20">
      <c r="Q50" s="208"/>
      <c r="T50" s="182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workbookViewId="0"/>
  </sheetViews>
  <sheetFormatPr defaultRowHeight="15"/>
  <cols>
    <col min="1" max="1" width="19.710937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bestFit="1" customWidth="1"/>
    <col min="7" max="7" width="6.28515625" bestFit="1" customWidth="1"/>
    <col min="8" max="8" width="7" bestFit="1" customWidth="1"/>
    <col min="9" max="9" width="7.5703125" customWidth="1"/>
    <col min="10" max="10" width="7.140625" bestFit="1" customWidth="1"/>
    <col min="11" max="11" width="7.5703125" bestFit="1" customWidth="1"/>
    <col min="12" max="12" width="7.140625" bestFit="1" customWidth="1"/>
    <col min="13" max="13" width="7.5703125" customWidth="1"/>
    <col min="14" max="14" width="6.140625" bestFit="1" customWidth="1"/>
    <col min="15" max="15" width="7.85546875" bestFit="1" customWidth="1"/>
    <col min="16" max="16" width="17.85546875" customWidth="1"/>
    <col min="17" max="17" width="9.140625" customWidth="1"/>
  </cols>
  <sheetData>
    <row r="1" spans="1:16">
      <c r="A1" s="1" t="s">
        <v>0</v>
      </c>
      <c r="O1" s="265"/>
      <c r="P1" s="253">
        <v>4687</v>
      </c>
    </row>
    <row r="2" spans="1:16">
      <c r="A2" s="1" t="s">
        <v>1</v>
      </c>
      <c r="O2" s="265"/>
      <c r="P2" s="265"/>
    </row>
    <row r="3" spans="1:16">
      <c r="A3" s="1"/>
      <c r="O3" s="265"/>
      <c r="P3" s="265"/>
    </row>
    <row r="4" spans="1:16">
      <c r="A4" s="1" t="s">
        <v>332</v>
      </c>
      <c r="O4" s="265"/>
      <c r="P4" s="265"/>
    </row>
    <row r="5" spans="1:16" ht="15.75" thickBot="1"/>
    <row r="6" spans="1:16" ht="45.75" customHeight="1" thickBot="1">
      <c r="A6" s="63" t="s">
        <v>214</v>
      </c>
      <c r="B6" s="25">
        <v>45261</v>
      </c>
      <c r="C6" s="119">
        <v>45231</v>
      </c>
      <c r="D6" s="119">
        <v>45200</v>
      </c>
      <c r="E6" s="119">
        <v>45170</v>
      </c>
      <c r="F6" s="119">
        <v>45139</v>
      </c>
      <c r="G6" s="119">
        <v>45108</v>
      </c>
      <c r="H6" s="308">
        <v>45078</v>
      </c>
      <c r="I6" s="397">
        <v>45047</v>
      </c>
      <c r="J6" s="398">
        <v>45017</v>
      </c>
      <c r="K6" s="398">
        <v>44986</v>
      </c>
      <c r="L6" s="398">
        <v>44958</v>
      </c>
      <c r="M6" s="399">
        <v>44927</v>
      </c>
      <c r="N6" s="400" t="s">
        <v>5</v>
      </c>
      <c r="O6" s="401" t="s">
        <v>6</v>
      </c>
      <c r="P6" s="309" t="s">
        <v>215</v>
      </c>
    </row>
    <row r="7" spans="1:16" ht="15.75" thickBot="1">
      <c r="A7" s="402" t="s">
        <v>315</v>
      </c>
      <c r="B7" s="403"/>
      <c r="C7" s="46"/>
      <c r="D7" s="46"/>
      <c r="E7" s="46"/>
      <c r="F7" s="46"/>
      <c r="G7" s="46"/>
      <c r="H7" s="46"/>
      <c r="I7" s="46"/>
      <c r="J7" s="33">
        <v>91</v>
      </c>
      <c r="K7" s="33">
        <v>140</v>
      </c>
      <c r="L7" s="33">
        <v>71</v>
      </c>
      <c r="M7" s="32">
        <v>70</v>
      </c>
      <c r="N7" s="382">
        <f t="shared" ref="N7:N17" si="0">SUM(B7:M7)</f>
        <v>372</v>
      </c>
      <c r="O7" s="404">
        <f t="shared" ref="O7:O17" si="1">AVERAGE(B7:M7)</f>
        <v>93</v>
      </c>
      <c r="P7" s="405">
        <f t="shared" ref="P7:P17" si="2">(J7*100)/$P$1</f>
        <v>1.9415404309793045</v>
      </c>
    </row>
    <row r="8" spans="1:16" ht="15.75" thickBot="1">
      <c r="A8" s="406" t="s">
        <v>328</v>
      </c>
      <c r="B8" s="403"/>
      <c r="C8" s="46"/>
      <c r="D8" s="46"/>
      <c r="E8" s="46"/>
      <c r="F8" s="46"/>
      <c r="G8" s="46"/>
      <c r="H8" s="46"/>
      <c r="I8" s="46"/>
      <c r="J8" s="46">
        <v>63</v>
      </c>
      <c r="K8" s="46">
        <v>78</v>
      </c>
      <c r="L8" s="46">
        <v>72</v>
      </c>
      <c r="M8" s="44">
        <v>46</v>
      </c>
      <c r="N8" s="385">
        <f t="shared" si="0"/>
        <v>259</v>
      </c>
      <c r="O8" s="386">
        <f t="shared" si="1"/>
        <v>64.75</v>
      </c>
      <c r="P8" s="405">
        <f t="shared" si="2"/>
        <v>1.3441433752933647</v>
      </c>
    </row>
    <row r="9" spans="1:16" ht="15.75" thickBot="1">
      <c r="A9" s="406" t="s">
        <v>319</v>
      </c>
      <c r="B9" s="403"/>
      <c r="C9" s="46"/>
      <c r="D9" s="46"/>
      <c r="E9" s="46"/>
      <c r="F9" s="46"/>
      <c r="G9" s="46"/>
      <c r="H9" s="46"/>
      <c r="I9" s="46"/>
      <c r="J9" s="46">
        <v>59</v>
      </c>
      <c r="K9" s="46">
        <v>70</v>
      </c>
      <c r="L9" s="46">
        <v>52</v>
      </c>
      <c r="M9" s="44">
        <v>71</v>
      </c>
      <c r="N9" s="385">
        <f t="shared" si="0"/>
        <v>252</v>
      </c>
      <c r="O9" s="386">
        <f t="shared" si="1"/>
        <v>63</v>
      </c>
      <c r="P9" s="405">
        <f t="shared" si="2"/>
        <v>1.2588009387668018</v>
      </c>
    </row>
    <row r="10" spans="1:16" ht="15.75" thickBot="1">
      <c r="A10" s="406" t="s">
        <v>317</v>
      </c>
      <c r="B10" s="403"/>
      <c r="C10" s="46"/>
      <c r="D10" s="46"/>
      <c r="E10" s="46"/>
      <c r="F10" s="46"/>
      <c r="G10" s="46"/>
      <c r="H10" s="46"/>
      <c r="I10" s="46"/>
      <c r="J10" s="46">
        <v>51</v>
      </c>
      <c r="K10" s="46">
        <v>75</v>
      </c>
      <c r="L10" s="46">
        <v>55</v>
      </c>
      <c r="M10" s="44">
        <v>53</v>
      </c>
      <c r="N10" s="385">
        <f t="shared" si="0"/>
        <v>234</v>
      </c>
      <c r="O10" s="386">
        <f t="shared" si="1"/>
        <v>58.5</v>
      </c>
      <c r="P10" s="405">
        <f t="shared" si="2"/>
        <v>1.0881160657136761</v>
      </c>
    </row>
    <row r="11" spans="1:16" ht="15.75" thickBot="1">
      <c r="A11" s="406" t="s">
        <v>324</v>
      </c>
      <c r="B11" s="403"/>
      <c r="C11" s="46"/>
      <c r="D11" s="46"/>
      <c r="E11" s="46"/>
      <c r="F11" s="46"/>
      <c r="G11" s="46"/>
      <c r="H11" s="46"/>
      <c r="I11" s="46"/>
      <c r="J11" s="46">
        <v>69</v>
      </c>
      <c r="K11" s="46">
        <v>68</v>
      </c>
      <c r="L11" s="46">
        <v>51</v>
      </c>
      <c r="M11" s="44">
        <v>44</v>
      </c>
      <c r="N11" s="385">
        <f t="shared" si="0"/>
        <v>232</v>
      </c>
      <c r="O11" s="386">
        <f t="shared" si="1"/>
        <v>58</v>
      </c>
      <c r="P11" s="405">
        <f t="shared" si="2"/>
        <v>1.472157030083209</v>
      </c>
    </row>
    <row r="12" spans="1:16" ht="15.75" thickBot="1">
      <c r="A12" s="406" t="s">
        <v>301</v>
      </c>
      <c r="B12" s="403"/>
      <c r="C12" s="46"/>
      <c r="D12" s="46"/>
      <c r="E12" s="46"/>
      <c r="F12" s="46"/>
      <c r="G12" s="46"/>
      <c r="H12" s="46"/>
      <c r="I12" s="46"/>
      <c r="J12" s="46">
        <v>52</v>
      </c>
      <c r="K12" s="46">
        <v>66</v>
      </c>
      <c r="L12" s="46">
        <v>57</v>
      </c>
      <c r="M12" s="44">
        <v>52</v>
      </c>
      <c r="N12" s="385">
        <f t="shared" si="0"/>
        <v>227</v>
      </c>
      <c r="O12" s="386">
        <f t="shared" si="1"/>
        <v>56.75</v>
      </c>
      <c r="P12" s="405">
        <f t="shared" si="2"/>
        <v>1.1094516748453169</v>
      </c>
    </row>
    <row r="13" spans="1:16" ht="15.75" thickBot="1">
      <c r="A13" s="406" t="s">
        <v>330</v>
      </c>
      <c r="B13" s="403"/>
      <c r="C13" s="46"/>
      <c r="D13" s="46"/>
      <c r="E13" s="46"/>
      <c r="F13" s="46"/>
      <c r="G13" s="46"/>
      <c r="H13" s="46"/>
      <c r="I13" s="46"/>
      <c r="J13" s="46">
        <v>39</v>
      </c>
      <c r="K13" s="46">
        <v>65</v>
      </c>
      <c r="L13" s="46">
        <v>59</v>
      </c>
      <c r="M13" s="44">
        <v>48</v>
      </c>
      <c r="N13" s="385">
        <f t="shared" si="0"/>
        <v>211</v>
      </c>
      <c r="O13" s="386">
        <f t="shared" si="1"/>
        <v>52.75</v>
      </c>
      <c r="P13" s="405">
        <f t="shared" si="2"/>
        <v>0.83208875613398758</v>
      </c>
    </row>
    <row r="14" spans="1:16" ht="15.75" thickBot="1">
      <c r="A14" s="406" t="s">
        <v>310</v>
      </c>
      <c r="B14" s="403"/>
      <c r="C14" s="46"/>
      <c r="D14" s="46"/>
      <c r="E14" s="46"/>
      <c r="F14" s="46"/>
      <c r="G14" s="46"/>
      <c r="H14" s="46"/>
      <c r="I14" s="46"/>
      <c r="J14" s="46">
        <v>50</v>
      </c>
      <c r="K14" s="46">
        <v>43</v>
      </c>
      <c r="L14" s="46">
        <v>65</v>
      </c>
      <c r="M14" s="44">
        <v>41</v>
      </c>
      <c r="N14" s="385">
        <f t="shared" si="0"/>
        <v>199</v>
      </c>
      <c r="O14" s="386">
        <f t="shared" si="1"/>
        <v>49.75</v>
      </c>
      <c r="P14" s="405">
        <f t="shared" si="2"/>
        <v>1.0667804565820354</v>
      </c>
    </row>
    <row r="15" spans="1:16" ht="15.75" thickBot="1">
      <c r="A15" s="406" t="s">
        <v>312</v>
      </c>
      <c r="B15" s="403"/>
      <c r="C15" s="46"/>
      <c r="D15" s="46"/>
      <c r="E15" s="46"/>
      <c r="F15" s="46"/>
      <c r="G15" s="46"/>
      <c r="H15" s="46"/>
      <c r="I15" s="46"/>
      <c r="J15" s="46">
        <v>45</v>
      </c>
      <c r="K15" s="46">
        <v>55</v>
      </c>
      <c r="L15" s="46">
        <v>47</v>
      </c>
      <c r="M15" s="44">
        <v>49</v>
      </c>
      <c r="N15" s="385">
        <f t="shared" si="0"/>
        <v>196</v>
      </c>
      <c r="O15" s="386">
        <f t="shared" si="1"/>
        <v>49</v>
      </c>
      <c r="P15" s="405">
        <f t="shared" si="2"/>
        <v>0.96010241092383186</v>
      </c>
    </row>
    <row r="16" spans="1:16" ht="15.75" thickBot="1">
      <c r="A16" s="407" t="s">
        <v>302</v>
      </c>
      <c r="B16" s="403"/>
      <c r="C16" s="46"/>
      <c r="D16" s="46"/>
      <c r="E16" s="46"/>
      <c r="F16" s="46"/>
      <c r="G16" s="46"/>
      <c r="H16" s="46"/>
      <c r="I16" s="46"/>
      <c r="J16" s="295">
        <v>40</v>
      </c>
      <c r="K16" s="295">
        <v>36</v>
      </c>
      <c r="L16" s="295">
        <v>48</v>
      </c>
      <c r="M16" s="408">
        <v>62</v>
      </c>
      <c r="N16" s="391">
        <f t="shared" si="0"/>
        <v>186</v>
      </c>
      <c r="O16" s="409">
        <f t="shared" si="1"/>
        <v>46.5</v>
      </c>
      <c r="P16" s="405">
        <f t="shared" si="2"/>
        <v>0.85342436526562837</v>
      </c>
    </row>
    <row r="17" spans="1:33" ht="15.75" thickBot="1">
      <c r="A17" s="61" t="s">
        <v>5</v>
      </c>
      <c r="B17" s="333"/>
      <c r="C17" s="65"/>
      <c r="D17" s="65"/>
      <c r="E17" s="65"/>
      <c r="F17" s="65"/>
      <c r="G17" s="65"/>
      <c r="H17" s="333"/>
      <c r="I17" s="333"/>
      <c r="J17" s="65">
        <f>SUM(J7:J16)</f>
        <v>559</v>
      </c>
      <c r="K17" s="65">
        <f>SUM(K7:K16)</f>
        <v>696</v>
      </c>
      <c r="L17" s="65">
        <f>SUM(L7:L16)</f>
        <v>577</v>
      </c>
      <c r="M17" s="323">
        <f>SUM(M7:M16)</f>
        <v>536</v>
      </c>
      <c r="N17" s="410">
        <f t="shared" si="0"/>
        <v>2368</v>
      </c>
      <c r="O17" s="234">
        <f t="shared" si="1"/>
        <v>592</v>
      </c>
      <c r="P17" s="411">
        <f t="shared" si="2"/>
        <v>11.926605504587156</v>
      </c>
    </row>
    <row r="18" spans="1:33">
      <c r="A18" s="412" t="s">
        <v>216</v>
      </c>
      <c r="B18" s="267"/>
      <c r="C18" s="267"/>
      <c r="D18" s="267"/>
      <c r="E18" s="267"/>
      <c r="F18" s="267"/>
      <c r="G18" s="267"/>
      <c r="H18" s="267"/>
      <c r="I18" s="267"/>
      <c r="J18" s="267"/>
      <c r="K18" s="267"/>
      <c r="L18" s="267"/>
      <c r="M18" s="253"/>
      <c r="N18" s="413">
        <f>SUM(N7:N16)</f>
        <v>2368</v>
      </c>
      <c r="O18" s="253"/>
      <c r="P18" s="414">
        <f>100-P17</f>
        <v>88.073394495412842</v>
      </c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</row>
    <row r="19" spans="1:33">
      <c r="A19" s="267"/>
      <c r="B19" s="415"/>
      <c r="C19" s="415"/>
      <c r="D19" s="415"/>
      <c r="E19" s="267"/>
      <c r="F19" s="267"/>
      <c r="G19" s="267"/>
      <c r="H19" s="267"/>
      <c r="I19" s="267"/>
      <c r="J19" s="267"/>
      <c r="K19" s="267"/>
      <c r="L19" s="267"/>
      <c r="M19" s="267"/>
      <c r="N19" s="416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</row>
    <row r="20" spans="1:33">
      <c r="A20" s="267"/>
      <c r="B20" s="415"/>
      <c r="C20" s="415"/>
      <c r="D20" s="415"/>
      <c r="E20" s="267"/>
      <c r="F20" s="267"/>
      <c r="G20" s="267"/>
      <c r="H20" s="267"/>
      <c r="I20" s="267"/>
      <c r="J20" s="267"/>
      <c r="K20" s="267"/>
      <c r="L20" s="267"/>
      <c r="M20" s="267"/>
      <c r="N20" s="267"/>
      <c r="O20" s="267"/>
      <c r="P20" s="267"/>
      <c r="Q20" s="367"/>
      <c r="R20" s="368"/>
      <c r="S20" s="370"/>
      <c r="T20" s="368"/>
      <c r="U20" s="368"/>
      <c r="V20" s="368"/>
      <c r="W20" s="368"/>
      <c r="X20" s="368"/>
      <c r="Y20" s="368"/>
      <c r="Z20" s="368"/>
      <c r="AA20" s="368"/>
      <c r="AB20" s="368"/>
      <c r="AC20" s="370"/>
      <c r="AD20" s="368"/>
      <c r="AE20" s="368"/>
      <c r="AF20" s="209"/>
      <c r="AG20" s="210"/>
    </row>
    <row r="21" spans="1:33">
      <c r="A21" s="267"/>
      <c r="B21" s="415"/>
      <c r="C21" s="415"/>
      <c r="D21" s="415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367"/>
      <c r="R21" s="368"/>
      <c r="S21" s="370"/>
      <c r="T21" s="368"/>
      <c r="U21" s="368"/>
      <c r="V21" s="368"/>
      <c r="W21" s="368"/>
      <c r="X21" s="368"/>
      <c r="Y21" s="368"/>
      <c r="Z21" s="368"/>
      <c r="AA21" s="368"/>
      <c r="AB21" s="368"/>
      <c r="AC21" s="370"/>
      <c r="AD21" s="368"/>
      <c r="AE21" s="368"/>
      <c r="AF21" s="209"/>
      <c r="AG21" s="210"/>
    </row>
    <row r="22" spans="1:33">
      <c r="A22" s="267"/>
      <c r="B22" s="415"/>
      <c r="C22" s="415"/>
      <c r="D22" s="415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367"/>
      <c r="V22" s="368"/>
      <c r="W22" s="368"/>
      <c r="X22" s="368"/>
      <c r="Y22" s="368"/>
      <c r="Z22" s="368"/>
      <c r="AA22" s="368"/>
      <c r="AB22" s="369"/>
      <c r="AC22" s="368"/>
      <c r="AD22" s="368"/>
      <c r="AE22" s="368"/>
      <c r="AF22" s="209"/>
      <c r="AG22" s="210"/>
    </row>
    <row r="23" spans="1:33">
      <c r="A23" s="267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367"/>
      <c r="V23" s="368"/>
      <c r="W23" s="368"/>
      <c r="X23" s="368"/>
      <c r="Y23" s="368"/>
      <c r="Z23" s="368"/>
      <c r="AA23" s="368"/>
      <c r="AB23" s="369"/>
      <c r="AC23" s="368"/>
      <c r="AD23" s="368"/>
      <c r="AE23" s="368"/>
      <c r="AF23" s="209"/>
      <c r="AG23" s="210"/>
    </row>
    <row r="24" spans="1:33">
      <c r="A24" s="267"/>
      <c r="B24" s="267"/>
      <c r="C24" s="267"/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367"/>
      <c r="V24" s="368"/>
      <c r="W24" s="368"/>
      <c r="X24" s="368"/>
      <c r="Y24" s="368"/>
      <c r="Z24" s="368"/>
      <c r="AA24" s="368"/>
      <c r="AB24" s="369"/>
      <c r="AC24" s="368"/>
      <c r="AD24" s="368"/>
      <c r="AE24" s="368"/>
      <c r="AF24" s="209"/>
      <c r="AG24" s="210"/>
    </row>
    <row r="25" spans="1:33">
      <c r="A25" s="267"/>
      <c r="B25" s="267"/>
      <c r="C25" s="267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367"/>
      <c r="V25" s="368"/>
      <c r="W25" s="368"/>
      <c r="X25" s="368"/>
      <c r="Y25" s="368"/>
      <c r="Z25" s="368"/>
      <c r="AA25" s="368"/>
      <c r="AB25" s="369"/>
      <c r="AC25" s="368"/>
      <c r="AD25" s="368"/>
      <c r="AE25" s="368"/>
      <c r="AF25" s="209"/>
      <c r="AG25" s="210"/>
    </row>
    <row r="26" spans="1:33">
      <c r="A26" s="267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367"/>
      <c r="V26" s="368"/>
      <c r="W26" s="368"/>
      <c r="X26" s="368"/>
      <c r="Y26" s="368"/>
      <c r="Z26" s="368"/>
      <c r="AA26" s="368"/>
      <c r="AB26" s="369"/>
      <c r="AC26" s="368"/>
      <c r="AD26" s="368"/>
      <c r="AE26" s="368"/>
      <c r="AF26" s="209"/>
      <c r="AG26" s="210"/>
    </row>
    <row r="27" spans="1:33">
      <c r="A27" s="267"/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367"/>
      <c r="V27" s="368"/>
      <c r="W27" s="368"/>
      <c r="X27" s="368"/>
      <c r="Y27" s="368"/>
      <c r="Z27" s="368"/>
      <c r="AA27" s="368"/>
      <c r="AB27" s="369"/>
      <c r="AC27" s="368"/>
      <c r="AD27" s="368"/>
      <c r="AE27" s="368"/>
      <c r="AF27" s="209"/>
      <c r="AG27" s="210"/>
    </row>
    <row r="28" spans="1:33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367"/>
      <c r="V28" s="368"/>
      <c r="W28" s="368"/>
      <c r="X28" s="368"/>
      <c r="Y28" s="368"/>
      <c r="Z28" s="368"/>
      <c r="AA28" s="368"/>
      <c r="AB28" s="369"/>
      <c r="AC28" s="368"/>
      <c r="AD28" s="368"/>
      <c r="AE28" s="368"/>
      <c r="AF28" s="209"/>
      <c r="AG28" s="210"/>
    </row>
    <row r="29" spans="1:33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367"/>
      <c r="V29" s="368"/>
      <c r="W29" s="368"/>
      <c r="X29" s="368"/>
      <c r="Y29" s="368"/>
      <c r="Z29" s="368"/>
      <c r="AA29" s="368"/>
      <c r="AB29" s="369"/>
      <c r="AC29" s="368"/>
      <c r="AD29" s="368"/>
      <c r="AE29" s="368"/>
      <c r="AF29" s="209"/>
      <c r="AG29" s="210"/>
    </row>
    <row r="30" spans="1:33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</row>
    <row r="31" spans="1:33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</row>
    <row r="32" spans="1:33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</row>
    <row r="33" spans="1:31">
      <c r="A33" s="267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</row>
    <row r="34" spans="1:31">
      <c r="A34" s="267"/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</row>
    <row r="35" spans="1:31">
      <c r="A35" s="267"/>
      <c r="B35" s="267"/>
      <c r="C35" s="26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7"/>
      <c r="O35" s="267"/>
      <c r="P35" s="267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</row>
    <row r="36" spans="1:31">
      <c r="A36" s="267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</row>
    <row r="37" spans="1:31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</row>
    <row r="38" spans="1:31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  <c r="Q38" s="267"/>
      <c r="R38" s="267"/>
      <c r="S38" s="267"/>
      <c r="T38" s="267"/>
      <c r="U38" s="267"/>
      <c r="V38" s="267"/>
      <c r="W38" s="267"/>
      <c r="X38" s="267"/>
      <c r="Y38" s="267"/>
      <c r="Z38" s="267"/>
      <c r="AA38" s="267"/>
      <c r="AB38" s="267"/>
      <c r="AC38" s="267"/>
      <c r="AD38" s="267"/>
      <c r="AE38" s="267"/>
    </row>
    <row r="39" spans="1:31">
      <c r="A39" s="267"/>
      <c r="B39" s="267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</row>
    <row r="40" spans="1:31">
      <c r="A40" s="267"/>
      <c r="B40" s="267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7"/>
      <c r="AB40" s="267"/>
      <c r="AC40" s="267"/>
      <c r="AD40" s="267"/>
      <c r="AE40" s="267"/>
    </row>
    <row r="41" spans="1:31">
      <c r="A41" s="267"/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67"/>
      <c r="U41" s="267"/>
      <c r="V41" s="267"/>
      <c r="W41" s="267"/>
      <c r="X41" s="267"/>
      <c r="Y41" s="267"/>
      <c r="Z41" s="267"/>
      <c r="AA41" s="267"/>
      <c r="AB41" s="267"/>
      <c r="AC41" s="267"/>
      <c r="AD41" s="267"/>
      <c r="AE41" s="267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workbookViewId="0"/>
  </sheetViews>
  <sheetFormatPr defaultRowHeight="14.25"/>
  <cols>
    <col min="1" max="1" width="11.42578125" style="13" customWidth="1"/>
    <col min="2" max="2" width="12.85546875" style="179" bestFit="1" customWidth="1"/>
    <col min="3" max="3" width="11.42578125" style="179" bestFit="1" customWidth="1"/>
    <col min="4" max="4" width="6.28515625" style="13" bestFit="1" customWidth="1"/>
    <col min="5" max="5" width="9.42578125" style="13" customWidth="1"/>
    <col min="6" max="6" width="12.85546875" style="13" bestFit="1" customWidth="1"/>
    <col min="7" max="7" width="11.42578125" style="13" bestFit="1" customWidth="1"/>
    <col min="8" max="8" width="7.140625" style="13" customWidth="1"/>
    <col min="9" max="9" width="9.5703125" style="13" customWidth="1"/>
    <col min="10" max="10" width="12.85546875" style="13" bestFit="1" customWidth="1"/>
    <col min="11" max="11" width="11.42578125" style="13" bestFit="1" customWidth="1"/>
    <col min="12" max="12" width="7.140625" style="13" customWidth="1"/>
    <col min="13" max="13" width="9.42578125" style="13" customWidth="1"/>
    <col min="14" max="14" width="12.85546875" style="13" bestFit="1" customWidth="1"/>
    <col min="15" max="15" width="11.42578125" style="13" bestFit="1" customWidth="1"/>
    <col min="16" max="16" width="9.140625" style="13" customWidth="1"/>
    <col min="17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333</v>
      </c>
    </row>
    <row r="5" spans="1:15" ht="15">
      <c r="A5" s="1"/>
    </row>
    <row r="6" spans="1:15">
      <c r="A6" s="13" t="s">
        <v>219</v>
      </c>
    </row>
    <row r="7" spans="1:15">
      <c r="A7" s="13" t="s">
        <v>220</v>
      </c>
    </row>
    <row r="8" spans="1:15" ht="15" thickBot="1">
      <c r="B8" s="13"/>
      <c r="C8" s="13"/>
    </row>
    <row r="9" spans="1:15" ht="15.75" thickBot="1">
      <c r="A9" s="869" t="str">
        <f>'10_SUB''s_+_demandadas_2023'!A7</f>
        <v>Lapa</v>
      </c>
      <c r="B9" s="869"/>
      <c r="C9" s="869"/>
      <c r="E9" s="869" t="str">
        <f>'10_SUB''s_+_demandadas_2023'!A8</f>
        <v>Sé</v>
      </c>
      <c r="F9" s="869"/>
      <c r="G9" s="869"/>
      <c r="I9" s="869" t="str">
        <f>'10_SUB''s_+_demandadas_2023'!A9</f>
        <v>Penha</v>
      </c>
      <c r="J9" s="869"/>
      <c r="K9" s="869"/>
      <c r="M9" s="869" t="str">
        <f>'10_SUB''s_+_demandadas_2023'!A10</f>
        <v>Mooca</v>
      </c>
      <c r="N9" s="869"/>
      <c r="O9" s="869"/>
    </row>
    <row r="10" spans="1:15" ht="15.75" thickBot="1">
      <c r="A10" s="4" t="s">
        <v>2</v>
      </c>
      <c r="B10" s="5" t="s">
        <v>221</v>
      </c>
      <c r="C10" s="4" t="s">
        <v>222</v>
      </c>
      <c r="E10" s="4" t="s">
        <v>2</v>
      </c>
      <c r="F10" s="5" t="s">
        <v>221</v>
      </c>
      <c r="G10" s="5" t="s">
        <v>222</v>
      </c>
      <c r="I10" s="4" t="s">
        <v>2</v>
      </c>
      <c r="J10" s="5" t="s">
        <v>221</v>
      </c>
      <c r="K10" s="5" t="s">
        <v>222</v>
      </c>
      <c r="M10" s="4" t="s">
        <v>2</v>
      </c>
      <c r="N10" s="5" t="s">
        <v>221</v>
      </c>
      <c r="O10" s="4" t="s">
        <v>222</v>
      </c>
    </row>
    <row r="11" spans="1:15" ht="15">
      <c r="A11" s="220">
        <v>44927</v>
      </c>
      <c r="B11" s="417">
        <f>'10_SUB''s_+_demandadas_2023'!M7</f>
        <v>70</v>
      </c>
      <c r="C11" s="326">
        <f>((B11-55)/55)*100</f>
        <v>27.27272727272727</v>
      </c>
      <c r="E11" s="220">
        <v>44927</v>
      </c>
      <c r="F11" s="222">
        <f>'10_SUB''s_+_demandadas_2023'!M8</f>
        <v>46</v>
      </c>
      <c r="G11" s="9">
        <f>((F11-49)/49)*100</f>
        <v>-6.1224489795918364</v>
      </c>
      <c r="I11" s="220">
        <v>44927</v>
      </c>
      <c r="J11" s="222">
        <f>'10_SUB''s_+_demandadas_2023'!M9</f>
        <v>71</v>
      </c>
      <c r="K11" s="9">
        <f>((J11-34)/34)*100</f>
        <v>108.8235294117647</v>
      </c>
      <c r="M11" s="220">
        <v>44927</v>
      </c>
      <c r="N11" s="417">
        <f>'10_SUB''s_+_demandadas_2023'!M10</f>
        <v>53</v>
      </c>
      <c r="O11" s="326">
        <f>((N11-34)/34)*100</f>
        <v>55.882352941176471</v>
      </c>
    </row>
    <row r="12" spans="1:15" ht="15">
      <c r="A12" s="223">
        <v>44958</v>
      </c>
      <c r="B12" s="418">
        <f>'10_SUB''s_+_demandadas_2023'!L7</f>
        <v>71</v>
      </c>
      <c r="C12" s="9">
        <f>((B12-51)/51)*100</f>
        <v>39.215686274509807</v>
      </c>
      <c r="E12" s="223">
        <v>44958</v>
      </c>
      <c r="F12" s="224">
        <f>'10_SUB''s_+_demandadas_2023'!L8</f>
        <v>72</v>
      </c>
      <c r="G12" s="9">
        <f>((F12-F11)/F11)*100</f>
        <v>56.521739130434781</v>
      </c>
      <c r="I12" s="223">
        <v>44958</v>
      </c>
      <c r="J12" s="224">
        <f>'10_SUB''s_+_demandadas_2023'!L9</f>
        <v>52</v>
      </c>
      <c r="K12" s="9">
        <f>((J12-J11)/J11)*100</f>
        <v>-26.760563380281688</v>
      </c>
      <c r="M12" s="223">
        <v>44958</v>
      </c>
      <c r="N12" s="418">
        <f>'10_SUB''s_+_demandadas_2023'!L10</f>
        <v>55</v>
      </c>
      <c r="O12" s="9">
        <f>((N12-N11)/N11)*100</f>
        <v>3.7735849056603774</v>
      </c>
    </row>
    <row r="13" spans="1:15" ht="15">
      <c r="A13" s="223">
        <v>44986</v>
      </c>
      <c r="B13" s="418">
        <f>'10_SUB''s_+_demandadas_2023'!K7</f>
        <v>140</v>
      </c>
      <c r="C13" s="9">
        <f>((B13-B12)/B12)*100</f>
        <v>97.183098591549296</v>
      </c>
      <c r="E13" s="223">
        <v>44986</v>
      </c>
      <c r="F13" s="224">
        <f>'10_SUB''s_+_demandadas_2023'!$K$8</f>
        <v>78</v>
      </c>
      <c r="G13" s="9">
        <f>((F13-F12)/F12)*100</f>
        <v>8.3333333333333321</v>
      </c>
      <c r="I13" s="223">
        <v>44986</v>
      </c>
      <c r="J13" s="224">
        <f>'10_SUB''s_+_demandadas_2023'!$K$9</f>
        <v>70</v>
      </c>
      <c r="K13" s="9">
        <f>((J13-J12)/J12)*100</f>
        <v>34.615384615384613</v>
      </c>
      <c r="M13" s="223">
        <v>44986</v>
      </c>
      <c r="N13" s="418">
        <f>'10_SUB''s_+_demandadas_2023'!$K$10</f>
        <v>75</v>
      </c>
      <c r="O13" s="9">
        <f>((N13-N12)/N12)*100</f>
        <v>36.363636363636367</v>
      </c>
    </row>
    <row r="14" spans="1:15" ht="15">
      <c r="A14" s="223">
        <v>45017</v>
      </c>
      <c r="B14" s="418">
        <f>'10_SUB''s_+_demandadas_2023'!J7</f>
        <v>91</v>
      </c>
      <c r="C14" s="9">
        <f>((B14-B13)/B13)*100</f>
        <v>-35</v>
      </c>
      <c r="E14" s="223">
        <v>45017</v>
      </c>
      <c r="F14" s="418">
        <f>'10_SUB''s_+_demandadas_2023'!J8</f>
        <v>63</v>
      </c>
      <c r="G14" s="9">
        <f>((F14-F13)/F13)*100</f>
        <v>-19.230769230769234</v>
      </c>
      <c r="I14" s="223">
        <v>45017</v>
      </c>
      <c r="J14" s="418">
        <f>'10_SUB''s_+_demandadas_2023'!J9</f>
        <v>59</v>
      </c>
      <c r="K14" s="9">
        <f>((J14-J13)/J13)*100</f>
        <v>-15.714285714285714</v>
      </c>
      <c r="M14" s="223">
        <v>45017</v>
      </c>
      <c r="N14" s="418">
        <f>'10_SUB''s_+_demandadas_2023'!J10</f>
        <v>51</v>
      </c>
      <c r="O14" s="9">
        <f>((N14-N13)/N13)*100</f>
        <v>-32</v>
      </c>
    </row>
    <row r="15" spans="1:15" ht="15">
      <c r="A15" s="223">
        <v>45047</v>
      </c>
      <c r="B15" s="418"/>
      <c r="C15" s="9"/>
      <c r="E15" s="223">
        <v>45047</v>
      </c>
      <c r="F15" s="224"/>
      <c r="G15" s="9"/>
      <c r="I15" s="223">
        <v>45047</v>
      </c>
      <c r="J15" s="224"/>
      <c r="K15" s="9"/>
      <c r="M15" s="223">
        <v>45047</v>
      </c>
      <c r="N15" s="418"/>
      <c r="O15" s="9"/>
    </row>
    <row r="16" spans="1:15" ht="15">
      <c r="A16" s="223">
        <v>45078</v>
      </c>
      <c r="B16" s="418"/>
      <c r="C16" s="9"/>
      <c r="E16" s="223">
        <v>45078</v>
      </c>
      <c r="F16" s="224"/>
      <c r="G16" s="9"/>
      <c r="I16" s="223">
        <v>45078</v>
      </c>
      <c r="J16" s="224"/>
      <c r="K16" s="9"/>
      <c r="M16" s="223">
        <v>45078</v>
      </c>
      <c r="N16" s="418"/>
      <c r="O16" s="9"/>
    </row>
    <row r="17" spans="1:15" ht="15">
      <c r="A17" s="223">
        <v>45108</v>
      </c>
      <c r="B17" s="418"/>
      <c r="C17" s="9"/>
      <c r="E17" s="223">
        <v>45108</v>
      </c>
      <c r="F17" s="224"/>
      <c r="G17" s="9"/>
      <c r="I17" s="223">
        <v>45108</v>
      </c>
      <c r="J17" s="224"/>
      <c r="K17" s="9"/>
      <c r="M17" s="223">
        <v>45108</v>
      </c>
      <c r="N17" s="418"/>
      <c r="O17" s="9"/>
    </row>
    <row r="18" spans="1:15" ht="15">
      <c r="A18" s="223">
        <v>45139</v>
      </c>
      <c r="B18" s="418"/>
      <c r="C18" s="9"/>
      <c r="E18" s="223">
        <v>45139</v>
      </c>
      <c r="F18" s="224"/>
      <c r="G18" s="9"/>
      <c r="I18" s="223">
        <v>45139</v>
      </c>
      <c r="J18" s="224"/>
      <c r="K18" s="9"/>
      <c r="M18" s="223">
        <v>45139</v>
      </c>
      <c r="N18" s="418"/>
      <c r="O18" s="9"/>
    </row>
    <row r="19" spans="1:15" ht="15">
      <c r="A19" s="223">
        <v>45170</v>
      </c>
      <c r="B19" s="418"/>
      <c r="C19" s="9"/>
      <c r="E19" s="223">
        <v>45170</v>
      </c>
      <c r="F19" s="224"/>
      <c r="G19" s="9"/>
      <c r="I19" s="223">
        <v>45170</v>
      </c>
      <c r="J19" s="224"/>
      <c r="K19" s="9"/>
      <c r="M19" s="223">
        <v>45170</v>
      </c>
      <c r="N19" s="418"/>
      <c r="O19" s="9"/>
    </row>
    <row r="20" spans="1:15" ht="15">
      <c r="A20" s="223">
        <v>45200</v>
      </c>
      <c r="B20" s="418"/>
      <c r="C20" s="9"/>
      <c r="E20" s="223">
        <v>45200</v>
      </c>
      <c r="F20" s="224"/>
      <c r="G20" s="9"/>
      <c r="I20" s="223">
        <v>45200</v>
      </c>
      <c r="J20" s="224"/>
      <c r="K20" s="9"/>
      <c r="M20" s="223">
        <v>45200</v>
      </c>
      <c r="N20" s="418"/>
      <c r="O20" s="9"/>
    </row>
    <row r="21" spans="1:15" ht="15">
      <c r="A21" s="223">
        <v>45231</v>
      </c>
      <c r="B21" s="419"/>
      <c r="C21" s="9"/>
      <c r="E21" s="223">
        <v>45231</v>
      </c>
      <c r="F21" s="224"/>
      <c r="G21" s="9"/>
      <c r="I21" s="223">
        <v>45231</v>
      </c>
      <c r="J21" s="224"/>
      <c r="K21" s="9"/>
      <c r="M21" s="223">
        <v>45231</v>
      </c>
      <c r="N21" s="418"/>
      <c r="O21" s="9"/>
    </row>
    <row r="22" spans="1:15" ht="15.75" thickBot="1">
      <c r="A22" s="226">
        <v>45261</v>
      </c>
      <c r="B22" s="420"/>
      <c r="C22" s="19"/>
      <c r="E22" s="226">
        <v>45261</v>
      </c>
      <c r="F22" s="228"/>
      <c r="G22" s="19"/>
      <c r="I22" s="226">
        <v>45261</v>
      </c>
      <c r="J22" s="228"/>
      <c r="K22" s="19"/>
      <c r="M22" s="226">
        <v>45261</v>
      </c>
      <c r="N22" s="420"/>
      <c r="O22" s="19"/>
    </row>
    <row r="23" spans="1:15">
      <c r="B23" s="13"/>
      <c r="C23" s="13"/>
    </row>
    <row r="24" spans="1:15" ht="15" thickBot="1">
      <c r="B24" s="13"/>
      <c r="C24" s="13"/>
    </row>
    <row r="25" spans="1:15" ht="15.75" thickBot="1">
      <c r="A25" s="869" t="str">
        <f>'10_SUB''s_+_demandadas_2023'!A11</f>
        <v>Santo Amaro</v>
      </c>
      <c r="B25" s="869"/>
      <c r="C25" s="869"/>
      <c r="E25" s="869" t="str">
        <f>'10_SUB''s_+_demandadas_2023'!A12</f>
        <v>Butantã</v>
      </c>
      <c r="F25" s="869"/>
      <c r="G25" s="869"/>
      <c r="I25" s="869" t="str">
        <f>'10_SUB''s_+_demandadas_2023'!A13</f>
        <v>Vila Mariana</v>
      </c>
      <c r="J25" s="869"/>
      <c r="K25" s="869"/>
      <c r="M25" s="869" t="str">
        <f>'10_SUB''s_+_demandadas_2023'!A14</f>
        <v>Ipiranga</v>
      </c>
      <c r="N25" s="869"/>
      <c r="O25" s="869"/>
    </row>
    <row r="26" spans="1:15" ht="15.75" thickBot="1">
      <c r="A26" s="4" t="s">
        <v>2</v>
      </c>
      <c r="B26" s="4" t="s">
        <v>221</v>
      </c>
      <c r="C26" s="4" t="s">
        <v>222</v>
      </c>
      <c r="E26" s="4" t="s">
        <v>2</v>
      </c>
      <c r="F26" s="5" t="s">
        <v>221</v>
      </c>
      <c r="G26" s="5" t="s">
        <v>222</v>
      </c>
      <c r="I26" s="5" t="s">
        <v>2</v>
      </c>
      <c r="J26" s="5" t="s">
        <v>221</v>
      </c>
      <c r="K26" s="5" t="s">
        <v>222</v>
      </c>
      <c r="M26" s="5" t="s">
        <v>2</v>
      </c>
      <c r="N26" s="421" t="s">
        <v>221</v>
      </c>
      <c r="O26" s="4" t="s">
        <v>222</v>
      </c>
    </row>
    <row r="27" spans="1:15" ht="15">
      <c r="A27" s="220">
        <v>44927</v>
      </c>
      <c r="B27" s="222">
        <f>'10_SUB''s_+_demandadas_2023'!M11</f>
        <v>44</v>
      </c>
      <c r="C27" s="9">
        <f>((B27-31)/31)*100</f>
        <v>41.935483870967744</v>
      </c>
      <c r="E27" s="220">
        <v>44927</v>
      </c>
      <c r="F27" s="222">
        <f>'10_SUB''s_+_demandadas_2023'!M12</f>
        <v>52</v>
      </c>
      <c r="G27" s="9">
        <f>((F27-35)/35)*100</f>
        <v>48.571428571428569</v>
      </c>
      <c r="I27" s="220">
        <v>44927</v>
      </c>
      <c r="J27" s="222">
        <f>'10_SUB''s_+_demandadas_2023'!M13</f>
        <v>48</v>
      </c>
      <c r="K27" s="9">
        <f>((J27-51)/51)*100</f>
        <v>-5.8823529411764701</v>
      </c>
      <c r="M27" s="220">
        <v>44927</v>
      </c>
      <c r="N27" s="222">
        <f>'10_SUB''s_+_demandadas_2023'!M14</f>
        <v>41</v>
      </c>
      <c r="O27" s="9">
        <f>((N27-39)/39)*100</f>
        <v>5.1282051282051277</v>
      </c>
    </row>
    <row r="28" spans="1:15" ht="15">
      <c r="A28" s="223">
        <v>44958</v>
      </c>
      <c r="B28" s="224">
        <f>'10_SUB''s_+_demandadas_2023'!L11</f>
        <v>51</v>
      </c>
      <c r="C28" s="9">
        <f>((B28-B27)/B27)*100</f>
        <v>15.909090909090908</v>
      </c>
      <c r="E28" s="223">
        <v>44958</v>
      </c>
      <c r="F28" s="224">
        <f>'10_SUB''s_+_demandadas_2023'!L12</f>
        <v>57</v>
      </c>
      <c r="G28" s="9">
        <f>((F28-F27)/F27)*100</f>
        <v>9.6153846153846168</v>
      </c>
      <c r="I28" s="223">
        <v>44958</v>
      </c>
      <c r="J28" s="224">
        <f>'10_SUB''s_+_demandadas_2023'!L13</f>
        <v>59</v>
      </c>
      <c r="K28" s="9">
        <f>((J28-J27)/J27)*100</f>
        <v>22.916666666666664</v>
      </c>
      <c r="M28" s="223">
        <v>44958</v>
      </c>
      <c r="N28" s="224">
        <f>'10_SUB''s_+_demandadas_2023'!L14</f>
        <v>65</v>
      </c>
      <c r="O28" s="9">
        <f>((N28-N27)/N27)*100</f>
        <v>58.536585365853654</v>
      </c>
    </row>
    <row r="29" spans="1:15" ht="15">
      <c r="A29" s="223">
        <v>44986</v>
      </c>
      <c r="B29" s="224">
        <f>'10_SUB''s_+_demandadas_2023'!$K$11</f>
        <v>68</v>
      </c>
      <c r="C29" s="9">
        <f>((B29-B28)/B28)*100</f>
        <v>33.333333333333329</v>
      </c>
      <c r="E29" s="223">
        <v>44986</v>
      </c>
      <c r="F29" s="224">
        <f>'10_SUB''s_+_demandadas_2023'!$K$12</f>
        <v>66</v>
      </c>
      <c r="G29" s="9">
        <f>((F29-F28)/F28)*100</f>
        <v>15.789473684210526</v>
      </c>
      <c r="I29" s="223">
        <v>44986</v>
      </c>
      <c r="J29" s="224">
        <f>'10_SUB''s_+_demandadas_2023'!$K$13</f>
        <v>65</v>
      </c>
      <c r="K29" s="9">
        <f>((J29-J28)/J28)*100</f>
        <v>10.16949152542373</v>
      </c>
      <c r="M29" s="223">
        <v>44986</v>
      </c>
      <c r="N29" s="224">
        <f>'10_SUB''s_+_demandadas_2023'!$K$14</f>
        <v>43</v>
      </c>
      <c r="O29" s="9">
        <f>((N29-N28)/N28)*100</f>
        <v>-33.846153846153847</v>
      </c>
    </row>
    <row r="30" spans="1:15" ht="15">
      <c r="A30" s="223">
        <v>45017</v>
      </c>
      <c r="B30" s="418">
        <f>'10_SUB''s_+_demandadas_2023'!J11</f>
        <v>69</v>
      </c>
      <c r="C30" s="9">
        <f>((B30-B29)/B29)*100</f>
        <v>1.4705882352941175</v>
      </c>
      <c r="E30" s="223">
        <v>45017</v>
      </c>
      <c r="F30" s="418">
        <f>'10_SUB''s_+_demandadas_2023'!J12</f>
        <v>52</v>
      </c>
      <c r="G30" s="9">
        <f>((F30-F29)/F29)*100</f>
        <v>-21.212121212121211</v>
      </c>
      <c r="I30" s="223">
        <v>45017</v>
      </c>
      <c r="J30" s="418">
        <f>'10_SUB''s_+_demandadas_2023'!J13</f>
        <v>39</v>
      </c>
      <c r="K30" s="9">
        <f>((J30-J29)/J29)*100</f>
        <v>-40</v>
      </c>
      <c r="M30" s="223">
        <v>45017</v>
      </c>
      <c r="N30" s="418">
        <f>'10_SUB''s_+_demandadas_2023'!J14</f>
        <v>50</v>
      </c>
      <c r="O30" s="9">
        <f>((N30-N29)/N29)*100</f>
        <v>16.279069767441861</v>
      </c>
    </row>
    <row r="31" spans="1:15" ht="15">
      <c r="A31" s="223">
        <v>45047</v>
      </c>
      <c r="B31" s="224"/>
      <c r="C31" s="9"/>
      <c r="E31" s="223">
        <v>45047</v>
      </c>
      <c r="F31" s="224"/>
      <c r="G31" s="9"/>
      <c r="I31" s="223">
        <v>45047</v>
      </c>
      <c r="J31" s="224"/>
      <c r="K31" s="9"/>
      <c r="M31" s="223">
        <v>45047</v>
      </c>
      <c r="N31" s="224"/>
      <c r="O31" s="9"/>
    </row>
    <row r="32" spans="1:15" ht="15">
      <c r="A32" s="223">
        <v>45078</v>
      </c>
      <c r="B32" s="224"/>
      <c r="C32" s="9"/>
      <c r="E32" s="223">
        <v>45078</v>
      </c>
      <c r="F32" s="224"/>
      <c r="G32" s="9"/>
      <c r="I32" s="223">
        <v>45078</v>
      </c>
      <c r="J32" s="224"/>
      <c r="K32" s="9"/>
      <c r="M32" s="223">
        <v>45078</v>
      </c>
      <c r="N32" s="224"/>
      <c r="O32" s="9"/>
    </row>
    <row r="33" spans="1:15" ht="15">
      <c r="A33" s="223">
        <v>45108</v>
      </c>
      <c r="B33" s="224"/>
      <c r="C33" s="9"/>
      <c r="E33" s="223">
        <v>45108</v>
      </c>
      <c r="F33" s="224"/>
      <c r="G33" s="9"/>
      <c r="I33" s="223">
        <v>45108</v>
      </c>
      <c r="J33" s="224"/>
      <c r="K33" s="9"/>
      <c r="M33" s="223">
        <v>45108</v>
      </c>
      <c r="N33" s="224"/>
      <c r="O33" s="9"/>
    </row>
    <row r="34" spans="1:15" ht="15">
      <c r="A34" s="223">
        <v>45139</v>
      </c>
      <c r="B34" s="224"/>
      <c r="C34" s="9"/>
      <c r="E34" s="223">
        <v>45139</v>
      </c>
      <c r="F34" s="224"/>
      <c r="G34" s="9"/>
      <c r="I34" s="223">
        <v>45139</v>
      </c>
      <c r="J34" s="224"/>
      <c r="K34" s="9"/>
      <c r="M34" s="223">
        <v>45139</v>
      </c>
      <c r="N34" s="224"/>
      <c r="O34" s="9"/>
    </row>
    <row r="35" spans="1:15" ht="15">
      <c r="A35" s="223">
        <v>45170</v>
      </c>
      <c r="B35" s="224"/>
      <c r="C35" s="9"/>
      <c r="E35" s="223">
        <v>45170</v>
      </c>
      <c r="F35" s="224"/>
      <c r="G35" s="9"/>
      <c r="I35" s="223">
        <v>45170</v>
      </c>
      <c r="J35" s="224"/>
      <c r="K35" s="9"/>
      <c r="M35" s="223">
        <v>45170</v>
      </c>
      <c r="N35" s="224"/>
      <c r="O35" s="9"/>
    </row>
    <row r="36" spans="1:15" ht="15">
      <c r="A36" s="223">
        <v>45200</v>
      </c>
      <c r="B36" s="224"/>
      <c r="C36" s="9"/>
      <c r="E36" s="223">
        <v>45200</v>
      </c>
      <c r="F36" s="224"/>
      <c r="G36" s="9"/>
      <c r="I36" s="223">
        <v>45200</v>
      </c>
      <c r="J36" s="224"/>
      <c r="K36" s="9"/>
      <c r="M36" s="223">
        <v>45200</v>
      </c>
      <c r="N36" s="224"/>
      <c r="O36" s="9"/>
    </row>
    <row r="37" spans="1:15" ht="15">
      <c r="A37" s="223">
        <v>45231</v>
      </c>
      <c r="B37" s="224"/>
      <c r="C37" s="9"/>
      <c r="E37" s="223">
        <v>45231</v>
      </c>
      <c r="F37" s="225"/>
      <c r="G37" s="9"/>
      <c r="I37" s="223">
        <v>45231</v>
      </c>
      <c r="J37" s="225"/>
      <c r="K37" s="9"/>
      <c r="M37" s="223">
        <v>45231</v>
      </c>
      <c r="N37" s="224"/>
      <c r="O37" s="9"/>
    </row>
    <row r="38" spans="1:15" ht="15.75" thickBot="1">
      <c r="A38" s="226">
        <v>45261</v>
      </c>
      <c r="B38" s="228"/>
      <c r="C38" s="19"/>
      <c r="E38" s="226">
        <v>45261</v>
      </c>
      <c r="F38" s="228"/>
      <c r="G38" s="9"/>
      <c r="I38" s="226">
        <v>45261</v>
      </c>
      <c r="J38" s="228"/>
      <c r="K38" s="19"/>
      <c r="M38" s="226">
        <v>45261</v>
      </c>
      <c r="N38" s="228"/>
      <c r="O38" s="19"/>
    </row>
    <row r="40" spans="1:15" ht="15" thickBot="1"/>
    <row r="41" spans="1:15" ht="15.75" thickBot="1">
      <c r="A41" s="869" t="str">
        <f>'10_SUB''s_+_demandadas_2023'!A15</f>
        <v>Itaquera</v>
      </c>
      <c r="B41" s="869"/>
      <c r="C41" s="869"/>
      <c r="E41" s="869" t="str">
        <f>'10_SUB''s_+_demandadas_2023'!A16</f>
        <v>Campo Limpo</v>
      </c>
      <c r="F41" s="869"/>
      <c r="G41" s="869"/>
    </row>
    <row r="42" spans="1:15" ht="15.75" thickBot="1">
      <c r="A42" s="4" t="s">
        <v>2</v>
      </c>
      <c r="B42" s="5" t="s">
        <v>221</v>
      </c>
      <c r="C42" s="5" t="s">
        <v>222</v>
      </c>
      <c r="E42" s="4" t="s">
        <v>2</v>
      </c>
      <c r="F42" s="5" t="s">
        <v>221</v>
      </c>
      <c r="G42" s="5" t="s">
        <v>222</v>
      </c>
    </row>
    <row r="43" spans="1:15" ht="15">
      <c r="A43" s="220">
        <v>44927</v>
      </c>
      <c r="B43" s="222">
        <f>'10_SUB''s_+_demandadas_2023'!M15</f>
        <v>49</v>
      </c>
      <c r="C43" s="9">
        <f>((B43-51)/51)*100</f>
        <v>-3.9215686274509802</v>
      </c>
      <c r="E43" s="220">
        <v>44927</v>
      </c>
      <c r="F43" s="422">
        <f>'10_SUB''s_+_demandadas_2023'!M16</f>
        <v>62</v>
      </c>
      <c r="G43" s="9">
        <f>((F43-31)/31)*100</f>
        <v>100</v>
      </c>
    </row>
    <row r="44" spans="1:15" ht="15">
      <c r="A44" s="223">
        <v>44958</v>
      </c>
      <c r="B44" s="224">
        <f>'10_SUB''s_+_demandadas_2023'!L15</f>
        <v>47</v>
      </c>
      <c r="C44" s="9">
        <f>((B44-B43)/B43)*100</f>
        <v>-4.0816326530612246</v>
      </c>
      <c r="E44" s="223">
        <v>44958</v>
      </c>
      <c r="F44" s="423">
        <f>'10_SUB''s_+_demandadas_2023'!L16</f>
        <v>48</v>
      </c>
      <c r="G44" s="9">
        <f>((F44-F43)/F43)*100</f>
        <v>-22.58064516129032</v>
      </c>
    </row>
    <row r="45" spans="1:15" ht="15">
      <c r="A45" s="223">
        <v>44986</v>
      </c>
      <c r="B45" s="224">
        <f>'10_SUB''s_+_demandadas_2023'!$K$15</f>
        <v>55</v>
      </c>
      <c r="C45" s="9">
        <f>((B45-B44)/B44)*100</f>
        <v>17.021276595744681</v>
      </c>
      <c r="E45" s="223">
        <v>44986</v>
      </c>
      <c r="F45" s="424">
        <f>'10_SUB''s_+_demandadas_2023'!$K$16</f>
        <v>36</v>
      </c>
      <c r="G45" s="9">
        <f>((F45-F44)/F44)*100</f>
        <v>-25</v>
      </c>
    </row>
    <row r="46" spans="1:15" ht="15">
      <c r="A46" s="223">
        <v>45017</v>
      </c>
      <c r="B46" s="224">
        <f>'10_SUB''s_+_demandadas_2023'!J15</f>
        <v>45</v>
      </c>
      <c r="C46" s="9">
        <f>((B46-B45)/B45)*100</f>
        <v>-18.181818181818183</v>
      </c>
      <c r="E46" s="223">
        <v>45017</v>
      </c>
      <c r="F46" s="418">
        <f>'10_SUB''s_+_demandadas_2023'!J16</f>
        <v>40</v>
      </c>
      <c r="G46" s="9">
        <f>((F46-F45)/F45)*100</f>
        <v>11.111111111111111</v>
      </c>
    </row>
    <row r="47" spans="1:15" ht="15">
      <c r="A47" s="223">
        <v>45047</v>
      </c>
      <c r="B47" s="224"/>
      <c r="C47" s="9"/>
      <c r="E47" s="223">
        <v>45047</v>
      </c>
      <c r="F47" s="424"/>
      <c r="G47" s="9"/>
    </row>
    <row r="48" spans="1:15" ht="15">
      <c r="A48" s="223">
        <v>45078</v>
      </c>
      <c r="B48" s="224"/>
      <c r="C48" s="9"/>
      <c r="E48" s="223">
        <v>45078</v>
      </c>
      <c r="F48" s="424"/>
      <c r="G48" s="9"/>
    </row>
    <row r="49" spans="1:11" ht="15">
      <c r="A49" s="223">
        <v>45108</v>
      </c>
      <c r="B49" s="224"/>
      <c r="C49" s="9"/>
      <c r="E49" s="223">
        <v>45108</v>
      </c>
      <c r="F49" s="422"/>
      <c r="G49" s="9"/>
    </row>
    <row r="50" spans="1:11" ht="15">
      <c r="A50" s="223">
        <v>45139</v>
      </c>
      <c r="B50" s="224"/>
      <c r="C50" s="9"/>
      <c r="E50" s="223">
        <v>45139</v>
      </c>
      <c r="F50" s="224"/>
      <c r="G50" s="9"/>
    </row>
    <row r="51" spans="1:11" ht="15">
      <c r="A51" s="223">
        <v>45170</v>
      </c>
      <c r="B51" s="224"/>
      <c r="C51" s="9"/>
      <c r="E51" s="223">
        <v>45170</v>
      </c>
      <c r="F51" s="224"/>
      <c r="G51" s="9"/>
    </row>
    <row r="52" spans="1:11" ht="15">
      <c r="A52" s="223">
        <v>45200</v>
      </c>
      <c r="B52" s="224"/>
      <c r="C52" s="9"/>
      <c r="E52" s="223">
        <v>45200</v>
      </c>
      <c r="F52" s="224"/>
      <c r="G52" s="9"/>
    </row>
    <row r="53" spans="1:11" ht="15">
      <c r="A53" s="223">
        <v>45231</v>
      </c>
      <c r="B53" s="225"/>
      <c r="C53" s="9"/>
      <c r="E53" s="223">
        <v>45231</v>
      </c>
      <c r="F53" s="225"/>
      <c r="G53" s="9"/>
    </row>
    <row r="54" spans="1:11" ht="15.75" thickBot="1">
      <c r="A54" s="226">
        <v>45261</v>
      </c>
      <c r="B54" s="228"/>
      <c r="C54" s="19"/>
      <c r="E54" s="226">
        <v>45261</v>
      </c>
      <c r="F54" s="228"/>
      <c r="G54" s="19"/>
    </row>
    <row r="56" spans="1:11">
      <c r="B56" s="13"/>
      <c r="C56" s="13"/>
    </row>
    <row r="57" spans="1:11" ht="15">
      <c r="A57" s="863"/>
      <c r="B57" s="863"/>
      <c r="C57" s="863"/>
      <c r="D57" s="863"/>
      <c r="F57" s="863"/>
      <c r="G57" s="863"/>
      <c r="H57" s="863"/>
      <c r="I57" s="863"/>
      <c r="J57" s="863"/>
      <c r="K57" s="425"/>
    </row>
    <row r="58" spans="1:11">
      <c r="A58" s="426"/>
      <c r="B58" s="13"/>
      <c r="C58" s="13"/>
    </row>
    <row r="59" spans="1:11" ht="15">
      <c r="B59" s="13"/>
      <c r="C59" s="13"/>
      <c r="F59" s="864"/>
      <c r="G59" s="864"/>
      <c r="H59" s="864"/>
      <c r="I59" s="864"/>
      <c r="J59" s="864"/>
      <c r="K59" s="864"/>
    </row>
    <row r="60" spans="1:11">
      <c r="B60" s="13"/>
      <c r="C60" s="13"/>
    </row>
    <row r="61" spans="1:11" ht="15">
      <c r="A61" s="864"/>
      <c r="B61" s="864"/>
      <c r="C61" s="864"/>
      <c r="D61" s="864"/>
    </row>
    <row r="102" ht="57" customHeight="1"/>
    <row r="104" ht="81" customHeight="1"/>
    <row r="106" ht="85.5" customHeight="1"/>
    <row r="108" ht="56.25" customHeight="1"/>
  </sheetData>
  <mergeCells count="14">
    <mergeCell ref="A61:D61"/>
    <mergeCell ref="A9:C9"/>
    <mergeCell ref="E9:G9"/>
    <mergeCell ref="I9:K9"/>
    <mergeCell ref="M9:O9"/>
    <mergeCell ref="A25:C25"/>
    <mergeCell ref="E25:G25"/>
    <mergeCell ref="I25:K25"/>
    <mergeCell ref="M25:O25"/>
    <mergeCell ref="A41:C41"/>
    <mergeCell ref="E41:G41"/>
    <mergeCell ref="A57:D57"/>
    <mergeCell ref="F57:J57"/>
    <mergeCell ref="F59:K59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5"/>
  <cols>
    <col min="1" max="1" width="27" customWidth="1"/>
    <col min="2" max="2" width="10.7109375" style="210" bestFit="1" customWidth="1"/>
    <col min="3" max="8" width="9.140625" customWidth="1"/>
    <col min="9" max="9" width="53.5703125" bestFit="1" customWidth="1"/>
    <col min="10" max="10" width="9.140625" customWidth="1"/>
  </cols>
  <sheetData>
    <row r="1" spans="1:9">
      <c r="A1" s="177" t="s">
        <v>0</v>
      </c>
    </row>
    <row r="2" spans="1:9">
      <c r="A2" s="1" t="s">
        <v>1</v>
      </c>
    </row>
    <row r="3" spans="1:9" ht="15.75" thickBot="1"/>
    <row r="4" spans="1:9" ht="15" customHeight="1" thickBot="1">
      <c r="A4" s="427" t="s">
        <v>214</v>
      </c>
      <c r="B4" s="254">
        <v>45017</v>
      </c>
      <c r="C4" s="428"/>
      <c r="I4" s="13"/>
    </row>
    <row r="5" spans="1:9">
      <c r="A5" s="287" t="s">
        <v>315</v>
      </c>
      <c r="B5" s="46">
        <v>91</v>
      </c>
      <c r="C5" s="182"/>
    </row>
    <row r="6" spans="1:9">
      <c r="A6" s="287" t="s">
        <v>324</v>
      </c>
      <c r="B6" s="46">
        <v>69</v>
      </c>
      <c r="C6" s="182"/>
    </row>
    <row r="7" spans="1:9">
      <c r="A7" s="287" t="s">
        <v>328</v>
      </c>
      <c r="B7" s="46">
        <v>63</v>
      </c>
      <c r="C7" s="182"/>
    </row>
    <row r="8" spans="1:9">
      <c r="A8" s="287" t="s">
        <v>319</v>
      </c>
      <c r="B8" s="46">
        <v>59</v>
      </c>
      <c r="C8" s="182"/>
    </row>
    <row r="9" spans="1:9">
      <c r="A9" s="287" t="s">
        <v>331</v>
      </c>
      <c r="B9" s="46">
        <v>57</v>
      </c>
      <c r="C9" s="389"/>
    </row>
    <row r="10" spans="1:9">
      <c r="A10" s="287" t="s">
        <v>301</v>
      </c>
      <c r="B10" s="46">
        <v>52</v>
      </c>
      <c r="C10" s="182"/>
    </row>
    <row r="11" spans="1:9">
      <c r="A11" s="287" t="s">
        <v>317</v>
      </c>
      <c r="B11" s="46">
        <v>51</v>
      </c>
      <c r="C11" s="182"/>
    </row>
    <row r="12" spans="1:9">
      <c r="A12" s="287" t="s">
        <v>310</v>
      </c>
      <c r="B12" s="46">
        <v>50</v>
      </c>
      <c r="C12" s="182"/>
    </row>
    <row r="13" spans="1:9">
      <c r="A13" s="287" t="s">
        <v>323</v>
      </c>
      <c r="B13" s="46">
        <v>46</v>
      </c>
      <c r="C13" s="182"/>
    </row>
    <row r="14" spans="1:9">
      <c r="A14" s="287" t="s">
        <v>312</v>
      </c>
      <c r="B14" s="46">
        <v>45</v>
      </c>
      <c r="C14" s="182"/>
    </row>
    <row r="15" spans="1:9">
      <c r="A15" s="287" t="s">
        <v>302</v>
      </c>
      <c r="B15" s="46">
        <v>40</v>
      </c>
      <c r="C15" s="429"/>
    </row>
    <row r="16" spans="1:9">
      <c r="A16" s="287" t="s">
        <v>304</v>
      </c>
      <c r="B16" s="46">
        <v>40</v>
      </c>
      <c r="C16" s="182"/>
    </row>
    <row r="17" spans="1:3">
      <c r="A17" s="287" t="s">
        <v>330</v>
      </c>
      <c r="B17" s="46">
        <v>39</v>
      </c>
      <c r="C17" s="182"/>
    </row>
    <row r="18" spans="1:3">
      <c r="A18" s="287" t="s">
        <v>305</v>
      </c>
      <c r="B18" s="46">
        <v>28</v>
      </c>
      <c r="C18" s="182"/>
    </row>
    <row r="19" spans="1:3">
      <c r="A19" s="287" t="s">
        <v>329</v>
      </c>
      <c r="B19" s="46">
        <v>27</v>
      </c>
      <c r="C19" s="182"/>
    </row>
    <row r="20" spans="1:3">
      <c r="A20" s="287" t="s">
        <v>321</v>
      </c>
      <c r="B20" s="46">
        <v>26</v>
      </c>
      <c r="C20" s="182"/>
    </row>
    <row r="21" spans="1:3">
      <c r="A21" s="287" t="s">
        <v>303</v>
      </c>
      <c r="B21" s="46">
        <v>26</v>
      </c>
      <c r="C21" s="182"/>
    </row>
    <row r="22" spans="1:3">
      <c r="A22" s="287" t="s">
        <v>322</v>
      </c>
      <c r="B22" s="46">
        <v>25</v>
      </c>
      <c r="C22" s="182"/>
    </row>
    <row r="23" spans="1:3">
      <c r="A23" s="287" t="s">
        <v>313</v>
      </c>
      <c r="B23" s="46">
        <v>24</v>
      </c>
      <c r="C23" s="182"/>
    </row>
    <row r="24" spans="1:3">
      <c r="A24" s="287" t="s">
        <v>311</v>
      </c>
      <c r="B24" s="46">
        <v>21</v>
      </c>
      <c r="C24" s="182"/>
    </row>
    <row r="25" spans="1:3">
      <c r="A25" s="287" t="s">
        <v>300</v>
      </c>
      <c r="B25" s="46">
        <v>21</v>
      </c>
      <c r="C25" s="182"/>
    </row>
    <row r="26" spans="1:3">
      <c r="A26" s="287" t="s">
        <v>327</v>
      </c>
      <c r="B26" s="46">
        <v>19</v>
      </c>
      <c r="C26" s="182"/>
    </row>
    <row r="27" spans="1:3">
      <c r="A27" s="287" t="s">
        <v>325</v>
      </c>
      <c r="B27" s="46">
        <v>17</v>
      </c>
      <c r="C27" s="182"/>
    </row>
    <row r="28" spans="1:3">
      <c r="A28" s="287" t="s">
        <v>326</v>
      </c>
      <c r="B28" s="46">
        <v>17</v>
      </c>
      <c r="C28" s="182"/>
    </row>
    <row r="29" spans="1:3">
      <c r="A29" s="287" t="s">
        <v>306</v>
      </c>
      <c r="B29" s="46">
        <v>17</v>
      </c>
      <c r="C29" s="182"/>
    </row>
    <row r="30" spans="1:3">
      <c r="A30" s="287" t="s">
        <v>314</v>
      </c>
      <c r="B30" s="46">
        <v>16</v>
      </c>
      <c r="C30" s="182"/>
    </row>
    <row r="31" spans="1:3">
      <c r="A31" s="287" t="s">
        <v>316</v>
      </c>
      <c r="B31" s="46">
        <v>14</v>
      </c>
      <c r="C31" s="182"/>
    </row>
    <row r="32" spans="1:3">
      <c r="A32" s="287" t="s">
        <v>308</v>
      </c>
      <c r="B32" s="46">
        <v>14</v>
      </c>
      <c r="C32" s="182"/>
    </row>
    <row r="33" spans="1:10">
      <c r="A33" s="287" t="s">
        <v>318</v>
      </c>
      <c r="B33" s="46">
        <v>13</v>
      </c>
      <c r="C33" s="182"/>
    </row>
    <row r="34" spans="1:10">
      <c r="A34" s="287" t="s">
        <v>307</v>
      </c>
      <c r="B34" s="46">
        <v>12</v>
      </c>
      <c r="C34" s="182"/>
    </row>
    <row r="35" spans="1:10">
      <c r="A35" s="287" t="s">
        <v>309</v>
      </c>
      <c r="B35" s="46">
        <v>11</v>
      </c>
      <c r="C35" s="182"/>
    </row>
    <row r="36" spans="1:10" ht="15.75" thickBot="1">
      <c r="A36" s="287" t="s">
        <v>320</v>
      </c>
      <c r="B36" s="46">
        <v>4</v>
      </c>
      <c r="C36" s="182"/>
    </row>
    <row r="37" spans="1:10" ht="15.75" thickBot="1">
      <c r="A37" s="430" t="s">
        <v>334</v>
      </c>
      <c r="B37" s="431">
        <f>SUM(B5:B36)</f>
        <v>1054</v>
      </c>
      <c r="C37" s="432"/>
      <c r="H37" s="80"/>
      <c r="I37" s="342"/>
      <c r="J37" s="80"/>
    </row>
    <row r="38" spans="1:10">
      <c r="H38" s="80"/>
      <c r="I38" s="342"/>
      <c r="J38" s="80"/>
    </row>
    <row r="39" spans="1:10">
      <c r="H39" s="80"/>
      <c r="I39" s="342"/>
      <c r="J39" s="80"/>
    </row>
    <row r="40" spans="1:10">
      <c r="H40" s="80"/>
      <c r="I40" s="342"/>
      <c r="J40" s="80"/>
    </row>
  </sheetData>
  <pageMargins left="0.511811024" right="0.511811024" top="0.78740157500000008" bottom="0.78740157500000008" header="0.31496062000000008" footer="0.31496062000000008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workbookViewId="0"/>
  </sheetViews>
  <sheetFormatPr defaultRowHeight="15"/>
  <cols>
    <col min="1" max="1" width="15.42578125" customWidth="1"/>
    <col min="2" max="2" width="10.5703125" customWidth="1"/>
    <col min="3" max="3" width="10.28515625" customWidth="1"/>
    <col min="4" max="4" width="9.5703125" customWidth="1"/>
    <col min="5" max="5" width="7.7109375" bestFit="1" customWidth="1"/>
    <col min="6" max="6" width="11" customWidth="1"/>
    <col min="7" max="7" width="10.28515625" customWidth="1"/>
    <col min="8" max="8" width="6.42578125" bestFit="1" customWidth="1"/>
    <col min="9" max="9" width="7" bestFit="1" customWidth="1"/>
    <col min="10" max="10" width="6.5703125" bestFit="1" customWidth="1"/>
    <col min="11" max="11" width="7.140625" bestFit="1" customWidth="1"/>
    <col min="12" max="12" width="6.28515625" bestFit="1" customWidth="1"/>
    <col min="13" max="13" width="6.42578125" bestFit="1" customWidth="1"/>
    <col min="14" max="14" width="5.5703125" bestFit="1" customWidth="1"/>
    <col min="15" max="15" width="7.7109375" bestFit="1" customWidth="1"/>
    <col min="16" max="16" width="9.85546875" customWidth="1"/>
    <col min="17" max="17" width="8.140625" bestFit="1" customWidth="1"/>
    <col min="18" max="18" width="9.140625" customWidth="1"/>
  </cols>
  <sheetData>
    <row r="1" spans="1:18">
      <c r="A1" s="177" t="s">
        <v>0</v>
      </c>
    </row>
    <row r="2" spans="1:18">
      <c r="A2" s="1" t="s">
        <v>1</v>
      </c>
    </row>
    <row r="3" spans="1:18" ht="15.75" thickBot="1"/>
    <row r="4" spans="1:18" ht="46.5" customHeight="1" thickBot="1">
      <c r="A4" s="433" t="s">
        <v>3</v>
      </c>
      <c r="B4" s="434">
        <v>45261</v>
      </c>
      <c r="C4" s="434">
        <v>45231</v>
      </c>
      <c r="D4" s="434">
        <v>45200</v>
      </c>
      <c r="E4" s="434">
        <v>45170</v>
      </c>
      <c r="F4" s="434">
        <v>45139</v>
      </c>
      <c r="G4" s="434">
        <v>45108</v>
      </c>
      <c r="H4" s="434">
        <v>45078</v>
      </c>
      <c r="I4" s="435">
        <v>45047</v>
      </c>
      <c r="J4" s="434">
        <v>45017</v>
      </c>
      <c r="K4" s="436">
        <v>44986</v>
      </c>
      <c r="L4" s="437">
        <v>44958</v>
      </c>
      <c r="M4" s="437">
        <v>44927</v>
      </c>
      <c r="N4" s="437" t="s">
        <v>5</v>
      </c>
      <c r="O4" s="438" t="s">
        <v>335</v>
      </c>
      <c r="P4" s="439" t="s">
        <v>336</v>
      </c>
      <c r="Q4" s="440" t="s">
        <v>337</v>
      </c>
    </row>
    <row r="5" spans="1:18" ht="15.75" thickBot="1">
      <c r="A5" s="441" t="s">
        <v>338</v>
      </c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443"/>
      <c r="N5" s="444"/>
      <c r="O5" s="445"/>
      <c r="P5" s="446"/>
      <c r="Q5" s="447"/>
    </row>
    <row r="6" spans="1:18" ht="15.75" thickBot="1">
      <c r="A6" s="448" t="s">
        <v>339</v>
      </c>
      <c r="B6" s="449"/>
      <c r="C6" s="450"/>
      <c r="D6" s="450"/>
      <c r="E6" s="450"/>
      <c r="F6" s="450"/>
      <c r="G6" s="450"/>
      <c r="H6" s="450"/>
      <c r="I6" s="450"/>
      <c r="J6" s="450">
        <v>49</v>
      </c>
      <c r="K6" s="450">
        <v>71</v>
      </c>
      <c r="L6" s="450">
        <v>40</v>
      </c>
      <c r="M6" s="451">
        <v>38</v>
      </c>
      <c r="N6" s="452">
        <f>SUM(B6:M6)</f>
        <v>198</v>
      </c>
      <c r="O6" s="453">
        <f>AVERAGE(B6:M6)</f>
        <v>49.5</v>
      </c>
      <c r="P6" s="454">
        <f>(J6/J$9)*100</f>
        <v>37.984496124031011</v>
      </c>
      <c r="Q6" s="454">
        <f>(N6/N$15)*100</f>
        <v>18.714555765595463</v>
      </c>
    </row>
    <row r="7" spans="1:18">
      <c r="A7" s="455" t="s">
        <v>340</v>
      </c>
      <c r="B7" s="456"/>
      <c r="C7" s="457"/>
      <c r="D7" s="457"/>
      <c r="E7" s="457"/>
      <c r="F7" s="457"/>
      <c r="G7" s="457"/>
      <c r="H7" s="457"/>
      <c r="I7" s="457"/>
      <c r="J7" s="457">
        <v>80</v>
      </c>
      <c r="K7" s="457">
        <v>91</v>
      </c>
      <c r="L7" s="457">
        <v>61</v>
      </c>
      <c r="M7" s="458">
        <v>100</v>
      </c>
      <c r="N7" s="459">
        <f>SUM(B7:M7)</f>
        <v>332</v>
      </c>
      <c r="O7" s="460">
        <f>AVERAGE(B7:M7)</f>
        <v>83</v>
      </c>
      <c r="P7" s="454">
        <f>(J7/J$9)*100</f>
        <v>62.015503875968989</v>
      </c>
      <c r="Q7" s="461">
        <f>(N7/N$15)*100</f>
        <v>31.379962192816635</v>
      </c>
    </row>
    <row r="8" spans="1:18" ht="15.75" thickBot="1">
      <c r="A8" s="462" t="s">
        <v>341</v>
      </c>
      <c r="B8" s="463"/>
      <c r="C8" s="464"/>
      <c r="D8" s="464"/>
      <c r="E8" s="464"/>
      <c r="F8" s="464"/>
      <c r="G8" s="464"/>
      <c r="H8" s="464"/>
      <c r="I8" s="464"/>
      <c r="J8" s="464">
        <v>0</v>
      </c>
      <c r="K8" s="464">
        <v>2</v>
      </c>
      <c r="L8" s="464">
        <v>1</v>
      </c>
      <c r="M8" s="465">
        <v>1</v>
      </c>
      <c r="N8" s="466">
        <f>SUM(B8:M8)</f>
        <v>4</v>
      </c>
      <c r="O8" s="467">
        <f>AVERAGE(B8:M8)</f>
        <v>1</v>
      </c>
      <c r="P8" s="468"/>
      <c r="Q8" s="461">
        <f>(N8/N$15)*100</f>
        <v>0.3780718336483932</v>
      </c>
    </row>
    <row r="9" spans="1:18" ht="24.75" customHeight="1" thickBot="1">
      <c r="A9" s="469" t="s">
        <v>342</v>
      </c>
      <c r="B9" s="470" t="s">
        <v>343</v>
      </c>
      <c r="C9" s="470" t="s">
        <v>343</v>
      </c>
      <c r="D9" s="470" t="s">
        <v>343</v>
      </c>
      <c r="E9" s="470" t="s">
        <v>343</v>
      </c>
      <c r="F9" s="470" t="s">
        <v>343</v>
      </c>
      <c r="G9" s="470" t="s">
        <v>343</v>
      </c>
      <c r="H9" s="470" t="s">
        <v>343</v>
      </c>
      <c r="I9" s="470" t="s">
        <v>343</v>
      </c>
      <c r="J9" s="470">
        <f>SUM(J6:J7)</f>
        <v>129</v>
      </c>
      <c r="K9" s="470">
        <f>SUM(K6:K7)</f>
        <v>162</v>
      </c>
      <c r="L9" s="470">
        <f>SUM(L6:L7)</f>
        <v>101</v>
      </c>
      <c r="M9" s="471">
        <f>SUM(M6:M7)</f>
        <v>138</v>
      </c>
      <c r="N9" s="472">
        <f>SUM(N6:N7)</f>
        <v>530</v>
      </c>
      <c r="O9" s="473">
        <f>AVERAGE(B9:M9)</f>
        <v>132.5</v>
      </c>
      <c r="P9" s="474">
        <f>SUM(P6:P7)</f>
        <v>100</v>
      </c>
      <c r="Q9" s="475"/>
    </row>
    <row r="10" spans="1:18" ht="15.75" thickBot="1">
      <c r="A10" s="476" t="s">
        <v>344</v>
      </c>
      <c r="B10" s="477"/>
      <c r="C10" s="477"/>
      <c r="D10" s="477"/>
      <c r="E10" s="477"/>
      <c r="F10" s="477"/>
      <c r="G10" s="477"/>
      <c r="H10" s="477"/>
      <c r="I10" s="477"/>
      <c r="J10" s="478">
        <f>SUM(J6:J8)</f>
        <v>129</v>
      </c>
      <c r="K10" s="478">
        <f>SUM(K6:K8)</f>
        <v>164</v>
      </c>
      <c r="L10" s="478">
        <f>SUM(L6:L8)</f>
        <v>102</v>
      </c>
      <c r="M10" s="478">
        <f>SUM(M6:M8)</f>
        <v>139</v>
      </c>
      <c r="N10" s="479">
        <f>SUM(N6:N8)</f>
        <v>534</v>
      </c>
      <c r="O10" s="480">
        <f>AVERAGE(B10:M10)</f>
        <v>133.5</v>
      </c>
      <c r="P10" s="481"/>
      <c r="Q10" s="461">
        <f>SUM(Q6:Q8)</f>
        <v>50.472589792060489</v>
      </c>
    </row>
    <row r="11" spans="1:18" ht="15.75" thickBot="1">
      <c r="A11" s="482"/>
      <c r="B11" s="483"/>
      <c r="C11" s="483"/>
      <c r="D11" s="483"/>
      <c r="E11" s="483"/>
      <c r="F11" s="483"/>
      <c r="G11" s="483"/>
      <c r="H11" s="483"/>
      <c r="I11" s="483"/>
      <c r="J11" s="483"/>
      <c r="K11" s="483"/>
      <c r="L11" s="483"/>
      <c r="M11" s="484"/>
      <c r="N11" s="485"/>
      <c r="O11" s="486"/>
      <c r="P11" s="487"/>
      <c r="Q11" s="488"/>
    </row>
    <row r="12" spans="1:18" ht="15.75" thickBot="1">
      <c r="A12" s="489" t="s">
        <v>345</v>
      </c>
      <c r="B12" s="490"/>
      <c r="C12" s="442"/>
      <c r="D12" s="442"/>
      <c r="E12" s="442"/>
      <c r="F12" s="442"/>
      <c r="G12" s="442"/>
      <c r="H12" s="442"/>
      <c r="I12" s="442"/>
      <c r="J12" s="442"/>
      <c r="K12" s="442"/>
      <c r="L12" s="442"/>
      <c r="M12" s="443"/>
      <c r="N12" s="491"/>
      <c r="O12" s="492"/>
      <c r="P12" s="493"/>
      <c r="Q12" s="494"/>
    </row>
    <row r="13" spans="1:18" ht="15.75" thickBot="1">
      <c r="A13" s="495" t="s">
        <v>345</v>
      </c>
      <c r="B13" s="496"/>
      <c r="C13" s="497"/>
      <c r="D13" s="497"/>
      <c r="E13" s="497"/>
      <c r="F13" s="497"/>
      <c r="G13" s="497"/>
      <c r="H13" s="497"/>
      <c r="I13" s="497"/>
      <c r="J13" s="497">
        <v>120</v>
      </c>
      <c r="K13" s="497">
        <v>149</v>
      </c>
      <c r="L13" s="497">
        <v>143</v>
      </c>
      <c r="M13" s="498">
        <v>112</v>
      </c>
      <c r="N13" s="499">
        <f>SUM(B13:M13)</f>
        <v>524</v>
      </c>
      <c r="O13" s="500">
        <f>AVERAGE(B13:M13)</f>
        <v>131</v>
      </c>
      <c r="P13" s="501"/>
      <c r="Q13" s="461">
        <f>(N13/N$15)*100</f>
        <v>49.527410207939511</v>
      </c>
    </row>
    <row r="14" spans="1:18" ht="15.75" thickBot="1">
      <c r="A14" s="482"/>
      <c r="B14" s="483"/>
      <c r="C14" s="483"/>
      <c r="D14" s="483"/>
      <c r="E14" s="483"/>
      <c r="F14" s="483"/>
      <c r="G14" s="483"/>
      <c r="H14" s="483"/>
      <c r="I14" s="483"/>
      <c r="J14" s="483"/>
      <c r="K14" s="483"/>
      <c r="L14" s="483"/>
      <c r="M14" s="484"/>
      <c r="N14" s="502"/>
      <c r="O14" s="503"/>
      <c r="P14" s="504"/>
      <c r="Q14" s="505"/>
    </row>
    <row r="15" spans="1:18" ht="15.75" thickBot="1">
      <c r="A15" s="476" t="s">
        <v>15</v>
      </c>
      <c r="B15" s="506" t="s">
        <v>343</v>
      </c>
      <c r="C15" s="506" t="s">
        <v>343</v>
      </c>
      <c r="D15" s="506" t="s">
        <v>343</v>
      </c>
      <c r="E15" s="506" t="s">
        <v>343</v>
      </c>
      <c r="F15" s="506" t="s">
        <v>343</v>
      </c>
      <c r="G15" s="506" t="s">
        <v>343</v>
      </c>
      <c r="H15" s="506" t="s">
        <v>343</v>
      </c>
      <c r="I15" s="506" t="s">
        <v>343</v>
      </c>
      <c r="J15" s="506">
        <f>J10+J13</f>
        <v>249</v>
      </c>
      <c r="K15" s="506">
        <f>K10+K13</f>
        <v>313</v>
      </c>
      <c r="L15" s="506">
        <f>L10+L13</f>
        <v>245</v>
      </c>
      <c r="M15" s="506">
        <f>M10+M13</f>
        <v>251</v>
      </c>
      <c r="N15" s="506">
        <f>N10+N13</f>
        <v>1058</v>
      </c>
      <c r="O15" s="507">
        <f>AVERAGE(B15:M15)</f>
        <v>264.5</v>
      </c>
      <c r="P15" s="481"/>
      <c r="Q15" s="508">
        <f>SUM(Q10:Q13)</f>
        <v>100</v>
      </c>
      <c r="R15" s="16"/>
    </row>
    <row r="16" spans="1:18" ht="15.75" thickBot="1"/>
    <row r="17" spans="1:7" ht="15.75" thickBot="1">
      <c r="A17" s="870" t="s">
        <v>346</v>
      </c>
      <c r="B17" s="870"/>
      <c r="C17" s="870"/>
      <c r="D17" s="509"/>
      <c r="E17" s="870" t="s">
        <v>345</v>
      </c>
      <c r="F17" s="870"/>
      <c r="G17" s="870"/>
    </row>
    <row r="18" spans="1:7" ht="15.75" thickBot="1">
      <c r="A18" s="510" t="s">
        <v>2</v>
      </c>
      <c r="B18" s="511" t="s">
        <v>221</v>
      </c>
      <c r="C18" s="511" t="s">
        <v>222</v>
      </c>
      <c r="D18" s="509"/>
      <c r="E18" s="510" t="s">
        <v>2</v>
      </c>
      <c r="F18" s="511" t="s">
        <v>221</v>
      </c>
      <c r="G18" s="511" t="s">
        <v>222</v>
      </c>
    </row>
    <row r="19" spans="1:7">
      <c r="A19" s="512">
        <v>44927</v>
      </c>
      <c r="B19" s="513">
        <f>M9</f>
        <v>138</v>
      </c>
      <c r="C19" s="514">
        <f>((B19-81)/81)*100</f>
        <v>70.370370370370367</v>
      </c>
      <c r="D19" s="509"/>
      <c r="E19" s="512">
        <v>44927</v>
      </c>
      <c r="F19" s="513">
        <f>M13</f>
        <v>112</v>
      </c>
      <c r="G19" s="514">
        <f>((F19-98)/98)*100</f>
        <v>14.285714285714285</v>
      </c>
    </row>
    <row r="20" spans="1:7">
      <c r="A20" s="515">
        <v>44958</v>
      </c>
      <c r="B20" s="516">
        <f>L9</f>
        <v>101</v>
      </c>
      <c r="C20" s="514">
        <f>((B20-B19)/B19)*100</f>
        <v>-26.811594202898554</v>
      </c>
      <c r="D20" s="509"/>
      <c r="E20" s="515">
        <v>44958</v>
      </c>
      <c r="F20" s="516">
        <f>L13</f>
        <v>143</v>
      </c>
      <c r="G20" s="514">
        <f>((F20-F19)/F19)*100</f>
        <v>27.678571428571431</v>
      </c>
    </row>
    <row r="21" spans="1:7">
      <c r="A21" s="515">
        <v>44986</v>
      </c>
      <c r="B21" s="516">
        <f>K9</f>
        <v>162</v>
      </c>
      <c r="C21" s="514">
        <f>((B21-B20)/B20)*100</f>
        <v>60.396039603960396</v>
      </c>
      <c r="D21" s="509"/>
      <c r="E21" s="515">
        <v>44986</v>
      </c>
      <c r="F21" s="516">
        <f>K13</f>
        <v>149</v>
      </c>
      <c r="G21" s="514">
        <f>((F21-F20)/F20)*100</f>
        <v>4.1958041958041958</v>
      </c>
    </row>
    <row r="22" spans="1:7">
      <c r="A22" s="515">
        <v>45017</v>
      </c>
      <c r="B22" s="516">
        <f>J9</f>
        <v>129</v>
      </c>
      <c r="C22" s="514">
        <f>((B22-B21)/B21)*100</f>
        <v>-20.37037037037037</v>
      </c>
      <c r="D22" s="509"/>
      <c r="E22" s="515">
        <v>45017</v>
      </c>
      <c r="F22" s="516">
        <f>J13</f>
        <v>120</v>
      </c>
      <c r="G22" s="514">
        <f>((F22-F21)/F21)*100</f>
        <v>-19.463087248322147</v>
      </c>
    </row>
    <row r="23" spans="1:7">
      <c r="A23" s="515">
        <v>45047</v>
      </c>
      <c r="B23" s="516" t="str">
        <f>I9</f>
        <v xml:space="preserve"> </v>
      </c>
      <c r="C23" s="514"/>
      <c r="D23" s="509"/>
      <c r="E23" s="515">
        <v>45047</v>
      </c>
      <c r="F23" s="516"/>
      <c r="G23" s="514"/>
    </row>
    <row r="24" spans="1:7">
      <c r="A24" s="515">
        <v>45078</v>
      </c>
      <c r="B24" s="516" t="str">
        <f>H9</f>
        <v xml:space="preserve"> </v>
      </c>
      <c r="C24" s="514"/>
      <c r="D24" s="509"/>
      <c r="E24" s="515">
        <v>45078</v>
      </c>
      <c r="F24" s="516"/>
      <c r="G24" s="514"/>
    </row>
    <row r="25" spans="1:7">
      <c r="A25" s="515">
        <v>45108</v>
      </c>
      <c r="B25" s="516" t="str">
        <f>G9</f>
        <v xml:space="preserve"> </v>
      </c>
      <c r="C25" s="514"/>
      <c r="D25" s="509"/>
      <c r="E25" s="515">
        <v>45108</v>
      </c>
      <c r="F25" s="516"/>
      <c r="G25" s="514"/>
    </row>
    <row r="26" spans="1:7">
      <c r="A26" s="515">
        <v>45139</v>
      </c>
      <c r="B26" s="516" t="str">
        <f>F9</f>
        <v xml:space="preserve"> </v>
      </c>
      <c r="C26" s="514"/>
      <c r="D26" s="509"/>
      <c r="E26" s="515">
        <v>45139</v>
      </c>
      <c r="F26" s="516"/>
      <c r="G26" s="514"/>
    </row>
    <row r="27" spans="1:7">
      <c r="A27" s="515">
        <v>45170</v>
      </c>
      <c r="B27" s="516" t="str">
        <f>E9</f>
        <v xml:space="preserve"> </v>
      </c>
      <c r="C27" s="514"/>
      <c r="D27" s="509"/>
      <c r="E27" s="515">
        <v>45170</v>
      </c>
      <c r="F27" s="516"/>
      <c r="G27" s="514"/>
    </row>
    <row r="28" spans="1:7">
      <c r="A28" s="515">
        <v>45200</v>
      </c>
      <c r="B28" s="516" t="str">
        <f>D9</f>
        <v xml:space="preserve"> </v>
      </c>
      <c r="C28" s="514"/>
      <c r="D28" s="509"/>
      <c r="E28" s="515">
        <v>45200</v>
      </c>
      <c r="F28" s="516"/>
      <c r="G28" s="514"/>
    </row>
    <row r="29" spans="1:7">
      <c r="A29" s="515">
        <v>45231</v>
      </c>
      <c r="B29" s="517" t="str">
        <f>C9</f>
        <v xml:space="preserve"> </v>
      </c>
      <c r="C29" s="514"/>
      <c r="D29" s="509"/>
      <c r="E29" s="515">
        <v>45231</v>
      </c>
      <c r="F29" s="517"/>
      <c r="G29" s="514"/>
    </row>
    <row r="30" spans="1:7" ht="15.75" thickBot="1">
      <c r="A30" s="518">
        <v>45261</v>
      </c>
      <c r="B30" s="519" t="str">
        <f>B9</f>
        <v xml:space="preserve"> </v>
      </c>
      <c r="C30" s="520"/>
      <c r="D30" s="509"/>
      <c r="E30" s="518">
        <v>45261</v>
      </c>
      <c r="F30" s="519"/>
      <c r="G30" s="520"/>
    </row>
    <row r="31" spans="1:7" ht="15.75" thickBot="1">
      <c r="A31" s="521" t="s">
        <v>5</v>
      </c>
      <c r="B31" s="522">
        <f>SUM(B19:B30)</f>
        <v>530</v>
      </c>
      <c r="C31" s="523"/>
      <c r="D31" s="509"/>
      <c r="E31" s="241" t="s">
        <v>5</v>
      </c>
      <c r="F31" s="522">
        <f>SUM(F19:F30)</f>
        <v>524</v>
      </c>
      <c r="G31" s="523"/>
    </row>
    <row r="32" spans="1:7" ht="15.75" thickBot="1">
      <c r="A32" s="524" t="s">
        <v>6</v>
      </c>
      <c r="B32" s="522">
        <f>AVERAGE(B19:B30)</f>
        <v>132.5</v>
      </c>
      <c r="C32" s="523"/>
      <c r="D32" s="509"/>
      <c r="E32" s="524" t="s">
        <v>6</v>
      </c>
      <c r="F32" s="522">
        <f>AVERAGE(F19:F30)</f>
        <v>131</v>
      </c>
      <c r="G32" s="523"/>
    </row>
    <row r="33" spans="1:8" ht="17.25" customHeight="1" thickBot="1">
      <c r="C33" s="265"/>
      <c r="D33" s="265"/>
    </row>
    <row r="34" spans="1:8" ht="93" customHeight="1" thickBot="1">
      <c r="A34" s="525"/>
      <c r="B34" s="526" t="s">
        <v>347</v>
      </c>
      <c r="C34" s="527" t="s">
        <v>348</v>
      </c>
      <c r="D34" s="527" t="s">
        <v>349</v>
      </c>
      <c r="E34" s="527" t="s">
        <v>350</v>
      </c>
      <c r="F34" s="527" t="s">
        <v>351</v>
      </c>
      <c r="G34" s="528" t="s">
        <v>352</v>
      </c>
      <c r="H34" s="529" t="s">
        <v>15</v>
      </c>
    </row>
    <row r="35" spans="1:8" ht="15.75" thickBot="1">
      <c r="A35" s="530" t="s">
        <v>340</v>
      </c>
      <c r="B35" s="531"/>
      <c r="C35" s="532"/>
      <c r="D35" s="532"/>
      <c r="E35" s="532"/>
      <c r="F35" s="532"/>
      <c r="G35" s="532"/>
      <c r="H35" s="533"/>
    </row>
    <row r="36" spans="1:8">
      <c r="A36" s="534">
        <v>44927</v>
      </c>
      <c r="B36" s="535">
        <v>6</v>
      </c>
      <c r="C36" s="536">
        <v>1</v>
      </c>
      <c r="D36" s="536">
        <v>65</v>
      </c>
      <c r="E36" s="536">
        <v>6</v>
      </c>
      <c r="F36" s="536">
        <v>16</v>
      </c>
      <c r="G36" s="537">
        <v>6</v>
      </c>
      <c r="H36" s="538">
        <f t="shared" ref="H36:H47" si="0">SUM(B36:G36)</f>
        <v>100</v>
      </c>
    </row>
    <row r="37" spans="1:8">
      <c r="A37" s="539">
        <v>44958</v>
      </c>
      <c r="B37" s="540">
        <v>6</v>
      </c>
      <c r="C37" s="541">
        <v>2</v>
      </c>
      <c r="D37" s="541">
        <v>35</v>
      </c>
      <c r="E37" s="541">
        <v>3</v>
      </c>
      <c r="F37" s="541">
        <v>8</v>
      </c>
      <c r="G37" s="542">
        <v>7</v>
      </c>
      <c r="H37" s="543">
        <f t="shared" si="0"/>
        <v>61</v>
      </c>
    </row>
    <row r="38" spans="1:8">
      <c r="A38" s="539">
        <v>44986</v>
      </c>
      <c r="B38" s="540">
        <v>6</v>
      </c>
      <c r="C38" s="541">
        <v>2</v>
      </c>
      <c r="D38" s="541">
        <v>56</v>
      </c>
      <c r="E38" s="541">
        <v>6</v>
      </c>
      <c r="F38" s="541">
        <v>9</v>
      </c>
      <c r="G38" s="542">
        <v>12</v>
      </c>
      <c r="H38" s="543">
        <f t="shared" si="0"/>
        <v>91</v>
      </c>
    </row>
    <row r="39" spans="1:8">
      <c r="A39" s="539">
        <v>45017</v>
      </c>
      <c r="B39" s="540">
        <v>11</v>
      </c>
      <c r="C39" s="541">
        <v>0</v>
      </c>
      <c r="D39" s="541">
        <v>46</v>
      </c>
      <c r="E39" s="541">
        <v>6</v>
      </c>
      <c r="F39" s="541">
        <v>11</v>
      </c>
      <c r="G39" s="542">
        <v>6</v>
      </c>
      <c r="H39" s="543">
        <f t="shared" si="0"/>
        <v>80</v>
      </c>
    </row>
    <row r="40" spans="1:8">
      <c r="A40" s="539">
        <v>45047</v>
      </c>
      <c r="B40" s="540"/>
      <c r="C40" s="541"/>
      <c r="D40" s="541"/>
      <c r="E40" s="541"/>
      <c r="F40" s="541"/>
      <c r="G40" s="542"/>
      <c r="H40" s="543">
        <f t="shared" si="0"/>
        <v>0</v>
      </c>
    </row>
    <row r="41" spans="1:8">
      <c r="A41" s="539">
        <v>45078</v>
      </c>
      <c r="B41" s="540"/>
      <c r="C41" s="541"/>
      <c r="D41" s="541"/>
      <c r="E41" s="541"/>
      <c r="F41" s="541"/>
      <c r="G41" s="542"/>
      <c r="H41" s="543">
        <f t="shared" si="0"/>
        <v>0</v>
      </c>
    </row>
    <row r="42" spans="1:8">
      <c r="A42" s="539">
        <v>45108</v>
      </c>
      <c r="B42" s="540"/>
      <c r="C42" s="541"/>
      <c r="D42" s="541"/>
      <c r="E42" s="541"/>
      <c r="F42" s="541"/>
      <c r="G42" s="542"/>
      <c r="H42" s="543">
        <f t="shared" si="0"/>
        <v>0</v>
      </c>
    </row>
    <row r="43" spans="1:8">
      <c r="A43" s="539">
        <v>45139</v>
      </c>
      <c r="B43" s="540"/>
      <c r="C43" s="541"/>
      <c r="D43" s="541"/>
      <c r="E43" s="541"/>
      <c r="F43" s="541"/>
      <c r="G43" s="542"/>
      <c r="H43" s="543">
        <f t="shared" si="0"/>
        <v>0</v>
      </c>
    </row>
    <row r="44" spans="1:8">
      <c r="A44" s="539">
        <v>45170</v>
      </c>
      <c r="B44" s="540"/>
      <c r="C44" s="541"/>
      <c r="D44" s="541"/>
      <c r="E44" s="541"/>
      <c r="F44" s="541"/>
      <c r="G44" s="542"/>
      <c r="H44" s="543">
        <f t="shared" si="0"/>
        <v>0</v>
      </c>
    </row>
    <row r="45" spans="1:8">
      <c r="A45" s="539">
        <v>45200</v>
      </c>
      <c r="B45" s="540"/>
      <c r="C45" s="541"/>
      <c r="D45" s="541"/>
      <c r="E45" s="541"/>
      <c r="F45" s="541"/>
      <c r="G45" s="542"/>
      <c r="H45" s="543">
        <f t="shared" si="0"/>
        <v>0</v>
      </c>
    </row>
    <row r="46" spans="1:8">
      <c r="A46" s="539">
        <v>45231</v>
      </c>
      <c r="B46" s="540"/>
      <c r="C46" s="541"/>
      <c r="D46" s="541"/>
      <c r="E46" s="541"/>
      <c r="F46" s="541"/>
      <c r="G46" s="542"/>
      <c r="H46" s="543">
        <f t="shared" si="0"/>
        <v>0</v>
      </c>
    </row>
    <row r="47" spans="1:8" ht="15.75" thickBot="1">
      <c r="A47" s="544">
        <v>45261</v>
      </c>
      <c r="B47" s="545"/>
      <c r="C47" s="546"/>
      <c r="D47" s="546"/>
      <c r="E47" s="546"/>
      <c r="F47" s="546"/>
      <c r="G47" s="547"/>
      <c r="H47" s="548">
        <f t="shared" si="0"/>
        <v>0</v>
      </c>
    </row>
    <row r="48" spans="1:8" ht="15.75" thickBot="1">
      <c r="A48" s="549" t="s">
        <v>353</v>
      </c>
      <c r="B48" s="550">
        <f t="shared" ref="B48:H48" si="1">SUM(B36:B47)</f>
        <v>29</v>
      </c>
      <c r="C48" s="550">
        <f t="shared" si="1"/>
        <v>5</v>
      </c>
      <c r="D48" s="550">
        <f t="shared" si="1"/>
        <v>202</v>
      </c>
      <c r="E48" s="550">
        <f t="shared" si="1"/>
        <v>21</v>
      </c>
      <c r="F48" s="550">
        <f t="shared" si="1"/>
        <v>44</v>
      </c>
      <c r="G48" s="550">
        <f t="shared" si="1"/>
        <v>31</v>
      </c>
      <c r="H48" s="551">
        <f t="shared" si="1"/>
        <v>332</v>
      </c>
    </row>
    <row r="49" spans="1:8" ht="15.75" thickBot="1">
      <c r="A49" s="532"/>
      <c r="B49" s="552"/>
      <c r="C49" s="552"/>
      <c r="D49" s="552"/>
      <c r="E49" s="552"/>
      <c r="F49" s="552"/>
      <c r="G49" s="552"/>
      <c r="H49" s="552"/>
    </row>
    <row r="50" spans="1:8" ht="15.75" thickBot="1">
      <c r="A50" s="530" t="s">
        <v>339</v>
      </c>
      <c r="B50" s="553"/>
      <c r="C50" s="554"/>
      <c r="D50" s="554"/>
      <c r="E50" s="554"/>
      <c r="F50" s="554"/>
      <c r="G50" s="554"/>
      <c r="H50" s="554"/>
    </row>
    <row r="51" spans="1:8">
      <c r="A51" s="534">
        <v>44927</v>
      </c>
      <c r="B51" s="555">
        <v>4</v>
      </c>
      <c r="C51" s="556">
        <v>2</v>
      </c>
      <c r="D51" s="556">
        <v>11</v>
      </c>
      <c r="E51" s="556">
        <v>3</v>
      </c>
      <c r="F51" s="556">
        <v>8</v>
      </c>
      <c r="G51" s="557">
        <v>10</v>
      </c>
      <c r="H51" s="558">
        <f t="shared" ref="H51:H62" si="2">SUM(B51:G51)</f>
        <v>38</v>
      </c>
    </row>
    <row r="52" spans="1:8">
      <c r="A52" s="539">
        <v>44958</v>
      </c>
      <c r="B52" s="559">
        <v>2</v>
      </c>
      <c r="C52" s="560">
        <v>4</v>
      </c>
      <c r="D52" s="560">
        <v>18</v>
      </c>
      <c r="E52" s="560">
        <v>0</v>
      </c>
      <c r="F52" s="560">
        <v>10</v>
      </c>
      <c r="G52" s="561">
        <v>6</v>
      </c>
      <c r="H52" s="562">
        <f t="shared" si="2"/>
        <v>40</v>
      </c>
    </row>
    <row r="53" spans="1:8">
      <c r="A53" s="539">
        <v>44986</v>
      </c>
      <c r="B53" s="559">
        <v>4</v>
      </c>
      <c r="C53" s="560">
        <v>5</v>
      </c>
      <c r="D53" s="560">
        <v>24</v>
      </c>
      <c r="E53" s="560">
        <v>3</v>
      </c>
      <c r="F53" s="560">
        <v>20</v>
      </c>
      <c r="G53" s="561">
        <v>15</v>
      </c>
      <c r="H53" s="562">
        <f t="shared" si="2"/>
        <v>71</v>
      </c>
    </row>
    <row r="54" spans="1:8">
      <c r="A54" s="539">
        <v>45017</v>
      </c>
      <c r="B54" s="559">
        <v>4</v>
      </c>
      <c r="C54" s="560">
        <v>5</v>
      </c>
      <c r="D54" s="560">
        <v>16</v>
      </c>
      <c r="E54" s="560">
        <v>3</v>
      </c>
      <c r="F54" s="560">
        <v>13</v>
      </c>
      <c r="G54" s="561">
        <v>8</v>
      </c>
      <c r="H54" s="562">
        <f t="shared" si="2"/>
        <v>49</v>
      </c>
    </row>
    <row r="55" spans="1:8">
      <c r="A55" s="539">
        <v>45047</v>
      </c>
      <c r="B55" s="559"/>
      <c r="C55" s="560"/>
      <c r="D55" s="560"/>
      <c r="E55" s="560"/>
      <c r="F55" s="560"/>
      <c r="G55" s="561"/>
      <c r="H55" s="562">
        <f t="shared" si="2"/>
        <v>0</v>
      </c>
    </row>
    <row r="56" spans="1:8">
      <c r="A56" s="539">
        <v>45078</v>
      </c>
      <c r="B56" s="559"/>
      <c r="C56" s="560"/>
      <c r="D56" s="560"/>
      <c r="E56" s="560"/>
      <c r="F56" s="560"/>
      <c r="G56" s="561"/>
      <c r="H56" s="562">
        <f t="shared" si="2"/>
        <v>0</v>
      </c>
    </row>
    <row r="57" spans="1:8">
      <c r="A57" s="539">
        <v>45108</v>
      </c>
      <c r="B57" s="559"/>
      <c r="C57" s="560"/>
      <c r="D57" s="560"/>
      <c r="E57" s="560"/>
      <c r="F57" s="560"/>
      <c r="G57" s="561"/>
      <c r="H57" s="562">
        <f t="shared" si="2"/>
        <v>0</v>
      </c>
    </row>
    <row r="58" spans="1:8">
      <c r="A58" s="539">
        <v>45139</v>
      </c>
      <c r="B58" s="559"/>
      <c r="C58" s="560"/>
      <c r="D58" s="560"/>
      <c r="E58" s="560"/>
      <c r="F58" s="560"/>
      <c r="G58" s="561"/>
      <c r="H58" s="562">
        <f t="shared" si="2"/>
        <v>0</v>
      </c>
    </row>
    <row r="59" spans="1:8">
      <c r="A59" s="539">
        <v>45170</v>
      </c>
      <c r="B59" s="559"/>
      <c r="C59" s="560"/>
      <c r="D59" s="560"/>
      <c r="E59" s="560"/>
      <c r="F59" s="560"/>
      <c r="G59" s="561"/>
      <c r="H59" s="562">
        <f t="shared" si="2"/>
        <v>0</v>
      </c>
    </row>
    <row r="60" spans="1:8">
      <c r="A60" s="539">
        <v>45200</v>
      </c>
      <c r="B60" s="559"/>
      <c r="C60" s="560"/>
      <c r="D60" s="560"/>
      <c r="E60" s="560"/>
      <c r="F60" s="560"/>
      <c r="G60" s="561"/>
      <c r="H60" s="562">
        <f t="shared" si="2"/>
        <v>0</v>
      </c>
    </row>
    <row r="61" spans="1:8">
      <c r="A61" s="539">
        <v>45231</v>
      </c>
      <c r="B61" s="559"/>
      <c r="C61" s="560"/>
      <c r="D61" s="560"/>
      <c r="E61" s="560"/>
      <c r="F61" s="560"/>
      <c r="G61" s="561"/>
      <c r="H61" s="562">
        <f t="shared" si="2"/>
        <v>0</v>
      </c>
    </row>
    <row r="62" spans="1:8" ht="15.75" thickBot="1">
      <c r="A62" s="544">
        <v>45261</v>
      </c>
      <c r="B62" s="563"/>
      <c r="C62" s="564"/>
      <c r="D62" s="564"/>
      <c r="E62" s="564"/>
      <c r="F62" s="564"/>
      <c r="G62" s="565"/>
      <c r="H62" s="566">
        <f t="shared" si="2"/>
        <v>0</v>
      </c>
    </row>
    <row r="63" spans="1:8" ht="15.75" thickBot="1">
      <c r="A63" s="567" t="s">
        <v>354</v>
      </c>
      <c r="B63" s="568">
        <f t="shared" ref="B63:H63" si="3">SUM(B51:B62)</f>
        <v>14</v>
      </c>
      <c r="C63" s="568">
        <f t="shared" si="3"/>
        <v>16</v>
      </c>
      <c r="D63" s="568">
        <f t="shared" si="3"/>
        <v>69</v>
      </c>
      <c r="E63" s="568">
        <f t="shared" si="3"/>
        <v>9</v>
      </c>
      <c r="F63" s="568">
        <f t="shared" si="3"/>
        <v>51</v>
      </c>
      <c r="G63" s="569">
        <f t="shared" si="3"/>
        <v>39</v>
      </c>
      <c r="H63" s="570">
        <f t="shared" si="3"/>
        <v>198</v>
      </c>
    </row>
    <row r="64" spans="1:8" ht="15.75" thickBot="1">
      <c r="A64" s="571"/>
      <c r="B64" s="571"/>
      <c r="C64" s="571"/>
      <c r="D64" s="571"/>
      <c r="E64" s="571"/>
      <c r="F64" s="571"/>
      <c r="G64" s="571"/>
      <c r="H64" s="571"/>
    </row>
    <row r="65" spans="1:8" ht="15.75" thickBot="1">
      <c r="A65" s="572" t="s">
        <v>15</v>
      </c>
      <c r="B65" s="573">
        <f t="shared" ref="B65:H65" si="4">B48+B63</f>
        <v>43</v>
      </c>
      <c r="C65" s="573">
        <f t="shared" si="4"/>
        <v>21</v>
      </c>
      <c r="D65" s="573">
        <f t="shared" si="4"/>
        <v>271</v>
      </c>
      <c r="E65" s="573">
        <f t="shared" si="4"/>
        <v>30</v>
      </c>
      <c r="F65" s="573">
        <f t="shared" si="4"/>
        <v>95</v>
      </c>
      <c r="G65" s="573">
        <f t="shared" si="4"/>
        <v>70</v>
      </c>
      <c r="H65" s="574">
        <f t="shared" si="4"/>
        <v>530</v>
      </c>
    </row>
    <row r="67" spans="1:8">
      <c r="A67" s="265"/>
      <c r="B67" s="265"/>
      <c r="C67" s="265"/>
      <c r="D67" s="265"/>
      <c r="E67" s="265"/>
      <c r="F67" s="265"/>
      <c r="G67" s="265"/>
    </row>
    <row r="68" spans="1:8">
      <c r="A68" s="265"/>
      <c r="B68" s="265"/>
      <c r="C68" s="265"/>
      <c r="D68" s="265"/>
      <c r="E68" s="265"/>
      <c r="F68" s="265"/>
      <c r="G68" s="265"/>
    </row>
    <row r="69" spans="1:8">
      <c r="A69" s="265"/>
      <c r="B69" s="265"/>
      <c r="C69" s="265"/>
      <c r="D69" s="265"/>
      <c r="E69" s="265"/>
      <c r="F69" s="265"/>
      <c r="G69" s="265"/>
    </row>
    <row r="70" spans="1:8">
      <c r="A70" s="265"/>
      <c r="B70" s="265"/>
      <c r="C70" s="265"/>
      <c r="D70" s="265"/>
      <c r="E70" s="265"/>
      <c r="F70" s="265"/>
      <c r="G70" s="265"/>
    </row>
    <row r="71" spans="1:8">
      <c r="A71" s="265"/>
      <c r="B71" s="265"/>
      <c r="C71" s="265"/>
      <c r="D71" s="265"/>
      <c r="E71" s="265"/>
      <c r="F71" s="265"/>
      <c r="G71" s="265"/>
    </row>
    <row r="72" spans="1:8">
      <c r="A72" s="265"/>
      <c r="B72" s="265"/>
      <c r="C72" s="265"/>
      <c r="D72" s="265"/>
      <c r="E72" s="265"/>
      <c r="F72" s="265"/>
      <c r="G72" s="265"/>
    </row>
    <row r="73" spans="1:8">
      <c r="A73" s="265"/>
      <c r="B73" s="265"/>
      <c r="C73" s="265"/>
      <c r="D73" s="265"/>
      <c r="E73" s="265"/>
      <c r="F73" s="265"/>
      <c r="G73" s="265"/>
    </row>
    <row r="74" spans="1:8">
      <c r="A74" s="265"/>
      <c r="B74" s="265"/>
      <c r="C74" s="265"/>
      <c r="D74" s="265"/>
      <c r="E74" s="265"/>
      <c r="F74" s="265"/>
      <c r="G74" s="265"/>
    </row>
    <row r="75" spans="1:8">
      <c r="A75" s="265"/>
      <c r="B75" s="265"/>
      <c r="C75" s="265"/>
      <c r="D75" s="265"/>
      <c r="E75" s="265"/>
      <c r="F75" s="265"/>
      <c r="G75" s="265"/>
    </row>
    <row r="76" spans="1:8">
      <c r="A76" s="265"/>
      <c r="B76" s="265"/>
      <c r="C76" s="265"/>
      <c r="D76" s="265"/>
      <c r="E76" s="265"/>
      <c r="F76" s="265"/>
      <c r="G76" s="265"/>
    </row>
    <row r="77" spans="1:8">
      <c r="A77" s="265"/>
      <c r="B77" s="265"/>
      <c r="C77" s="265"/>
      <c r="D77" s="265"/>
      <c r="E77" s="265"/>
      <c r="F77" s="265"/>
      <c r="G77" s="265"/>
    </row>
    <row r="78" spans="1:8">
      <c r="A78" s="265"/>
      <c r="B78" s="265"/>
      <c r="C78" s="265"/>
      <c r="D78" s="265"/>
      <c r="E78" s="265"/>
      <c r="F78" s="265"/>
      <c r="G78" s="265"/>
    </row>
    <row r="79" spans="1:8">
      <c r="A79" s="265"/>
      <c r="B79" s="265"/>
      <c r="C79" s="265"/>
      <c r="D79" s="265"/>
      <c r="E79" s="265"/>
      <c r="F79" s="265"/>
      <c r="G79" s="265"/>
    </row>
    <row r="80" spans="1:8">
      <c r="A80" s="265"/>
      <c r="B80" s="265"/>
      <c r="C80" s="265"/>
      <c r="D80" s="265"/>
      <c r="E80" s="265"/>
      <c r="F80" s="265"/>
      <c r="G80" s="265"/>
    </row>
    <row r="81" spans="1:7">
      <c r="A81" s="265"/>
      <c r="B81" s="265"/>
      <c r="C81" s="265"/>
      <c r="D81" s="265"/>
      <c r="E81" s="265"/>
      <c r="F81" s="265"/>
      <c r="G81" s="265"/>
    </row>
    <row r="82" spans="1:7">
      <c r="A82" s="265"/>
      <c r="B82" s="265"/>
      <c r="C82" s="265"/>
      <c r="D82" s="265"/>
      <c r="E82" s="265"/>
      <c r="F82" s="265"/>
      <c r="G82" s="265"/>
    </row>
    <row r="83" spans="1:7">
      <c r="A83" s="265"/>
      <c r="B83" s="265"/>
      <c r="C83" s="265"/>
      <c r="D83" s="265"/>
      <c r="E83" s="265"/>
      <c r="F83" s="265"/>
      <c r="G83" s="265"/>
    </row>
    <row r="84" spans="1:7">
      <c r="A84" s="265"/>
      <c r="B84" s="265"/>
      <c r="C84" s="265"/>
      <c r="D84" s="265"/>
      <c r="E84" s="265"/>
      <c r="F84" s="265"/>
      <c r="G84" s="265"/>
    </row>
    <row r="85" spans="1:7">
      <c r="A85" s="265"/>
      <c r="B85" s="265"/>
      <c r="C85" s="265"/>
      <c r="D85" s="265"/>
      <c r="E85" s="265"/>
      <c r="F85" s="265"/>
      <c r="G85" s="265"/>
    </row>
    <row r="86" spans="1:7">
      <c r="A86" s="265"/>
      <c r="B86" s="265"/>
      <c r="C86" s="265"/>
      <c r="D86" s="265"/>
      <c r="E86" s="265"/>
      <c r="F86" s="265"/>
      <c r="G86" s="265"/>
    </row>
    <row r="87" spans="1:7">
      <c r="A87" s="265"/>
      <c r="B87" s="265"/>
      <c r="C87" s="265"/>
      <c r="D87" s="265"/>
      <c r="E87" s="265"/>
      <c r="F87" s="265"/>
      <c r="G87" s="265"/>
    </row>
    <row r="88" spans="1:7">
      <c r="A88" s="265"/>
      <c r="B88" s="265"/>
      <c r="C88" s="265"/>
      <c r="D88" s="265"/>
      <c r="E88" s="265"/>
      <c r="F88" s="265"/>
      <c r="G88" s="265"/>
    </row>
    <row r="89" spans="1:7">
      <c r="A89" s="265"/>
      <c r="B89" s="265"/>
      <c r="C89" s="265"/>
      <c r="D89" s="265"/>
      <c r="E89" s="265"/>
      <c r="F89" s="265"/>
      <c r="G89" s="265"/>
    </row>
    <row r="90" spans="1:7">
      <c r="A90" s="265"/>
      <c r="B90" s="265"/>
      <c r="C90" s="265"/>
      <c r="D90" s="265"/>
      <c r="E90" s="265"/>
      <c r="F90" s="265"/>
      <c r="G90" s="265"/>
    </row>
    <row r="91" spans="1:7">
      <c r="A91" s="265"/>
      <c r="B91" s="265"/>
      <c r="C91" s="265"/>
      <c r="D91" s="265"/>
      <c r="E91" s="265"/>
      <c r="F91" s="265"/>
      <c r="G91" s="265"/>
    </row>
    <row r="92" spans="1:7">
      <c r="A92" s="265"/>
      <c r="B92" s="265"/>
      <c r="C92" s="265"/>
      <c r="D92" s="265"/>
      <c r="E92" s="265"/>
      <c r="F92" s="265"/>
      <c r="G92" s="265"/>
    </row>
    <row r="93" spans="1:7">
      <c r="A93" s="265"/>
      <c r="B93" s="265"/>
      <c r="C93" s="265"/>
      <c r="D93" s="265"/>
      <c r="E93" s="265"/>
      <c r="F93" s="265"/>
      <c r="G93" s="265"/>
    </row>
    <row r="94" spans="1:7">
      <c r="A94" s="265"/>
      <c r="B94" s="265"/>
      <c r="C94" s="265"/>
      <c r="D94" s="265"/>
      <c r="E94" s="265"/>
      <c r="F94" s="265"/>
      <c r="G94" s="265"/>
    </row>
    <row r="95" spans="1:7">
      <c r="A95" s="265"/>
      <c r="B95" s="265"/>
      <c r="C95" s="265"/>
      <c r="D95" s="265"/>
      <c r="E95" s="265"/>
      <c r="F95" s="265"/>
      <c r="G95" s="265"/>
    </row>
    <row r="96" spans="1:7">
      <c r="A96" s="265"/>
      <c r="B96" s="265"/>
      <c r="C96" s="265"/>
      <c r="D96" s="265"/>
      <c r="E96" s="265"/>
      <c r="F96" s="265"/>
      <c r="G96" s="265"/>
    </row>
    <row r="97" spans="1:7">
      <c r="A97" s="265"/>
      <c r="B97" s="265"/>
      <c r="C97" s="265"/>
      <c r="D97" s="265"/>
      <c r="E97" s="265"/>
      <c r="F97" s="265"/>
      <c r="G97" s="265"/>
    </row>
    <row r="98" spans="1:7">
      <c r="A98" s="265"/>
      <c r="B98" s="265"/>
      <c r="C98" s="265"/>
      <c r="D98" s="265"/>
      <c r="E98" s="265"/>
      <c r="F98" s="265"/>
      <c r="G98" s="265"/>
    </row>
    <row r="99" spans="1:7">
      <c r="A99" s="265"/>
      <c r="B99" s="265"/>
      <c r="C99" s="265"/>
      <c r="D99" s="265"/>
      <c r="E99" s="265"/>
      <c r="F99" s="265"/>
      <c r="G99" s="265"/>
    </row>
    <row r="100" spans="1:7">
      <c r="A100" s="265"/>
      <c r="B100" s="265"/>
      <c r="C100" s="265"/>
      <c r="D100" s="265"/>
      <c r="E100" s="265"/>
      <c r="F100" s="265"/>
      <c r="G100" s="265"/>
    </row>
    <row r="101" spans="1:7">
      <c r="A101" s="265"/>
      <c r="B101" s="265"/>
      <c r="C101" s="265"/>
      <c r="D101" s="265"/>
      <c r="E101" s="265"/>
      <c r="F101" s="265"/>
      <c r="G101" s="265"/>
    </row>
    <row r="102" spans="1:7">
      <c r="A102" s="265"/>
      <c r="B102" s="265"/>
      <c r="C102" s="265"/>
      <c r="D102" s="265"/>
      <c r="E102" s="265"/>
      <c r="F102" s="265"/>
      <c r="G102" s="265"/>
    </row>
    <row r="103" spans="1:7">
      <c r="A103" s="265"/>
      <c r="B103" s="265"/>
      <c r="C103" s="265"/>
      <c r="D103" s="265"/>
      <c r="E103" s="265"/>
      <c r="F103" s="265"/>
      <c r="G103" s="265"/>
    </row>
    <row r="104" spans="1:7">
      <c r="A104" s="265"/>
      <c r="B104" s="265"/>
      <c r="C104" s="265"/>
      <c r="D104" s="265"/>
      <c r="E104" s="265"/>
      <c r="F104" s="265"/>
      <c r="G104" s="265"/>
    </row>
    <row r="105" spans="1:7">
      <c r="A105" s="265"/>
      <c r="B105" s="265"/>
      <c r="C105" s="265"/>
      <c r="D105" s="265"/>
      <c r="E105" s="265"/>
      <c r="F105" s="265"/>
      <c r="G105" s="265"/>
    </row>
    <row r="106" spans="1:7">
      <c r="A106" s="265"/>
      <c r="B106" s="265"/>
      <c r="C106" s="265"/>
      <c r="D106" s="265"/>
      <c r="E106" s="265"/>
      <c r="F106" s="265"/>
      <c r="G106" s="265"/>
    </row>
    <row r="107" spans="1:7">
      <c r="A107" s="265"/>
      <c r="B107" s="265"/>
      <c r="C107" s="265"/>
      <c r="D107" s="265"/>
      <c r="E107" s="265"/>
      <c r="F107" s="265"/>
      <c r="G107" s="265"/>
    </row>
    <row r="108" spans="1:7">
      <c r="A108" s="265"/>
      <c r="B108" s="265"/>
      <c r="C108" s="265"/>
      <c r="D108" s="265"/>
      <c r="E108" s="265"/>
      <c r="F108" s="265"/>
      <c r="G108" s="265"/>
    </row>
    <row r="109" spans="1:7">
      <c r="A109" s="265"/>
      <c r="B109" s="265"/>
      <c r="C109" s="265"/>
      <c r="D109" s="265"/>
      <c r="E109" s="265"/>
      <c r="F109" s="265"/>
      <c r="G109" s="265"/>
    </row>
    <row r="110" spans="1:7">
      <c r="A110" s="265"/>
      <c r="B110" s="265"/>
      <c r="C110" s="265"/>
      <c r="D110" s="265"/>
      <c r="E110" s="265"/>
      <c r="F110" s="265"/>
      <c r="G110" s="265"/>
    </row>
    <row r="111" spans="1:7">
      <c r="A111" s="265"/>
      <c r="B111" s="265"/>
      <c r="C111" s="265"/>
      <c r="D111" s="265"/>
      <c r="E111" s="265"/>
      <c r="F111" s="265"/>
      <c r="G111" s="265"/>
    </row>
    <row r="112" spans="1:7">
      <c r="A112" s="265"/>
      <c r="B112" s="265"/>
      <c r="C112" s="265"/>
      <c r="D112" s="265"/>
      <c r="E112" s="265"/>
      <c r="F112" s="265"/>
      <c r="G112" s="265"/>
    </row>
    <row r="113" spans="1:7">
      <c r="A113" s="265"/>
      <c r="B113" s="265"/>
      <c r="C113" s="265"/>
      <c r="D113" s="265"/>
      <c r="E113" s="265"/>
      <c r="F113" s="265"/>
      <c r="G113" s="265"/>
    </row>
    <row r="114" spans="1:7">
      <c r="A114" s="265"/>
      <c r="B114" s="265"/>
      <c r="C114" s="265"/>
      <c r="D114" s="265"/>
      <c r="E114" s="265"/>
      <c r="F114" s="265"/>
      <c r="G114" s="265"/>
    </row>
    <row r="115" spans="1:7">
      <c r="A115" s="265"/>
      <c r="B115" s="265"/>
      <c r="C115" s="265"/>
      <c r="D115" s="265"/>
      <c r="E115" s="265"/>
      <c r="F115" s="265"/>
      <c r="G115" s="265"/>
    </row>
    <row r="116" spans="1:7">
      <c r="A116" s="265"/>
      <c r="B116" s="265"/>
      <c r="C116" s="265"/>
      <c r="D116" s="265"/>
      <c r="E116" s="265"/>
      <c r="F116" s="265"/>
      <c r="G116" s="265"/>
    </row>
    <row r="117" spans="1:7">
      <c r="A117" s="265"/>
      <c r="B117" s="265"/>
      <c r="C117" s="265"/>
      <c r="D117" s="265"/>
      <c r="E117" s="265"/>
      <c r="F117" s="265"/>
      <c r="G117" s="265"/>
    </row>
    <row r="118" spans="1:7">
      <c r="A118" s="265"/>
      <c r="B118" s="265"/>
      <c r="C118" s="265"/>
      <c r="D118" s="265"/>
      <c r="E118" s="265"/>
      <c r="F118" s="265"/>
      <c r="G118" s="265"/>
    </row>
    <row r="119" spans="1:7">
      <c r="A119" s="265"/>
      <c r="B119" s="265"/>
      <c r="C119" s="265"/>
      <c r="D119" s="265"/>
      <c r="E119" s="265"/>
      <c r="F119" s="265"/>
      <c r="G119" s="265"/>
    </row>
    <row r="120" spans="1:7">
      <c r="A120" s="265"/>
      <c r="B120" s="265"/>
      <c r="C120" s="265"/>
      <c r="D120" s="265"/>
      <c r="E120" s="265"/>
      <c r="F120" s="265"/>
      <c r="G120" s="265"/>
    </row>
    <row r="121" spans="1:7">
      <c r="A121" s="265"/>
      <c r="B121" s="265"/>
      <c r="C121" s="265"/>
      <c r="D121" s="265"/>
      <c r="E121" s="265"/>
      <c r="F121" s="265"/>
      <c r="G121" s="265"/>
    </row>
    <row r="122" spans="1:7">
      <c r="A122" s="265"/>
      <c r="B122" s="265"/>
      <c r="C122" s="265"/>
      <c r="D122" s="265"/>
      <c r="E122" s="265"/>
      <c r="F122" s="265"/>
      <c r="G122" s="265"/>
    </row>
    <row r="123" spans="1:7">
      <c r="A123" s="265"/>
      <c r="B123" s="265"/>
      <c r="C123" s="265"/>
      <c r="D123" s="265"/>
      <c r="E123" s="265"/>
      <c r="F123" s="265"/>
      <c r="G123" s="265"/>
    </row>
    <row r="124" spans="1:7">
      <c r="A124" s="265"/>
      <c r="B124" s="265"/>
      <c r="C124" s="265"/>
      <c r="D124" s="265"/>
      <c r="E124" s="265"/>
      <c r="F124" s="265"/>
      <c r="G124" s="265"/>
    </row>
  </sheetData>
  <mergeCells count="2">
    <mergeCell ref="A17:C17"/>
    <mergeCell ref="E17:G17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1"/>
  <sheetViews>
    <sheetView workbookViewId="0"/>
  </sheetViews>
  <sheetFormatPr defaultRowHeight="15"/>
  <cols>
    <col min="1" max="1" width="22.7109375" style="265" customWidth="1"/>
    <col min="2" max="2" width="9.85546875" style="265" customWidth="1"/>
    <col min="3" max="3" width="9" style="575" customWidth="1"/>
    <col min="4" max="4" width="6.85546875" style="575" bestFit="1" customWidth="1"/>
    <col min="5" max="5" width="6.5703125" style="265" bestFit="1" customWidth="1"/>
    <col min="6" max="6" width="7" style="273" bestFit="1" customWidth="1"/>
    <col min="7" max="7" width="6.140625" style="273" bestFit="1" customWidth="1"/>
    <col min="8" max="8" width="6.7109375" style="273" bestFit="1" customWidth="1"/>
    <col min="9" max="9" width="7.140625" style="576" bestFit="1" customWidth="1"/>
    <col min="10" max="10" width="6.7109375" style="273" bestFit="1" customWidth="1"/>
    <col min="11" max="11" width="7.28515625" style="273" bestFit="1" customWidth="1"/>
    <col min="12" max="12" width="6.7109375" style="273" bestFit="1" customWidth="1"/>
    <col min="13" max="13" width="6.5703125" style="577" bestFit="1" customWidth="1"/>
    <col min="14" max="14" width="6.5703125" style="578" bestFit="1" customWidth="1"/>
    <col min="15" max="15" width="5.28515625" style="575" bestFit="1" customWidth="1"/>
    <col min="16" max="16" width="6" style="575" bestFit="1" customWidth="1"/>
    <col min="17" max="17" width="5.42578125" style="575" customWidth="1"/>
    <col min="18" max="18" width="9.7109375" style="265" customWidth="1"/>
    <col min="19" max="19" width="24.140625" style="265" bestFit="1" customWidth="1"/>
    <col min="20" max="20" width="7" style="265" bestFit="1" customWidth="1"/>
    <col min="21" max="21" width="7.28515625" style="265" bestFit="1" customWidth="1"/>
    <col min="22" max="22" width="6.85546875" style="265" bestFit="1" customWidth="1"/>
    <col min="23" max="23" width="6.7109375" style="265" bestFit="1" customWidth="1"/>
    <col min="24" max="24" width="7.140625" style="265" bestFit="1" customWidth="1"/>
    <col min="25" max="25" width="6.140625" style="265" bestFit="1" customWidth="1"/>
    <col min="26" max="26" width="6.7109375" style="265" bestFit="1" customWidth="1"/>
    <col min="27" max="27" width="7.140625" style="265" bestFit="1" customWidth="1"/>
    <col min="28" max="28" width="6.85546875" style="265" bestFit="1" customWidth="1"/>
    <col min="29" max="29" width="7.42578125" style="265" bestFit="1" customWidth="1"/>
    <col min="30" max="30" width="6.7109375" style="265" bestFit="1" customWidth="1"/>
    <col min="31" max="31" width="6.5703125" style="265" bestFit="1" customWidth="1"/>
    <col min="32" max="32" width="5.42578125" style="265" bestFit="1" customWidth="1"/>
    <col min="33" max="33" width="6.7109375" style="265" bestFit="1" customWidth="1"/>
    <col min="34" max="34" width="13" style="265" bestFit="1" customWidth="1"/>
    <col min="35" max="35" width="11.42578125" style="265" bestFit="1" customWidth="1"/>
    <col min="36" max="36" width="10.28515625" style="265" bestFit="1" customWidth="1"/>
    <col min="37" max="38" width="9.28515625" style="265" bestFit="1" customWidth="1"/>
    <col min="39" max="40" width="9.7109375" style="265" bestFit="1" customWidth="1"/>
    <col min="41" max="41" width="10" style="265" bestFit="1" customWidth="1"/>
    <col min="42" max="42" width="9.42578125" style="265" customWidth="1"/>
    <col min="43" max="43" width="31.85546875" style="265" customWidth="1"/>
    <col min="44" max="44" width="7.7109375" style="265" bestFit="1" customWidth="1"/>
    <col min="45" max="45" width="7.85546875" style="265" bestFit="1" customWidth="1"/>
    <col min="46" max="46" width="8.28515625" style="265" bestFit="1" customWidth="1"/>
    <col min="47" max="47" width="7.85546875" style="265" bestFit="1" customWidth="1"/>
    <col min="48" max="48" width="7.7109375" style="265" bestFit="1" customWidth="1"/>
    <col min="49" max="50" width="9.42578125" style="265" bestFit="1" customWidth="1"/>
    <col min="51" max="53" width="9.28515625" style="265" bestFit="1" customWidth="1"/>
    <col min="54" max="54" width="9.28515625" style="253" bestFit="1" customWidth="1"/>
    <col min="55" max="55" width="9.140625" style="265" customWidth="1"/>
    <col min="56" max="16384" width="9.140625" style="265"/>
  </cols>
  <sheetData>
    <row r="1" spans="1:3">
      <c r="A1" s="177" t="s">
        <v>0</v>
      </c>
    </row>
    <row r="2" spans="1:3">
      <c r="A2" s="1" t="s">
        <v>1</v>
      </c>
    </row>
    <row r="3" spans="1:3" ht="15.75" thickBot="1"/>
    <row r="4" spans="1:3" ht="15.75" thickBot="1">
      <c r="A4" s="872" t="s">
        <v>355</v>
      </c>
      <c r="B4" s="872"/>
      <c r="C4" s="872"/>
    </row>
    <row r="5" spans="1:3" ht="15.75" thickBot="1">
      <c r="A5" s="4" t="s">
        <v>2</v>
      </c>
      <c r="B5" s="579" t="s">
        <v>221</v>
      </c>
      <c r="C5" s="580" t="s">
        <v>222</v>
      </c>
    </row>
    <row r="6" spans="1:3">
      <c r="A6" s="581">
        <v>44927</v>
      </c>
      <c r="B6" s="582">
        <f>M100</f>
        <v>728</v>
      </c>
      <c r="C6" s="583">
        <f>((B6-728)/728)*100</f>
        <v>0</v>
      </c>
    </row>
    <row r="7" spans="1:3">
      <c r="A7" s="584">
        <v>44958</v>
      </c>
      <c r="B7" s="585">
        <v>532</v>
      </c>
      <c r="C7" s="586">
        <f>((B7-B6)/B6)*100</f>
        <v>-26.923076923076923</v>
      </c>
    </row>
    <row r="8" spans="1:3">
      <c r="A8" s="584">
        <v>44986</v>
      </c>
      <c r="B8" s="585">
        <v>728</v>
      </c>
      <c r="C8" s="586">
        <f>((B8-B7)/B7)*100</f>
        <v>36.84210526315789</v>
      </c>
    </row>
    <row r="9" spans="1:3">
      <c r="A9" s="584">
        <v>45017</v>
      </c>
      <c r="B9" s="585">
        <v>799</v>
      </c>
      <c r="C9" s="586">
        <f>((B9-B8)/B8)*100</f>
        <v>9.7527472527472536</v>
      </c>
    </row>
    <row r="10" spans="1:3">
      <c r="A10" s="584">
        <v>45047</v>
      </c>
      <c r="B10" s="585"/>
      <c r="C10" s="586"/>
    </row>
    <row r="11" spans="1:3">
      <c r="A11" s="584">
        <v>45078</v>
      </c>
      <c r="B11" s="585"/>
      <c r="C11" s="586"/>
    </row>
    <row r="12" spans="1:3">
      <c r="A12" s="584">
        <v>45108</v>
      </c>
      <c r="B12" s="585"/>
      <c r="C12" s="586"/>
    </row>
    <row r="13" spans="1:3">
      <c r="A13" s="584">
        <v>45139</v>
      </c>
      <c r="B13" s="585"/>
      <c r="C13" s="586"/>
    </row>
    <row r="14" spans="1:3">
      <c r="A14" s="584">
        <v>45170</v>
      </c>
      <c r="B14" s="585"/>
      <c r="C14" s="586"/>
    </row>
    <row r="15" spans="1:3">
      <c r="A15" s="584">
        <v>45200</v>
      </c>
      <c r="B15" s="585"/>
      <c r="C15" s="586"/>
    </row>
    <row r="16" spans="1:3">
      <c r="A16" s="584">
        <v>45231</v>
      </c>
      <c r="B16" s="587"/>
      <c r="C16" s="586"/>
    </row>
    <row r="17" spans="1:41" ht="15.75" thickBot="1">
      <c r="A17" s="588">
        <v>45261</v>
      </c>
      <c r="B17" s="589"/>
      <c r="C17" s="590"/>
    </row>
    <row r="18" spans="1:41" ht="15.75" thickBot="1">
      <c r="A18" s="20" t="s">
        <v>5</v>
      </c>
      <c r="B18" s="591">
        <f>SUM(B6:B17)</f>
        <v>2787</v>
      </c>
      <c r="C18" s="265"/>
    </row>
    <row r="19" spans="1:41" ht="15.75" thickBot="1">
      <c r="A19" s="592" t="s">
        <v>6</v>
      </c>
      <c r="B19" s="591">
        <f>AVERAGE(B6:B17)</f>
        <v>696.75</v>
      </c>
      <c r="C19" s="265"/>
    </row>
    <row r="20" spans="1:41" ht="15.75" thickBot="1"/>
    <row r="21" spans="1:41" s="265" customFormat="1" ht="24.95" customHeight="1" thickBot="1">
      <c r="A21" s="593" t="s">
        <v>356</v>
      </c>
      <c r="B21" s="594">
        <v>45261</v>
      </c>
      <c r="C21" s="594">
        <v>45231</v>
      </c>
      <c r="D21" s="594">
        <v>45200</v>
      </c>
      <c r="E21" s="594">
        <v>45170</v>
      </c>
      <c r="F21" s="594">
        <v>45139</v>
      </c>
      <c r="G21" s="594">
        <v>45108</v>
      </c>
      <c r="H21" s="594">
        <v>45078</v>
      </c>
      <c r="I21" s="594">
        <v>45047</v>
      </c>
      <c r="J21" s="594">
        <v>45017</v>
      </c>
      <c r="K21" s="594">
        <v>44986</v>
      </c>
      <c r="L21" s="594">
        <v>44958</v>
      </c>
      <c r="M21" s="594">
        <v>44927</v>
      </c>
      <c r="N21" s="594" t="s">
        <v>5</v>
      </c>
      <c r="O21" s="595" t="s">
        <v>6</v>
      </c>
      <c r="P21" s="596" t="s">
        <v>8</v>
      </c>
      <c r="Q21" s="597"/>
      <c r="S21" s="872" t="s">
        <v>357</v>
      </c>
      <c r="T21" s="872"/>
      <c r="U21" s="872"/>
      <c r="V21" s="872"/>
      <c r="W21" s="872"/>
      <c r="X21" s="872"/>
      <c r="Y21" s="872"/>
      <c r="Z21" s="872"/>
      <c r="AA21" s="872"/>
      <c r="AB21" s="872"/>
      <c r="AC21" s="872"/>
      <c r="AD21" s="872"/>
      <c r="AE21" s="872"/>
      <c r="AF21" s="872"/>
      <c r="AG21" s="872"/>
      <c r="AH21" s="598">
        <v>12</v>
      </c>
      <c r="AI21" s="598">
        <v>7</v>
      </c>
      <c r="AJ21" s="598">
        <v>11</v>
      </c>
      <c r="AK21" s="598">
        <v>7</v>
      </c>
      <c r="AL21" s="598">
        <v>2</v>
      </c>
      <c r="AM21" s="598">
        <v>10</v>
      </c>
      <c r="AN21" s="598">
        <v>7</v>
      </c>
      <c r="AO21" s="253"/>
    </row>
    <row r="22" spans="1:41" s="265" customFormat="1" ht="34.5" customHeight="1" thickBot="1">
      <c r="A22" s="599" t="s">
        <v>358</v>
      </c>
      <c r="B22" s="600"/>
      <c r="C22" s="601"/>
      <c r="D22" s="601"/>
      <c r="E22" s="601"/>
      <c r="F22" s="601"/>
      <c r="G22" s="601"/>
      <c r="H22" s="601"/>
      <c r="I22" s="601"/>
      <c r="J22" s="602">
        <v>3</v>
      </c>
      <c r="K22" s="603">
        <v>0</v>
      </c>
      <c r="L22" s="602">
        <v>2</v>
      </c>
      <c r="M22" s="604">
        <v>0</v>
      </c>
      <c r="N22" s="605">
        <f t="shared" ref="N22:N53" si="0">SUM(B22:M22)</f>
        <v>5</v>
      </c>
      <c r="O22" s="606">
        <f t="shared" ref="O22:O53" si="1">AVERAGE(B22:M22)</f>
        <v>1.25</v>
      </c>
      <c r="P22" s="607">
        <f>(N22/N100)*100</f>
        <v>0.17940437746681021</v>
      </c>
      <c r="Q22" s="608"/>
      <c r="R22" s="376"/>
      <c r="S22" s="609"/>
      <c r="T22" s="610">
        <v>45261</v>
      </c>
      <c r="U22" s="610">
        <v>45231</v>
      </c>
      <c r="V22" s="610">
        <v>45200</v>
      </c>
      <c r="W22" s="610">
        <v>45170</v>
      </c>
      <c r="X22" s="610">
        <v>45139</v>
      </c>
      <c r="Y22" s="610">
        <v>45108</v>
      </c>
      <c r="Z22" s="610">
        <v>45078</v>
      </c>
      <c r="AA22" s="610">
        <v>45047</v>
      </c>
      <c r="AB22" s="610">
        <v>45017</v>
      </c>
      <c r="AC22" s="610">
        <v>44986</v>
      </c>
      <c r="AD22" s="610">
        <v>44958</v>
      </c>
      <c r="AE22" s="611">
        <v>44927</v>
      </c>
      <c r="AF22" s="612" t="s">
        <v>5</v>
      </c>
      <c r="AG22" s="613" t="s">
        <v>6</v>
      </c>
      <c r="AH22" s="598">
        <v>84</v>
      </c>
      <c r="AI22" s="598">
        <v>49</v>
      </c>
      <c r="AJ22" s="598">
        <v>90</v>
      </c>
      <c r="AK22" s="598">
        <v>117</v>
      </c>
      <c r="AL22" s="598">
        <v>58</v>
      </c>
      <c r="AM22" s="598">
        <v>49</v>
      </c>
      <c r="AN22" s="598">
        <v>22</v>
      </c>
      <c r="AO22" s="253"/>
    </row>
    <row r="23" spans="1:41" s="265" customFormat="1" ht="24.95" customHeight="1" thickBot="1">
      <c r="A23" s="614" t="s">
        <v>359</v>
      </c>
      <c r="B23" s="600"/>
      <c r="C23" s="601"/>
      <c r="D23" s="601"/>
      <c r="E23" s="601"/>
      <c r="F23" s="601"/>
      <c r="G23" s="601"/>
      <c r="H23" s="601"/>
      <c r="I23" s="601"/>
      <c r="J23" s="615">
        <v>1</v>
      </c>
      <c r="K23" s="616">
        <v>0</v>
      </c>
      <c r="L23" s="615">
        <v>5</v>
      </c>
      <c r="M23" s="604">
        <v>0</v>
      </c>
      <c r="N23" s="605">
        <f t="shared" si="0"/>
        <v>6</v>
      </c>
      <c r="O23" s="606">
        <f t="shared" si="1"/>
        <v>1.5</v>
      </c>
      <c r="P23" s="607">
        <f>(N23/N100)*100</f>
        <v>0.2152852529601722</v>
      </c>
      <c r="Q23" s="608"/>
      <c r="R23" s="376"/>
      <c r="S23" s="873" t="s">
        <v>360</v>
      </c>
      <c r="T23" s="873"/>
      <c r="U23" s="873"/>
      <c r="V23" s="873"/>
      <c r="W23" s="873"/>
      <c r="X23" s="873"/>
      <c r="Y23" s="873"/>
      <c r="Z23" s="873"/>
      <c r="AA23" s="873"/>
      <c r="AB23" s="873"/>
      <c r="AC23" s="873"/>
      <c r="AD23" s="873"/>
      <c r="AE23" s="873"/>
      <c r="AF23" s="617"/>
      <c r="AG23" s="618"/>
      <c r="AH23" s="253"/>
      <c r="AI23" s="253"/>
      <c r="AJ23" s="253"/>
      <c r="AK23" s="253"/>
      <c r="AL23" s="253"/>
      <c r="AM23" s="253"/>
      <c r="AN23" s="253"/>
      <c r="AO23" s="253"/>
    </row>
    <row r="24" spans="1:41" s="265" customFormat="1" ht="24.95" customHeight="1" thickBot="1">
      <c r="A24" s="614" t="s">
        <v>226</v>
      </c>
      <c r="B24" s="619"/>
      <c r="C24" s="620"/>
      <c r="D24" s="621"/>
      <c r="E24" s="620"/>
      <c r="F24" s="620"/>
      <c r="G24" s="620"/>
      <c r="H24" s="620"/>
      <c r="I24" s="620"/>
      <c r="J24" s="615">
        <v>6</v>
      </c>
      <c r="K24" s="622">
        <v>3</v>
      </c>
      <c r="L24" s="615">
        <v>4</v>
      </c>
      <c r="M24" s="623">
        <v>6</v>
      </c>
      <c r="N24" s="624">
        <f t="shared" si="0"/>
        <v>19</v>
      </c>
      <c r="O24" s="625">
        <f t="shared" si="1"/>
        <v>4.75</v>
      </c>
      <c r="P24" s="626">
        <f t="shared" ref="P24:P55" si="2">(N24/$N$100)*100</f>
        <v>0.68173663437387877</v>
      </c>
      <c r="Q24" s="608"/>
      <c r="R24" s="376"/>
      <c r="S24" s="627" t="s">
        <v>5</v>
      </c>
      <c r="T24" s="628"/>
      <c r="U24" s="628"/>
      <c r="V24" s="628"/>
      <c r="W24" s="628"/>
      <c r="X24" s="628"/>
      <c r="Y24" s="628"/>
      <c r="Z24" s="628"/>
      <c r="AA24" s="628"/>
      <c r="AB24" s="628">
        <v>799</v>
      </c>
      <c r="AC24" s="628">
        <v>728</v>
      </c>
      <c r="AD24" s="628">
        <v>560</v>
      </c>
      <c r="AE24" s="629">
        <v>728</v>
      </c>
      <c r="AF24" s="630">
        <f>SUM(T24:AE24)</f>
        <v>2815</v>
      </c>
      <c r="AG24" s="631">
        <f>AVERAGE(T24:AE24)</f>
        <v>703.75</v>
      </c>
      <c r="AH24" s="253"/>
      <c r="AI24" s="253"/>
      <c r="AJ24" s="253"/>
      <c r="AK24" s="253"/>
      <c r="AL24" s="253"/>
      <c r="AM24" s="253"/>
      <c r="AN24" s="253"/>
      <c r="AO24" s="253"/>
    </row>
    <row r="25" spans="1:41" s="265" customFormat="1" ht="24.95" customHeight="1">
      <c r="A25" s="614" t="s">
        <v>361</v>
      </c>
      <c r="B25" s="619"/>
      <c r="C25" s="620"/>
      <c r="D25" s="621"/>
      <c r="E25" s="620"/>
      <c r="F25" s="620"/>
      <c r="G25" s="620"/>
      <c r="H25" s="620"/>
      <c r="I25" s="620"/>
      <c r="J25" s="615">
        <v>74</v>
      </c>
      <c r="K25" s="622">
        <v>53</v>
      </c>
      <c r="L25" s="615">
        <v>45</v>
      </c>
      <c r="M25" s="623">
        <v>55</v>
      </c>
      <c r="N25" s="624">
        <f t="shared" si="0"/>
        <v>227</v>
      </c>
      <c r="O25" s="625">
        <f t="shared" si="1"/>
        <v>56.75</v>
      </c>
      <c r="P25" s="626">
        <f t="shared" si="2"/>
        <v>8.144958736993182</v>
      </c>
      <c r="Q25" s="608"/>
      <c r="R25" s="376"/>
      <c r="S25" s="632"/>
      <c r="T25" s="633"/>
      <c r="U25" s="633"/>
      <c r="V25" s="633"/>
      <c r="W25" s="633"/>
      <c r="X25" s="633"/>
      <c r="Y25" s="634"/>
      <c r="Z25" s="635"/>
      <c r="AA25" s="633"/>
      <c r="AB25" s="633"/>
      <c r="AC25" s="633"/>
      <c r="AD25" s="633"/>
      <c r="AE25" s="634"/>
      <c r="AF25" s="636"/>
      <c r="AG25" s="637"/>
      <c r="AH25" s="638"/>
      <c r="AI25" s="253"/>
      <c r="AJ25" s="253"/>
      <c r="AK25" s="253"/>
      <c r="AL25" s="253"/>
      <c r="AM25" s="253"/>
      <c r="AN25" s="253"/>
      <c r="AO25" s="253"/>
    </row>
    <row r="26" spans="1:41" s="265" customFormat="1" ht="24.95" customHeight="1" thickBot="1">
      <c r="A26" s="614" t="s">
        <v>362</v>
      </c>
      <c r="B26" s="619"/>
      <c r="C26" s="620"/>
      <c r="D26" s="621"/>
      <c r="E26" s="620"/>
      <c r="F26" s="620"/>
      <c r="G26" s="620"/>
      <c r="H26" s="620"/>
      <c r="I26" s="620"/>
      <c r="J26" s="615">
        <v>11</v>
      </c>
      <c r="K26" s="622">
        <v>7</v>
      </c>
      <c r="L26" s="615">
        <v>5</v>
      </c>
      <c r="M26" s="623">
        <v>10</v>
      </c>
      <c r="N26" s="624">
        <f t="shared" si="0"/>
        <v>33</v>
      </c>
      <c r="O26" s="625">
        <f t="shared" si="1"/>
        <v>8.25</v>
      </c>
      <c r="P26" s="626">
        <f t="shared" si="2"/>
        <v>1.1840688912809472</v>
      </c>
      <c r="Q26" s="608"/>
      <c r="R26" s="376"/>
      <c r="S26" s="874" t="s">
        <v>363</v>
      </c>
      <c r="T26" s="874"/>
      <c r="U26" s="874"/>
      <c r="V26" s="874"/>
      <c r="W26" s="874"/>
      <c r="X26" s="874"/>
      <c r="Y26" s="874"/>
      <c r="Z26" s="874"/>
      <c r="AA26" s="874"/>
      <c r="AB26" s="874"/>
      <c r="AC26" s="874"/>
      <c r="AD26" s="874"/>
      <c r="AE26" s="874"/>
      <c r="AF26" s="639"/>
      <c r="AG26" s="640"/>
      <c r="AH26" s="638"/>
      <c r="AI26" s="253"/>
      <c r="AJ26" s="253"/>
      <c r="AK26" s="253"/>
      <c r="AL26" s="253"/>
      <c r="AM26" s="253"/>
      <c r="AN26" s="253"/>
      <c r="AO26" s="253"/>
    </row>
    <row r="27" spans="1:41" s="265" customFormat="1" ht="24.95" customHeight="1" thickBot="1">
      <c r="A27" s="614" t="s">
        <v>364</v>
      </c>
      <c r="B27" s="619"/>
      <c r="C27" s="620"/>
      <c r="D27" s="621"/>
      <c r="E27" s="620"/>
      <c r="F27" s="620"/>
      <c r="G27" s="620"/>
      <c r="H27" s="620"/>
      <c r="I27" s="620"/>
      <c r="J27" s="615">
        <v>12</v>
      </c>
      <c r="K27" s="622">
        <v>18</v>
      </c>
      <c r="L27" s="615">
        <v>13</v>
      </c>
      <c r="M27" s="623">
        <v>12</v>
      </c>
      <c r="N27" s="624">
        <f t="shared" si="0"/>
        <v>55</v>
      </c>
      <c r="O27" s="625">
        <f t="shared" si="1"/>
        <v>13.75</v>
      </c>
      <c r="P27" s="626">
        <f t="shared" si="2"/>
        <v>1.9734481521349121</v>
      </c>
      <c r="Q27" s="608"/>
      <c r="R27" s="376"/>
      <c r="S27" s="641" t="s">
        <v>365</v>
      </c>
      <c r="T27" s="642">
        <f t="shared" ref="T27:AB27" si="3">SUM(T28:T29)</f>
        <v>0</v>
      </c>
      <c r="U27" s="643">
        <f t="shared" si="3"/>
        <v>0</v>
      </c>
      <c r="V27" s="643">
        <f t="shared" si="3"/>
        <v>0</v>
      </c>
      <c r="W27" s="643">
        <f t="shared" si="3"/>
        <v>0</v>
      </c>
      <c r="X27" s="643">
        <f t="shared" si="3"/>
        <v>0</v>
      </c>
      <c r="Y27" s="643">
        <f t="shared" si="3"/>
        <v>0</v>
      </c>
      <c r="Z27" s="643">
        <f t="shared" si="3"/>
        <v>0</v>
      </c>
      <c r="AA27" s="643">
        <f t="shared" si="3"/>
        <v>0</v>
      </c>
      <c r="AB27" s="643">
        <f t="shared" si="3"/>
        <v>609</v>
      </c>
      <c r="AC27" s="643">
        <v>648</v>
      </c>
      <c r="AD27" s="643">
        <f>SUM(AD28:AD29)</f>
        <v>560</v>
      </c>
      <c r="AE27" s="643">
        <f>SUM(AE28:AE29)</f>
        <v>580</v>
      </c>
      <c r="AF27" s="644">
        <f>SUM(T27:AE27)</f>
        <v>2397</v>
      </c>
      <c r="AG27" s="631">
        <f>SUM(AG28:AG29)</f>
        <v>599.25</v>
      </c>
      <c r="AH27" s="638"/>
      <c r="AI27" s="253"/>
      <c r="AJ27" s="253"/>
      <c r="AK27" s="253"/>
      <c r="AL27" s="253"/>
      <c r="AM27" s="253"/>
      <c r="AN27" s="253"/>
      <c r="AO27" s="253"/>
    </row>
    <row r="28" spans="1:41" s="265" customFormat="1" ht="24.95" customHeight="1">
      <c r="A28" s="614" t="s">
        <v>366</v>
      </c>
      <c r="B28" s="619"/>
      <c r="C28" s="620"/>
      <c r="D28" s="621"/>
      <c r="E28" s="620"/>
      <c r="F28" s="620"/>
      <c r="G28" s="620"/>
      <c r="H28" s="620"/>
      <c r="I28" s="620"/>
      <c r="J28" s="615">
        <v>0</v>
      </c>
      <c r="K28" s="622">
        <v>1</v>
      </c>
      <c r="L28" s="615">
        <v>1</v>
      </c>
      <c r="M28" s="623">
        <v>1</v>
      </c>
      <c r="N28" s="624">
        <f t="shared" si="0"/>
        <v>3</v>
      </c>
      <c r="O28" s="625">
        <f t="shared" si="1"/>
        <v>0.75</v>
      </c>
      <c r="P28" s="626">
        <f t="shared" si="2"/>
        <v>0.1076426264800861</v>
      </c>
      <c r="Q28" s="608"/>
      <c r="R28" s="376"/>
      <c r="S28" s="645" t="s">
        <v>367</v>
      </c>
      <c r="T28" s="646"/>
      <c r="U28" s="647"/>
      <c r="V28" s="647"/>
      <c r="W28" s="647"/>
      <c r="X28" s="647"/>
      <c r="Y28" s="647"/>
      <c r="Z28" s="647"/>
      <c r="AA28" s="647"/>
      <c r="AB28" s="647">
        <v>491</v>
      </c>
      <c r="AC28" s="648">
        <v>527</v>
      </c>
      <c r="AD28" s="648">
        <v>435</v>
      </c>
      <c r="AE28" s="649">
        <v>471</v>
      </c>
      <c r="AF28" s="650">
        <f>SUM(T28:AE28)</f>
        <v>1924</v>
      </c>
      <c r="AG28" s="651">
        <f>AVERAGE(T28:AE28)</f>
        <v>481</v>
      </c>
      <c r="AH28" s="638"/>
      <c r="AI28" s="253"/>
      <c r="AJ28" s="253"/>
      <c r="AK28" s="253"/>
      <c r="AL28" s="253"/>
      <c r="AM28" s="253"/>
      <c r="AN28" s="253"/>
      <c r="AO28" s="253"/>
    </row>
    <row r="29" spans="1:41" s="265" customFormat="1" ht="24.95" customHeight="1" thickBot="1">
      <c r="A29" s="614" t="s">
        <v>368</v>
      </c>
      <c r="B29" s="619"/>
      <c r="C29" s="620"/>
      <c r="D29" s="621"/>
      <c r="E29" s="620"/>
      <c r="F29" s="620"/>
      <c r="G29" s="620"/>
      <c r="H29" s="620"/>
      <c r="I29" s="620"/>
      <c r="J29" s="615">
        <v>0</v>
      </c>
      <c r="K29" s="622">
        <v>0</v>
      </c>
      <c r="L29" s="615">
        <v>1</v>
      </c>
      <c r="M29" s="623">
        <v>1</v>
      </c>
      <c r="N29" s="624">
        <f t="shared" si="0"/>
        <v>2</v>
      </c>
      <c r="O29" s="625">
        <f t="shared" si="1"/>
        <v>0.5</v>
      </c>
      <c r="P29" s="626">
        <f t="shared" si="2"/>
        <v>7.1761750986724077E-2</v>
      </c>
      <c r="Q29" s="608"/>
      <c r="R29" s="376"/>
      <c r="S29" s="652" t="s">
        <v>369</v>
      </c>
      <c r="T29" s="653"/>
      <c r="U29" s="654"/>
      <c r="V29" s="654"/>
      <c r="W29" s="654"/>
      <c r="X29" s="654"/>
      <c r="Y29" s="654"/>
      <c r="Z29" s="654"/>
      <c r="AA29" s="654"/>
      <c r="AB29" s="654">
        <v>118</v>
      </c>
      <c r="AC29" s="655">
        <v>121</v>
      </c>
      <c r="AD29" s="655">
        <v>125</v>
      </c>
      <c r="AE29" s="656">
        <v>109</v>
      </c>
      <c r="AF29" s="657">
        <f>SUM(T29:AE29)</f>
        <v>473</v>
      </c>
      <c r="AG29" s="658">
        <f>AVERAGE(T29:AE29)</f>
        <v>118.25</v>
      </c>
      <c r="AH29" s="638"/>
      <c r="AI29" s="253"/>
      <c r="AJ29" s="253"/>
      <c r="AK29" s="253"/>
      <c r="AL29" s="253"/>
      <c r="AM29" s="253"/>
      <c r="AN29" s="253"/>
      <c r="AO29" s="253"/>
    </row>
    <row r="30" spans="1:41" s="265" customFormat="1" ht="24.95" customHeight="1" thickBot="1">
      <c r="A30" s="659" t="s">
        <v>370</v>
      </c>
      <c r="B30" s="660"/>
      <c r="C30" s="620"/>
      <c r="D30" s="661"/>
      <c r="E30" s="662"/>
      <c r="F30" s="662"/>
      <c r="G30" s="662"/>
      <c r="H30" s="662"/>
      <c r="I30" s="662"/>
      <c r="J30" s="615">
        <v>5</v>
      </c>
      <c r="K30" s="622">
        <v>3</v>
      </c>
      <c r="L30" s="615">
        <v>2</v>
      </c>
      <c r="M30" s="623">
        <v>1</v>
      </c>
      <c r="N30" s="624">
        <f t="shared" si="0"/>
        <v>11</v>
      </c>
      <c r="O30" s="625">
        <f t="shared" si="1"/>
        <v>2.75</v>
      </c>
      <c r="P30" s="626">
        <f t="shared" si="2"/>
        <v>0.39468963042698241</v>
      </c>
      <c r="Q30" s="608"/>
      <c r="R30" s="376"/>
      <c r="S30" s="663"/>
      <c r="T30" s="664"/>
      <c r="U30" s="664"/>
      <c r="V30" s="664"/>
      <c r="W30" s="664"/>
      <c r="X30" s="664"/>
      <c r="Y30" s="664"/>
      <c r="Z30" s="664"/>
      <c r="AA30" s="664"/>
      <c r="AB30" s="664"/>
      <c r="AC30" s="664"/>
      <c r="AD30" s="664"/>
      <c r="AE30" s="665"/>
      <c r="AF30" s="636"/>
      <c r="AG30" s="637"/>
      <c r="AH30" s="253"/>
      <c r="AI30" s="253"/>
      <c r="AJ30" s="253"/>
      <c r="AK30" s="253"/>
      <c r="AL30" s="253"/>
      <c r="AM30" s="253"/>
      <c r="AN30" s="253"/>
      <c r="AO30" s="253"/>
    </row>
    <row r="31" spans="1:41" s="265" customFormat="1" ht="36.75" customHeight="1" thickBot="1">
      <c r="A31" s="614" t="s">
        <v>371</v>
      </c>
      <c r="B31" s="619"/>
      <c r="C31" s="620"/>
      <c r="D31" s="621"/>
      <c r="E31" s="620"/>
      <c r="F31" s="620"/>
      <c r="G31" s="620"/>
      <c r="H31" s="620"/>
      <c r="I31" s="620"/>
      <c r="J31" s="615">
        <v>5</v>
      </c>
      <c r="K31" s="622">
        <v>4</v>
      </c>
      <c r="L31" s="615">
        <v>3</v>
      </c>
      <c r="M31" s="623">
        <v>5</v>
      </c>
      <c r="N31" s="624">
        <f t="shared" si="0"/>
        <v>17</v>
      </c>
      <c r="O31" s="625">
        <f t="shared" si="1"/>
        <v>4.25</v>
      </c>
      <c r="P31" s="626">
        <f t="shared" si="2"/>
        <v>0.60997488338715466</v>
      </c>
      <c r="Q31" s="608"/>
      <c r="R31" s="376"/>
      <c r="S31" s="875" t="s">
        <v>372</v>
      </c>
      <c r="T31" s="875"/>
      <c r="U31" s="875"/>
      <c r="V31" s="875"/>
      <c r="W31" s="875"/>
      <c r="X31" s="875"/>
      <c r="Y31" s="875"/>
      <c r="Z31" s="875"/>
      <c r="AA31" s="875"/>
      <c r="AB31" s="875"/>
      <c r="AC31" s="875"/>
      <c r="AD31" s="875"/>
      <c r="AE31" s="875"/>
      <c r="AF31" s="639"/>
      <c r="AG31" s="640"/>
      <c r="AH31" s="253"/>
      <c r="AI31" s="253"/>
      <c r="AJ31" s="253"/>
      <c r="AK31" s="253"/>
      <c r="AL31" s="253"/>
      <c r="AM31" s="253"/>
      <c r="AN31" s="253"/>
      <c r="AO31" s="253"/>
    </row>
    <row r="32" spans="1:41" s="265" customFormat="1" ht="27.75" customHeight="1" thickBot="1">
      <c r="A32" s="614" t="s">
        <v>373</v>
      </c>
      <c r="B32" s="619"/>
      <c r="C32" s="620"/>
      <c r="D32" s="621"/>
      <c r="E32" s="620"/>
      <c r="F32" s="620"/>
      <c r="G32" s="620"/>
      <c r="H32" s="620"/>
      <c r="I32" s="620"/>
      <c r="J32" s="615">
        <v>8</v>
      </c>
      <c r="K32" s="622">
        <v>9</v>
      </c>
      <c r="L32" s="615">
        <v>12</v>
      </c>
      <c r="M32" s="623">
        <v>7</v>
      </c>
      <c r="N32" s="624">
        <f t="shared" si="0"/>
        <v>36</v>
      </c>
      <c r="O32" s="625">
        <f t="shared" si="1"/>
        <v>9</v>
      </c>
      <c r="P32" s="626">
        <f t="shared" si="2"/>
        <v>1.2917115177610334</v>
      </c>
      <c r="Q32" s="608"/>
      <c r="R32" s="376"/>
      <c r="S32" s="666" t="s">
        <v>374</v>
      </c>
      <c r="T32" s="667"/>
      <c r="U32" s="668"/>
      <c r="V32" s="668"/>
      <c r="W32" s="668"/>
      <c r="X32" s="668"/>
      <c r="Y32" s="668"/>
      <c r="Z32" s="668"/>
      <c r="AA32" s="668"/>
      <c r="AB32" s="669">
        <v>76</v>
      </c>
      <c r="AC32" s="669">
        <v>80</v>
      </c>
      <c r="AD32" s="669">
        <v>51</v>
      </c>
      <c r="AE32" s="670">
        <v>80</v>
      </c>
      <c r="AF32" s="644">
        <f>SUM(T32:AE32)</f>
        <v>287</v>
      </c>
      <c r="AG32" s="631">
        <f>AVERAGE(T32:AE32)</f>
        <v>71.75</v>
      </c>
      <c r="AM32" s="253"/>
    </row>
    <row r="33" spans="1:40" s="265" customFormat="1" ht="34.5" thickBot="1">
      <c r="A33" s="671" t="s">
        <v>375</v>
      </c>
      <c r="B33" s="619"/>
      <c r="C33" s="620"/>
      <c r="D33" s="621"/>
      <c r="E33" s="620"/>
      <c r="F33" s="620"/>
      <c r="G33" s="620"/>
      <c r="H33" s="620"/>
      <c r="I33" s="620"/>
      <c r="J33" s="615">
        <v>2</v>
      </c>
      <c r="K33" s="622">
        <v>6</v>
      </c>
      <c r="L33" s="615">
        <v>1</v>
      </c>
      <c r="M33" s="623">
        <v>8</v>
      </c>
      <c r="N33" s="624">
        <f t="shared" si="0"/>
        <v>17</v>
      </c>
      <c r="O33" s="625">
        <f t="shared" si="1"/>
        <v>4.25</v>
      </c>
      <c r="P33" s="626">
        <f t="shared" si="2"/>
        <v>0.60997488338715466</v>
      </c>
      <c r="Q33" s="608"/>
      <c r="R33" s="376"/>
      <c r="S33" s="672" t="s">
        <v>376</v>
      </c>
      <c r="T33" s="673">
        <f t="shared" ref="T33:AA33" si="4">SUM(T34:T35)</f>
        <v>0</v>
      </c>
      <c r="U33" s="673">
        <f t="shared" si="4"/>
        <v>0</v>
      </c>
      <c r="V33" s="673">
        <f t="shared" si="4"/>
        <v>0</v>
      </c>
      <c r="W33" s="673">
        <f t="shared" si="4"/>
        <v>0</v>
      </c>
      <c r="X33" s="673">
        <f t="shared" si="4"/>
        <v>0</v>
      </c>
      <c r="Y33" s="673">
        <f t="shared" si="4"/>
        <v>0</v>
      </c>
      <c r="Z33" s="673">
        <f t="shared" si="4"/>
        <v>0</v>
      </c>
      <c r="AA33" s="673">
        <f t="shared" si="4"/>
        <v>0</v>
      </c>
      <c r="AB33" s="673">
        <v>63</v>
      </c>
      <c r="AC33" s="673">
        <v>50</v>
      </c>
      <c r="AD33" s="673">
        <f>SUM(AD34:AD35)</f>
        <v>46</v>
      </c>
      <c r="AE33" s="673">
        <f>SUM(AE34:AE35)</f>
        <v>63</v>
      </c>
      <c r="AF33" s="644">
        <f>SUM(T33:AE33)</f>
        <v>222</v>
      </c>
      <c r="AG33" s="631">
        <f>SUM(AG34:AG35)</f>
        <v>55.5</v>
      </c>
      <c r="AM33" s="253"/>
    </row>
    <row r="34" spans="1:40" s="265" customFormat="1" ht="23.25">
      <c r="A34" s="614" t="s">
        <v>377</v>
      </c>
      <c r="B34" s="619"/>
      <c r="C34" s="620"/>
      <c r="D34" s="621"/>
      <c r="E34" s="620"/>
      <c r="F34" s="620"/>
      <c r="G34" s="620"/>
      <c r="H34" s="620"/>
      <c r="I34" s="620"/>
      <c r="J34" s="615">
        <v>50</v>
      </c>
      <c r="K34" s="622">
        <v>34</v>
      </c>
      <c r="L34" s="615">
        <v>52</v>
      </c>
      <c r="M34" s="623">
        <v>52</v>
      </c>
      <c r="N34" s="624">
        <f t="shared" si="0"/>
        <v>188</v>
      </c>
      <c r="O34" s="625">
        <f t="shared" si="1"/>
        <v>47</v>
      </c>
      <c r="P34" s="626">
        <f t="shared" si="2"/>
        <v>6.7456045927520636</v>
      </c>
      <c r="Q34" s="608"/>
      <c r="R34" s="376"/>
      <c r="S34" s="674" t="s">
        <v>378</v>
      </c>
      <c r="T34" s="675"/>
      <c r="U34" s="676"/>
      <c r="V34" s="677"/>
      <c r="W34" s="678"/>
      <c r="X34" s="676"/>
      <c r="Y34" s="676"/>
      <c r="Z34" s="678"/>
      <c r="AA34" s="676"/>
      <c r="AB34" s="676">
        <v>48</v>
      </c>
      <c r="AC34" s="676">
        <v>30</v>
      </c>
      <c r="AD34" s="676">
        <v>24</v>
      </c>
      <c r="AE34" s="679">
        <v>47</v>
      </c>
      <c r="AF34" s="680">
        <f>SUM(T34:AE34)</f>
        <v>149</v>
      </c>
      <c r="AG34" s="681">
        <f>AVERAGE(T34:AE34)</f>
        <v>37.25</v>
      </c>
      <c r="AM34" s="253"/>
      <c r="AN34" s="253"/>
    </row>
    <row r="35" spans="1:40" s="265" customFormat="1" ht="24" thickBot="1">
      <c r="A35" s="614" t="s">
        <v>379</v>
      </c>
      <c r="B35" s="619"/>
      <c r="C35" s="620"/>
      <c r="D35" s="621"/>
      <c r="E35" s="620"/>
      <c r="F35" s="620"/>
      <c r="G35" s="620"/>
      <c r="H35" s="620"/>
      <c r="I35" s="620"/>
      <c r="J35" s="615">
        <v>1</v>
      </c>
      <c r="K35" s="622">
        <v>1</v>
      </c>
      <c r="L35" s="615">
        <v>2</v>
      </c>
      <c r="M35" s="623">
        <v>5</v>
      </c>
      <c r="N35" s="624">
        <f t="shared" si="0"/>
        <v>9</v>
      </c>
      <c r="O35" s="625">
        <f t="shared" si="1"/>
        <v>2.25</v>
      </c>
      <c r="P35" s="626">
        <f t="shared" si="2"/>
        <v>0.32292787944025836</v>
      </c>
      <c r="Q35" s="608"/>
      <c r="R35" s="376"/>
      <c r="S35" s="682" t="s">
        <v>369</v>
      </c>
      <c r="T35" s="683"/>
      <c r="U35" s="684"/>
      <c r="V35" s="684"/>
      <c r="W35" s="685"/>
      <c r="X35" s="684"/>
      <c r="Y35" s="684"/>
      <c r="Z35" s="685"/>
      <c r="AA35" s="684"/>
      <c r="AB35" s="684">
        <v>15</v>
      </c>
      <c r="AC35" s="684">
        <v>20</v>
      </c>
      <c r="AD35" s="684">
        <v>22</v>
      </c>
      <c r="AE35" s="686">
        <v>16</v>
      </c>
      <c r="AF35" s="687">
        <f>SUM(T35:AE35)</f>
        <v>73</v>
      </c>
      <c r="AG35" s="688">
        <f>AVERAGE(T35:AE35)</f>
        <v>18.25</v>
      </c>
      <c r="AM35" s="253"/>
      <c r="AN35" s="253"/>
    </row>
    <row r="36" spans="1:40" s="265" customFormat="1" ht="24" thickBot="1">
      <c r="A36" s="614" t="s">
        <v>380</v>
      </c>
      <c r="B36" s="619"/>
      <c r="C36" s="620"/>
      <c r="D36" s="621"/>
      <c r="E36" s="620"/>
      <c r="F36" s="620"/>
      <c r="G36" s="620"/>
      <c r="H36" s="620"/>
      <c r="I36" s="620"/>
      <c r="J36" s="615">
        <v>21</v>
      </c>
      <c r="K36" s="622">
        <v>23</v>
      </c>
      <c r="L36" s="615">
        <v>17</v>
      </c>
      <c r="M36" s="623">
        <v>12</v>
      </c>
      <c r="N36" s="624">
        <f t="shared" si="0"/>
        <v>73</v>
      </c>
      <c r="O36" s="625">
        <f t="shared" si="1"/>
        <v>18.25</v>
      </c>
      <c r="P36" s="626">
        <f t="shared" si="2"/>
        <v>2.6193039110154288</v>
      </c>
      <c r="Q36" s="2"/>
      <c r="R36" s="376"/>
      <c r="S36" s="663"/>
      <c r="T36" s="664"/>
      <c r="U36" s="664"/>
      <c r="V36" s="664"/>
      <c r="W36" s="664"/>
      <c r="X36" s="664"/>
      <c r="Y36" s="664"/>
      <c r="Z36" s="664"/>
      <c r="AA36" s="664"/>
      <c r="AB36" s="664"/>
      <c r="AC36" s="664"/>
      <c r="AD36" s="664"/>
      <c r="AE36" s="665"/>
      <c r="AF36" s="617"/>
      <c r="AG36" s="637"/>
      <c r="AM36" s="253"/>
      <c r="AN36" s="253"/>
    </row>
    <row r="37" spans="1:40" s="265" customFormat="1" ht="24" thickBot="1">
      <c r="A37" s="614" t="s">
        <v>381</v>
      </c>
      <c r="B37" s="619"/>
      <c r="C37" s="620"/>
      <c r="D37" s="621"/>
      <c r="E37" s="620"/>
      <c r="F37" s="620"/>
      <c r="G37" s="620"/>
      <c r="H37" s="620"/>
      <c r="I37" s="620"/>
      <c r="J37" s="615">
        <v>22</v>
      </c>
      <c r="K37" s="622">
        <v>17</v>
      </c>
      <c r="L37" s="615">
        <v>8</v>
      </c>
      <c r="M37" s="623">
        <v>14</v>
      </c>
      <c r="N37" s="624">
        <f t="shared" si="0"/>
        <v>61</v>
      </c>
      <c r="O37" s="625">
        <f t="shared" si="1"/>
        <v>15.25</v>
      </c>
      <c r="P37" s="626">
        <f t="shared" si="2"/>
        <v>2.1887334050950842</v>
      </c>
      <c r="Q37" s="2"/>
      <c r="R37" s="376"/>
      <c r="S37" s="876" t="s">
        <v>382</v>
      </c>
      <c r="T37" s="876"/>
      <c r="U37" s="876"/>
      <c r="V37" s="876"/>
      <c r="W37" s="876"/>
      <c r="X37" s="876"/>
      <c r="Y37" s="876"/>
      <c r="Z37" s="876"/>
      <c r="AA37" s="876"/>
      <c r="AB37" s="876"/>
      <c r="AC37" s="876"/>
      <c r="AD37" s="876"/>
      <c r="AE37" s="876"/>
      <c r="AF37" s="639"/>
      <c r="AG37" s="640"/>
      <c r="AM37" s="253"/>
      <c r="AN37" s="253"/>
    </row>
    <row r="38" spans="1:40" s="265" customFormat="1" ht="24" thickBot="1">
      <c r="A38" s="614" t="s">
        <v>383</v>
      </c>
      <c r="B38" s="619"/>
      <c r="C38" s="620"/>
      <c r="D38" s="621"/>
      <c r="E38" s="620"/>
      <c r="F38" s="620"/>
      <c r="G38" s="620"/>
      <c r="H38" s="620"/>
      <c r="I38" s="620"/>
      <c r="J38" s="615">
        <v>4</v>
      </c>
      <c r="K38" s="622">
        <v>5</v>
      </c>
      <c r="L38" s="615">
        <v>2</v>
      </c>
      <c r="M38" s="623">
        <v>4</v>
      </c>
      <c r="N38" s="624">
        <f t="shared" si="0"/>
        <v>15</v>
      </c>
      <c r="O38" s="625">
        <f t="shared" si="1"/>
        <v>3.75</v>
      </c>
      <c r="P38" s="626">
        <f t="shared" si="2"/>
        <v>0.53821313240043056</v>
      </c>
      <c r="Q38" s="2"/>
      <c r="R38" s="376"/>
      <c r="S38" s="689" t="s">
        <v>374</v>
      </c>
      <c r="T38" s="690"/>
      <c r="U38" s="691"/>
      <c r="V38" s="691"/>
      <c r="W38" s="691"/>
      <c r="X38" s="691"/>
      <c r="Y38" s="691"/>
      <c r="Z38" s="691"/>
      <c r="AA38" s="691"/>
      <c r="AB38" s="691">
        <v>43</v>
      </c>
      <c r="AC38" s="691">
        <v>65</v>
      </c>
      <c r="AD38" s="691">
        <v>48</v>
      </c>
      <c r="AE38" s="692">
        <v>37</v>
      </c>
      <c r="AF38" s="693">
        <f t="shared" ref="AF38:AF43" si="5">SUM(T38:AE38)</f>
        <v>193</v>
      </c>
      <c r="AG38" s="631">
        <f>AVERAGE(T38:AE38)</f>
        <v>48.25</v>
      </c>
      <c r="AM38" s="253"/>
      <c r="AN38" s="253"/>
    </row>
    <row r="39" spans="1:40" s="265" customFormat="1" ht="29.25" thickBot="1">
      <c r="A39" s="614" t="s">
        <v>384</v>
      </c>
      <c r="B39" s="619"/>
      <c r="C39" s="620"/>
      <c r="D39" s="621"/>
      <c r="E39" s="620"/>
      <c r="F39" s="620"/>
      <c r="G39" s="620"/>
      <c r="H39" s="620"/>
      <c r="I39" s="620"/>
      <c r="J39" s="615">
        <v>2</v>
      </c>
      <c r="K39" s="622">
        <v>0</v>
      </c>
      <c r="L39" s="615">
        <v>0</v>
      </c>
      <c r="M39" s="623">
        <v>2</v>
      </c>
      <c r="N39" s="624">
        <f t="shared" si="0"/>
        <v>4</v>
      </c>
      <c r="O39" s="625">
        <f t="shared" si="1"/>
        <v>1</v>
      </c>
      <c r="P39" s="626">
        <f t="shared" si="2"/>
        <v>0.14352350197344815</v>
      </c>
      <c r="Q39" s="2"/>
      <c r="R39" s="376"/>
      <c r="S39" s="694" t="s">
        <v>385</v>
      </c>
      <c r="T39" s="695">
        <f t="shared" ref="T39:AA39" si="6">SUM(T40:T41)</f>
        <v>0</v>
      </c>
      <c r="U39" s="695">
        <f t="shared" si="6"/>
        <v>0</v>
      </c>
      <c r="V39" s="695">
        <f t="shared" si="6"/>
        <v>0</v>
      </c>
      <c r="W39" s="695">
        <f t="shared" si="6"/>
        <v>0</v>
      </c>
      <c r="X39" s="695">
        <f t="shared" si="6"/>
        <v>0</v>
      </c>
      <c r="Y39" s="695">
        <f t="shared" si="6"/>
        <v>0</v>
      </c>
      <c r="Z39" s="695">
        <f t="shared" si="6"/>
        <v>0</v>
      </c>
      <c r="AA39" s="695">
        <f t="shared" si="6"/>
        <v>0</v>
      </c>
      <c r="AB39" s="695">
        <v>56</v>
      </c>
      <c r="AC39" s="695">
        <v>59</v>
      </c>
      <c r="AD39" s="695">
        <f>SUM(AD40:AD41)</f>
        <v>33</v>
      </c>
      <c r="AE39" s="696">
        <f>SUM(AE40:AE41)</f>
        <v>53</v>
      </c>
      <c r="AF39" s="697">
        <f t="shared" si="5"/>
        <v>201</v>
      </c>
      <c r="AG39" s="698">
        <f>SUM(AG40:AG41)</f>
        <v>50.25</v>
      </c>
      <c r="AM39" s="253"/>
      <c r="AN39" s="253"/>
    </row>
    <row r="40" spans="1:40" s="265" customFormat="1" ht="23.25">
      <c r="A40" s="614" t="s">
        <v>386</v>
      </c>
      <c r="B40" s="619"/>
      <c r="C40" s="620"/>
      <c r="D40" s="621"/>
      <c r="E40" s="620"/>
      <c r="F40" s="620"/>
      <c r="G40" s="620"/>
      <c r="H40" s="620"/>
      <c r="I40" s="620"/>
      <c r="J40" s="615">
        <v>37</v>
      </c>
      <c r="K40" s="622">
        <v>66</v>
      </c>
      <c r="L40" s="615">
        <v>40</v>
      </c>
      <c r="M40" s="623">
        <v>46</v>
      </c>
      <c r="N40" s="624">
        <f t="shared" si="0"/>
        <v>189</v>
      </c>
      <c r="O40" s="625">
        <f t="shared" si="1"/>
        <v>47.25</v>
      </c>
      <c r="P40" s="626">
        <f t="shared" si="2"/>
        <v>6.7814854682454255</v>
      </c>
      <c r="Q40" s="608"/>
      <c r="R40" s="376"/>
      <c r="S40" s="699" t="s">
        <v>378</v>
      </c>
      <c r="T40" s="700"/>
      <c r="U40" s="701"/>
      <c r="V40" s="702"/>
      <c r="W40" s="701"/>
      <c r="X40" s="702"/>
      <c r="Y40" s="702"/>
      <c r="Z40" s="701"/>
      <c r="AA40" s="701"/>
      <c r="AB40" s="701">
        <v>33</v>
      </c>
      <c r="AC40" s="701">
        <v>36</v>
      </c>
      <c r="AD40" s="701">
        <v>11</v>
      </c>
      <c r="AE40" s="703">
        <v>27</v>
      </c>
      <c r="AF40" s="704">
        <f t="shared" si="5"/>
        <v>107</v>
      </c>
      <c r="AG40" s="705">
        <f>AVERAGE(T40:AE40)</f>
        <v>26.75</v>
      </c>
      <c r="AM40" s="253"/>
      <c r="AN40" s="253"/>
    </row>
    <row r="41" spans="1:40" s="265" customFormat="1" ht="15.75" thickBot="1">
      <c r="A41" s="614" t="s">
        <v>387</v>
      </c>
      <c r="B41" s="619"/>
      <c r="C41" s="620"/>
      <c r="D41" s="621"/>
      <c r="E41" s="620"/>
      <c r="F41" s="620"/>
      <c r="G41" s="620"/>
      <c r="H41" s="620"/>
      <c r="I41" s="620"/>
      <c r="J41" s="615">
        <v>1</v>
      </c>
      <c r="K41" s="622">
        <v>3</v>
      </c>
      <c r="L41" s="615">
        <v>3</v>
      </c>
      <c r="M41" s="623">
        <v>2</v>
      </c>
      <c r="N41" s="624">
        <f t="shared" si="0"/>
        <v>9</v>
      </c>
      <c r="O41" s="625">
        <f t="shared" si="1"/>
        <v>2.25</v>
      </c>
      <c r="P41" s="626">
        <f t="shared" si="2"/>
        <v>0.32292787944025836</v>
      </c>
      <c r="Q41" s="2"/>
      <c r="R41" s="376"/>
      <c r="S41" s="706" t="s">
        <v>369</v>
      </c>
      <c r="T41" s="707"/>
      <c r="U41" s="702"/>
      <c r="V41" s="708"/>
      <c r="W41" s="702"/>
      <c r="X41" s="708"/>
      <c r="Y41" s="708"/>
      <c r="Z41" s="702"/>
      <c r="AA41" s="702"/>
      <c r="AB41" s="702">
        <v>23</v>
      </c>
      <c r="AC41" s="702">
        <v>23</v>
      </c>
      <c r="AD41" s="702">
        <v>22</v>
      </c>
      <c r="AE41" s="709">
        <v>26</v>
      </c>
      <c r="AF41" s="710">
        <f t="shared" si="5"/>
        <v>94</v>
      </c>
      <c r="AG41" s="711">
        <f>AVERAGE(T41:AE41)</f>
        <v>23.5</v>
      </c>
      <c r="AM41" s="253"/>
      <c r="AN41" s="253"/>
    </row>
    <row r="42" spans="1:40" s="265" customFormat="1" ht="24" thickBot="1">
      <c r="A42" s="614" t="s">
        <v>388</v>
      </c>
      <c r="B42" s="619"/>
      <c r="C42" s="620"/>
      <c r="D42" s="621"/>
      <c r="E42" s="620"/>
      <c r="F42" s="620"/>
      <c r="G42" s="620"/>
      <c r="H42" s="620"/>
      <c r="I42" s="620"/>
      <c r="J42" s="615">
        <v>18</v>
      </c>
      <c r="K42" s="622">
        <v>4</v>
      </c>
      <c r="L42" s="615">
        <v>3</v>
      </c>
      <c r="M42" s="623">
        <v>9</v>
      </c>
      <c r="N42" s="624">
        <f t="shared" si="0"/>
        <v>34</v>
      </c>
      <c r="O42" s="625">
        <f t="shared" si="1"/>
        <v>8.5</v>
      </c>
      <c r="P42" s="626">
        <f t="shared" si="2"/>
        <v>1.2199497667743093</v>
      </c>
      <c r="Q42" s="2"/>
      <c r="R42" s="376"/>
      <c r="S42" s="712" t="s">
        <v>389</v>
      </c>
      <c r="T42" s="690"/>
      <c r="U42" s="691"/>
      <c r="V42" s="691"/>
      <c r="W42" s="691"/>
      <c r="X42" s="691"/>
      <c r="Y42" s="691"/>
      <c r="Z42" s="691"/>
      <c r="AA42" s="691"/>
      <c r="AB42" s="691">
        <v>25</v>
      </c>
      <c r="AC42" s="691">
        <v>57</v>
      </c>
      <c r="AD42" s="691">
        <v>35</v>
      </c>
      <c r="AE42" s="692">
        <v>15</v>
      </c>
      <c r="AF42" s="713">
        <f t="shared" si="5"/>
        <v>132</v>
      </c>
      <c r="AG42" s="714">
        <f>AVERAGE(T42:AE42)</f>
        <v>33</v>
      </c>
      <c r="AM42" s="253"/>
      <c r="AN42" s="253"/>
    </row>
    <row r="43" spans="1:40" s="265" customFormat="1" ht="26.25" thickBot="1">
      <c r="A43" s="614" t="s">
        <v>390</v>
      </c>
      <c r="B43" s="619"/>
      <c r="C43" s="620"/>
      <c r="D43" s="621"/>
      <c r="E43" s="620"/>
      <c r="F43" s="620"/>
      <c r="G43" s="620"/>
      <c r="H43" s="620"/>
      <c r="I43" s="620"/>
      <c r="J43" s="615">
        <v>17</v>
      </c>
      <c r="K43" s="622">
        <v>17</v>
      </c>
      <c r="L43" s="615">
        <v>9</v>
      </c>
      <c r="M43" s="623">
        <v>8</v>
      </c>
      <c r="N43" s="624">
        <f t="shared" si="0"/>
        <v>51</v>
      </c>
      <c r="O43" s="625">
        <f t="shared" si="1"/>
        <v>12.75</v>
      </c>
      <c r="P43" s="626">
        <f t="shared" si="2"/>
        <v>1.8299246501614641</v>
      </c>
      <c r="Q43" s="2"/>
      <c r="R43" s="376"/>
      <c r="S43" s="715" t="s">
        <v>391</v>
      </c>
      <c r="T43" s="716"/>
      <c r="U43" s="717"/>
      <c r="V43" s="718"/>
      <c r="W43" s="718"/>
      <c r="X43" s="717"/>
      <c r="Y43" s="718"/>
      <c r="Z43" s="717"/>
      <c r="AA43" s="717"/>
      <c r="AB43" s="717">
        <v>17</v>
      </c>
      <c r="AC43" s="717">
        <v>27</v>
      </c>
      <c r="AD43" s="717">
        <v>10</v>
      </c>
      <c r="AE43" s="719">
        <v>3</v>
      </c>
      <c r="AF43" s="720">
        <f t="shared" si="5"/>
        <v>57</v>
      </c>
      <c r="AG43" s="698">
        <f>AVERAGE(T43:AE43)</f>
        <v>14.25</v>
      </c>
      <c r="AM43" s="253"/>
      <c r="AN43" s="253"/>
    </row>
    <row r="44" spans="1:40" s="265" customFormat="1" ht="34.5" thickBot="1">
      <c r="A44" s="671" t="s">
        <v>392</v>
      </c>
      <c r="B44" s="619"/>
      <c r="C44" s="620"/>
      <c r="D44" s="621"/>
      <c r="E44" s="620"/>
      <c r="F44" s="620"/>
      <c r="G44" s="620"/>
      <c r="H44" s="620"/>
      <c r="I44" s="620"/>
      <c r="J44" s="615">
        <v>45</v>
      </c>
      <c r="K44" s="622">
        <v>14</v>
      </c>
      <c r="L44" s="615">
        <v>10</v>
      </c>
      <c r="M44" s="623">
        <v>9</v>
      </c>
      <c r="N44" s="624">
        <f t="shared" si="0"/>
        <v>78</v>
      </c>
      <c r="O44" s="625">
        <f t="shared" si="1"/>
        <v>19.5</v>
      </c>
      <c r="P44" s="626">
        <f t="shared" si="2"/>
        <v>2.798708288482239</v>
      </c>
      <c r="Q44" s="2"/>
      <c r="R44" s="376"/>
      <c r="S44" s="721"/>
      <c r="T44" s="722"/>
      <c r="U44" s="722"/>
      <c r="V44" s="722"/>
      <c r="W44" s="722"/>
      <c r="X44" s="722"/>
      <c r="Y44" s="722"/>
      <c r="Z44" s="722"/>
      <c r="AA44" s="722"/>
      <c r="AB44" s="722"/>
      <c r="AC44" s="722"/>
      <c r="AD44" s="722"/>
      <c r="AE44" s="723"/>
      <c r="AF44" s="724"/>
      <c r="AG44" s="725"/>
      <c r="AM44" s="253"/>
      <c r="AN44" s="253"/>
    </row>
    <row r="45" spans="1:40" s="265" customFormat="1" ht="24" thickBot="1">
      <c r="A45" s="614" t="s">
        <v>393</v>
      </c>
      <c r="B45" s="619"/>
      <c r="C45" s="620"/>
      <c r="D45" s="621"/>
      <c r="E45" s="620"/>
      <c r="F45" s="620"/>
      <c r="G45" s="620"/>
      <c r="H45" s="620"/>
      <c r="I45" s="620"/>
      <c r="J45" s="615">
        <v>14</v>
      </c>
      <c r="K45" s="622">
        <v>14</v>
      </c>
      <c r="L45" s="615">
        <v>15</v>
      </c>
      <c r="M45" s="623">
        <v>15</v>
      </c>
      <c r="N45" s="624">
        <f t="shared" si="0"/>
        <v>58</v>
      </c>
      <c r="O45" s="625">
        <f t="shared" si="1"/>
        <v>14.5</v>
      </c>
      <c r="P45" s="626">
        <f t="shared" si="2"/>
        <v>2.0810907786149984</v>
      </c>
      <c r="Q45" s="2"/>
      <c r="R45" s="376"/>
      <c r="S45" s="871" t="s">
        <v>394</v>
      </c>
      <c r="T45" s="871"/>
      <c r="U45" s="871"/>
      <c r="V45" s="871"/>
      <c r="W45" s="871"/>
      <c r="X45" s="871"/>
      <c r="Y45" s="871"/>
      <c r="Z45" s="871"/>
      <c r="AA45" s="871"/>
      <c r="AB45" s="871"/>
      <c r="AC45" s="871"/>
      <c r="AD45" s="871"/>
      <c r="AE45" s="871"/>
      <c r="AF45" s="726"/>
      <c r="AG45" s="727"/>
      <c r="AM45" s="253"/>
      <c r="AN45" s="253"/>
    </row>
    <row r="46" spans="1:40" s="265" customFormat="1" ht="35.25" thickBot="1">
      <c r="A46" s="614" t="s">
        <v>395</v>
      </c>
      <c r="B46" s="619"/>
      <c r="C46" s="620"/>
      <c r="D46" s="621"/>
      <c r="E46" s="620"/>
      <c r="F46" s="620"/>
      <c r="G46" s="620"/>
      <c r="H46" s="620"/>
      <c r="I46" s="620"/>
      <c r="J46" s="615">
        <v>2</v>
      </c>
      <c r="K46" s="622">
        <v>1</v>
      </c>
      <c r="L46" s="615">
        <v>5</v>
      </c>
      <c r="M46" s="623">
        <v>4</v>
      </c>
      <c r="N46" s="624">
        <f t="shared" si="0"/>
        <v>12</v>
      </c>
      <c r="O46" s="625">
        <f t="shared" si="1"/>
        <v>3</v>
      </c>
      <c r="P46" s="626">
        <f t="shared" si="2"/>
        <v>0.4305705059203444</v>
      </c>
      <c r="Q46" s="2"/>
      <c r="R46" s="376"/>
      <c r="S46" s="728" t="s">
        <v>374</v>
      </c>
      <c r="T46" s="729"/>
      <c r="U46" s="730"/>
      <c r="V46" s="730"/>
      <c r="W46" s="730"/>
      <c r="X46" s="730"/>
      <c r="Y46" s="730"/>
      <c r="Z46" s="730"/>
      <c r="AA46" s="730"/>
      <c r="AB46" s="730">
        <v>7</v>
      </c>
      <c r="AC46" s="730">
        <v>9</v>
      </c>
      <c r="AD46" s="730">
        <v>11</v>
      </c>
      <c r="AE46" s="731">
        <v>8</v>
      </c>
      <c r="AF46" s="732">
        <f>SUM(T46:AE46)</f>
        <v>35</v>
      </c>
      <c r="AG46" s="714">
        <f>AVERAGE(T46:AE46)</f>
        <v>8.75</v>
      </c>
      <c r="AM46" s="253"/>
      <c r="AN46" s="253"/>
    </row>
    <row r="47" spans="1:40" s="265" customFormat="1" ht="35.25" thickBot="1">
      <c r="A47" s="614" t="s">
        <v>396</v>
      </c>
      <c r="B47" s="619"/>
      <c r="C47" s="620"/>
      <c r="D47" s="621"/>
      <c r="E47" s="620"/>
      <c r="F47" s="620"/>
      <c r="G47" s="620"/>
      <c r="H47" s="620"/>
      <c r="I47" s="620"/>
      <c r="J47" s="615">
        <v>12</v>
      </c>
      <c r="K47" s="622">
        <v>6</v>
      </c>
      <c r="L47" s="615">
        <v>5</v>
      </c>
      <c r="M47" s="623">
        <v>2</v>
      </c>
      <c r="N47" s="624">
        <f t="shared" si="0"/>
        <v>25</v>
      </c>
      <c r="O47" s="625">
        <f t="shared" si="1"/>
        <v>6.25</v>
      </c>
      <c r="P47" s="626">
        <f t="shared" si="2"/>
        <v>0.89702188733405097</v>
      </c>
      <c r="Q47" s="2"/>
      <c r="R47" s="376"/>
      <c r="S47" s="733" t="s">
        <v>397</v>
      </c>
      <c r="T47" s="734">
        <f t="shared" ref="T47:AA47" si="7">SUM(T48:T49)</f>
        <v>0</v>
      </c>
      <c r="U47" s="734">
        <f t="shared" si="7"/>
        <v>0</v>
      </c>
      <c r="V47" s="734">
        <f t="shared" si="7"/>
        <v>0</v>
      </c>
      <c r="W47" s="734">
        <f t="shared" si="7"/>
        <v>0</v>
      </c>
      <c r="X47" s="734">
        <f t="shared" si="7"/>
        <v>0</v>
      </c>
      <c r="Y47" s="734">
        <f t="shared" si="7"/>
        <v>0</v>
      </c>
      <c r="Z47" s="734">
        <f t="shared" si="7"/>
        <v>0</v>
      </c>
      <c r="AA47" s="734">
        <f t="shared" si="7"/>
        <v>0</v>
      </c>
      <c r="AB47" s="734">
        <v>18</v>
      </c>
      <c r="AC47" s="735">
        <v>21</v>
      </c>
      <c r="AD47" s="734">
        <f>SUM(AD48:AD49)</f>
        <v>3</v>
      </c>
      <c r="AE47" s="736">
        <f>SUM(AE48:AE49)</f>
        <v>35</v>
      </c>
      <c r="AF47" s="697">
        <f>SUM(T47:AE47)</f>
        <v>77</v>
      </c>
      <c r="AG47" s="698">
        <f>SUM(AG48:AG49)</f>
        <v>19.25</v>
      </c>
      <c r="AM47" s="253"/>
      <c r="AN47" s="253"/>
    </row>
    <row r="48" spans="1:40" s="265" customFormat="1" ht="23.25">
      <c r="A48" s="614" t="s">
        <v>398</v>
      </c>
      <c r="B48" s="619"/>
      <c r="C48" s="620"/>
      <c r="D48" s="621"/>
      <c r="E48" s="620"/>
      <c r="F48" s="620"/>
      <c r="G48" s="620"/>
      <c r="H48" s="620"/>
      <c r="I48" s="620"/>
      <c r="J48" s="615">
        <v>43</v>
      </c>
      <c r="K48" s="622">
        <v>79</v>
      </c>
      <c r="L48" s="615">
        <v>56</v>
      </c>
      <c r="M48" s="623">
        <v>38</v>
      </c>
      <c r="N48" s="624">
        <f t="shared" si="0"/>
        <v>216</v>
      </c>
      <c r="O48" s="625">
        <f t="shared" si="1"/>
        <v>54</v>
      </c>
      <c r="P48" s="626">
        <f t="shared" si="2"/>
        <v>7.7502691065662006</v>
      </c>
      <c r="Q48" s="2"/>
      <c r="R48" s="376"/>
      <c r="S48" s="737" t="s">
        <v>378</v>
      </c>
      <c r="T48" s="738"/>
      <c r="U48" s="739"/>
      <c r="V48" s="739"/>
      <c r="W48" s="739"/>
      <c r="X48" s="739"/>
      <c r="Y48" s="740"/>
      <c r="Z48" s="739"/>
      <c r="AA48" s="739"/>
      <c r="AB48" s="739">
        <v>0</v>
      </c>
      <c r="AC48" s="739">
        <v>1</v>
      </c>
      <c r="AD48" s="739">
        <v>3</v>
      </c>
      <c r="AE48" s="741">
        <v>3</v>
      </c>
      <c r="AF48" s="704">
        <f>SUM(T48:AE48)</f>
        <v>7</v>
      </c>
      <c r="AG48" s="705">
        <f>AVERAGE(T48:AE48)</f>
        <v>1.75</v>
      </c>
      <c r="AM48" s="253"/>
      <c r="AN48" s="253"/>
    </row>
    <row r="49" spans="1:55" ht="24" thickBot="1">
      <c r="A49" s="614" t="s">
        <v>399</v>
      </c>
      <c r="B49" s="619"/>
      <c r="C49" s="620"/>
      <c r="D49" s="621"/>
      <c r="E49" s="620"/>
      <c r="F49" s="620"/>
      <c r="G49" s="620"/>
      <c r="H49" s="620"/>
      <c r="I49" s="620"/>
      <c r="J49" s="615">
        <v>5</v>
      </c>
      <c r="K49" s="622">
        <v>7</v>
      </c>
      <c r="L49" s="615">
        <v>5</v>
      </c>
      <c r="M49" s="623">
        <v>7</v>
      </c>
      <c r="N49" s="624">
        <f t="shared" si="0"/>
        <v>24</v>
      </c>
      <c r="O49" s="625">
        <f t="shared" si="1"/>
        <v>6</v>
      </c>
      <c r="P49" s="626">
        <f t="shared" si="2"/>
        <v>0.86114101184068881</v>
      </c>
      <c r="Q49" s="2"/>
      <c r="R49" s="376"/>
      <c r="S49" s="742" t="s">
        <v>369</v>
      </c>
      <c r="T49" s="743"/>
      <c r="U49" s="744"/>
      <c r="V49" s="744"/>
      <c r="W49" s="744"/>
      <c r="X49" s="744"/>
      <c r="Y49" s="745"/>
      <c r="Z49" s="744"/>
      <c r="AA49" s="744"/>
      <c r="AB49" s="744">
        <v>18</v>
      </c>
      <c r="AC49" s="744">
        <v>20</v>
      </c>
      <c r="AD49" s="744">
        <v>0</v>
      </c>
      <c r="AE49" s="746">
        <v>32</v>
      </c>
      <c r="AF49" s="710">
        <f>SUM(T49:AE49)</f>
        <v>70</v>
      </c>
      <c r="AG49" s="711">
        <f>AVERAGE(T49:AE49)</f>
        <v>17.5</v>
      </c>
      <c r="AM49" s="253"/>
      <c r="AN49" s="253"/>
      <c r="BB49" s="265"/>
    </row>
    <row r="50" spans="1:55" ht="23.25">
      <c r="A50" s="614" t="s">
        <v>400</v>
      </c>
      <c r="B50" s="619"/>
      <c r="C50" s="620"/>
      <c r="D50" s="621"/>
      <c r="E50" s="620"/>
      <c r="F50" s="620"/>
      <c r="G50" s="620"/>
      <c r="H50" s="620"/>
      <c r="I50" s="620"/>
      <c r="J50" s="615">
        <v>0</v>
      </c>
      <c r="K50" s="622">
        <v>0</v>
      </c>
      <c r="L50" s="615">
        <v>1</v>
      </c>
      <c r="M50" s="623">
        <v>1</v>
      </c>
      <c r="N50" s="624">
        <f t="shared" si="0"/>
        <v>2</v>
      </c>
      <c r="O50" s="625">
        <f t="shared" si="1"/>
        <v>0.5</v>
      </c>
      <c r="P50" s="626">
        <f t="shared" si="2"/>
        <v>7.1761750986724077E-2</v>
      </c>
      <c r="Q50" s="2"/>
      <c r="R50" s="376"/>
      <c r="BC50" s="253"/>
    </row>
    <row r="51" spans="1:55" ht="23.25">
      <c r="A51" s="614" t="s">
        <v>401</v>
      </c>
      <c r="B51" s="619"/>
      <c r="C51" s="620"/>
      <c r="D51" s="621"/>
      <c r="E51" s="620"/>
      <c r="F51" s="620"/>
      <c r="G51" s="620"/>
      <c r="H51" s="620"/>
      <c r="I51" s="620"/>
      <c r="J51" s="615">
        <v>3</v>
      </c>
      <c r="K51" s="622">
        <v>3</v>
      </c>
      <c r="L51" s="615">
        <v>0</v>
      </c>
      <c r="M51" s="623">
        <v>4</v>
      </c>
      <c r="N51" s="624">
        <f t="shared" si="0"/>
        <v>10</v>
      </c>
      <c r="O51" s="625">
        <f t="shared" si="1"/>
        <v>2.5</v>
      </c>
      <c r="P51" s="626">
        <f t="shared" si="2"/>
        <v>0.35880875493362041</v>
      </c>
      <c r="Q51" s="2"/>
      <c r="R51" s="376"/>
      <c r="BC51" s="253"/>
    </row>
    <row r="52" spans="1:55" ht="22.5">
      <c r="A52" s="659" t="s">
        <v>402</v>
      </c>
      <c r="B52" s="660"/>
      <c r="C52" s="620"/>
      <c r="D52" s="747"/>
      <c r="E52" s="748"/>
      <c r="F52" s="748"/>
      <c r="G52" s="748"/>
      <c r="H52" s="748"/>
      <c r="I52" s="748"/>
      <c r="J52" s="615">
        <v>1</v>
      </c>
      <c r="K52" s="622">
        <v>1</v>
      </c>
      <c r="L52" s="615">
        <v>0</v>
      </c>
      <c r="M52" s="623">
        <v>1</v>
      </c>
      <c r="N52" s="624">
        <f t="shared" si="0"/>
        <v>3</v>
      </c>
      <c r="O52" s="625">
        <f t="shared" si="1"/>
        <v>0.75</v>
      </c>
      <c r="P52" s="626">
        <f t="shared" si="2"/>
        <v>0.1076426264800861</v>
      </c>
      <c r="Q52" s="608"/>
      <c r="R52" s="376"/>
      <c r="S52" s="749"/>
      <c r="AH52" s="575"/>
    </row>
    <row r="53" spans="1:55" ht="23.25">
      <c r="A53" s="614" t="s">
        <v>403</v>
      </c>
      <c r="B53" s="619"/>
      <c r="C53" s="620"/>
      <c r="D53" s="621"/>
      <c r="E53" s="620"/>
      <c r="F53" s="620"/>
      <c r="G53" s="620"/>
      <c r="H53" s="620"/>
      <c r="I53" s="620"/>
      <c r="J53" s="615">
        <v>121</v>
      </c>
      <c r="K53" s="622">
        <v>89</v>
      </c>
      <c r="L53" s="615">
        <v>65</v>
      </c>
      <c r="M53" s="623">
        <v>154</v>
      </c>
      <c r="N53" s="624">
        <f t="shared" si="0"/>
        <v>429</v>
      </c>
      <c r="O53" s="625">
        <f t="shared" si="1"/>
        <v>107.25</v>
      </c>
      <c r="P53" s="626">
        <f t="shared" si="2"/>
        <v>15.392895586652314</v>
      </c>
      <c r="Q53" s="2"/>
      <c r="R53" s="376"/>
      <c r="S53" s="749"/>
    </row>
    <row r="54" spans="1:55" ht="23.25">
      <c r="A54" s="614" t="s">
        <v>404</v>
      </c>
      <c r="B54" s="619"/>
      <c r="C54" s="620"/>
      <c r="D54" s="621"/>
      <c r="E54" s="620"/>
      <c r="F54" s="620"/>
      <c r="G54" s="620"/>
      <c r="H54" s="620"/>
      <c r="I54" s="620"/>
      <c r="J54" s="615">
        <v>17</v>
      </c>
      <c r="K54" s="622">
        <v>15</v>
      </c>
      <c r="L54" s="615">
        <v>7</v>
      </c>
      <c r="M54" s="623">
        <v>7</v>
      </c>
      <c r="N54" s="624">
        <f t="shared" ref="N54:N85" si="8">SUM(B54:M54)</f>
        <v>46</v>
      </c>
      <c r="O54" s="625">
        <f t="shared" ref="O54:O85" si="9">AVERAGE(B54:M54)</f>
        <v>11.5</v>
      </c>
      <c r="P54" s="626">
        <f t="shared" si="2"/>
        <v>1.6505202726946537</v>
      </c>
      <c r="Q54" s="2"/>
      <c r="R54" s="376"/>
      <c r="S54" s="749"/>
    </row>
    <row r="55" spans="1:55" ht="23.25">
      <c r="A55" s="614" t="s">
        <v>405</v>
      </c>
      <c r="B55" s="619"/>
      <c r="C55" s="620"/>
      <c r="D55" s="621"/>
      <c r="E55" s="620"/>
      <c r="F55" s="620"/>
      <c r="G55" s="620"/>
      <c r="H55" s="620"/>
      <c r="I55" s="620"/>
      <c r="J55" s="615">
        <v>37</v>
      </c>
      <c r="K55" s="622">
        <v>32</v>
      </c>
      <c r="L55" s="615">
        <v>24</v>
      </c>
      <c r="M55" s="623">
        <v>30</v>
      </c>
      <c r="N55" s="624">
        <f t="shared" si="8"/>
        <v>123</v>
      </c>
      <c r="O55" s="625">
        <f t="shared" si="9"/>
        <v>30.75</v>
      </c>
      <c r="P55" s="626">
        <f t="shared" si="2"/>
        <v>4.4133476856835312</v>
      </c>
      <c r="Q55" s="2"/>
      <c r="R55" s="376"/>
      <c r="S55" s="749"/>
    </row>
    <row r="56" spans="1:55" ht="23.25">
      <c r="A56" s="614" t="s">
        <v>406</v>
      </c>
      <c r="B56" s="619"/>
      <c r="C56" s="620"/>
      <c r="D56" s="621"/>
      <c r="E56" s="620"/>
      <c r="F56" s="620"/>
      <c r="G56" s="620"/>
      <c r="H56" s="620"/>
      <c r="I56" s="620"/>
      <c r="J56" s="615">
        <v>26</v>
      </c>
      <c r="K56" s="622">
        <v>22</v>
      </c>
      <c r="L56" s="615">
        <v>17</v>
      </c>
      <c r="M56" s="623">
        <v>20</v>
      </c>
      <c r="N56" s="624">
        <f t="shared" si="8"/>
        <v>85</v>
      </c>
      <c r="O56" s="625">
        <f t="shared" si="9"/>
        <v>21.25</v>
      </c>
      <c r="P56" s="626">
        <f t="shared" ref="P56:P87" si="10">(N56/$N$100)*100</f>
        <v>3.0498744169357734</v>
      </c>
      <c r="Q56" s="608"/>
      <c r="R56" s="376"/>
      <c r="S56" s="749"/>
    </row>
    <row r="57" spans="1:55" ht="23.25">
      <c r="A57" s="750" t="s">
        <v>407</v>
      </c>
      <c r="B57" s="619"/>
      <c r="C57" s="620"/>
      <c r="D57" s="621"/>
      <c r="E57" s="620"/>
      <c r="F57" s="620"/>
      <c r="G57" s="620"/>
      <c r="H57" s="620"/>
      <c r="I57" s="620"/>
      <c r="J57" s="615">
        <v>3</v>
      </c>
      <c r="K57" s="622">
        <v>1</v>
      </c>
      <c r="L57" s="615">
        <v>0</v>
      </c>
      <c r="M57" s="623">
        <v>1</v>
      </c>
      <c r="N57" s="624">
        <f t="shared" si="8"/>
        <v>5</v>
      </c>
      <c r="O57" s="625">
        <f t="shared" si="9"/>
        <v>1.25</v>
      </c>
      <c r="P57" s="626">
        <f t="shared" si="10"/>
        <v>0.17940437746681021</v>
      </c>
      <c r="Q57" s="608"/>
      <c r="R57" s="376"/>
      <c r="S57" s="749"/>
    </row>
    <row r="58" spans="1:55" ht="23.25">
      <c r="A58" s="614" t="s">
        <v>408</v>
      </c>
      <c r="B58" s="619"/>
      <c r="C58" s="620"/>
      <c r="D58" s="621"/>
      <c r="E58" s="620"/>
      <c r="F58" s="620"/>
      <c r="G58" s="620"/>
      <c r="H58" s="620"/>
      <c r="I58" s="620"/>
      <c r="J58" s="615">
        <v>20</v>
      </c>
      <c r="K58" s="622">
        <v>23</v>
      </c>
      <c r="L58" s="615">
        <v>14</v>
      </c>
      <c r="M58" s="623">
        <v>20</v>
      </c>
      <c r="N58" s="624">
        <f t="shared" si="8"/>
        <v>77</v>
      </c>
      <c r="O58" s="625">
        <f t="shared" si="9"/>
        <v>19.25</v>
      </c>
      <c r="P58" s="626">
        <f t="shared" si="10"/>
        <v>2.7628274129888766</v>
      </c>
      <c r="Q58" s="608"/>
      <c r="R58" s="376"/>
      <c r="S58" s="749"/>
    </row>
    <row r="59" spans="1:55" ht="23.25">
      <c r="A59" s="614" t="s">
        <v>409</v>
      </c>
      <c r="B59" s="619"/>
      <c r="C59" s="620"/>
      <c r="D59" s="621"/>
      <c r="E59" s="620"/>
      <c r="F59" s="620"/>
      <c r="G59" s="620"/>
      <c r="H59" s="620"/>
      <c r="I59" s="620"/>
      <c r="J59" s="615">
        <v>4</v>
      </c>
      <c r="K59" s="622">
        <v>0</v>
      </c>
      <c r="L59" s="615">
        <v>0</v>
      </c>
      <c r="M59" s="623">
        <v>0</v>
      </c>
      <c r="N59" s="624">
        <f t="shared" si="8"/>
        <v>4</v>
      </c>
      <c r="O59" s="625">
        <f t="shared" si="9"/>
        <v>1</v>
      </c>
      <c r="P59" s="626">
        <f t="shared" si="10"/>
        <v>0.14352350197344815</v>
      </c>
      <c r="Q59" s="608"/>
      <c r="R59" s="376"/>
      <c r="S59" s="749"/>
    </row>
    <row r="60" spans="1:55">
      <c r="A60" s="614" t="s">
        <v>410</v>
      </c>
      <c r="B60" s="619"/>
      <c r="C60" s="620"/>
      <c r="D60" s="621"/>
      <c r="E60" s="620"/>
      <c r="F60" s="620"/>
      <c r="G60" s="620"/>
      <c r="H60" s="620"/>
      <c r="I60" s="620"/>
      <c r="J60" s="615">
        <v>14</v>
      </c>
      <c r="K60" s="622">
        <v>10</v>
      </c>
      <c r="L60" s="615">
        <v>5</v>
      </c>
      <c r="M60" s="623">
        <v>6</v>
      </c>
      <c r="N60" s="624">
        <f t="shared" si="8"/>
        <v>35</v>
      </c>
      <c r="O60" s="625">
        <f t="shared" si="9"/>
        <v>8.75</v>
      </c>
      <c r="P60" s="626">
        <f t="shared" si="10"/>
        <v>1.2558306422676713</v>
      </c>
      <c r="Q60" s="608"/>
      <c r="R60" s="376"/>
      <c r="S60" s="749"/>
    </row>
    <row r="61" spans="1:55">
      <c r="A61" s="751" t="s">
        <v>411</v>
      </c>
      <c r="B61" s="619"/>
      <c r="C61" s="620"/>
      <c r="D61" s="621"/>
      <c r="E61" s="620"/>
      <c r="F61" s="620"/>
      <c r="G61" s="620"/>
      <c r="H61" s="620"/>
      <c r="I61" s="620"/>
      <c r="J61" s="615">
        <v>3</v>
      </c>
      <c r="K61" s="622">
        <v>0</v>
      </c>
      <c r="L61" s="615">
        <v>0</v>
      </c>
      <c r="M61" s="623">
        <v>1</v>
      </c>
      <c r="N61" s="624">
        <f t="shared" si="8"/>
        <v>4</v>
      </c>
      <c r="O61" s="625">
        <f t="shared" si="9"/>
        <v>1</v>
      </c>
      <c r="P61" s="626">
        <f t="shared" si="10"/>
        <v>0.14352350197344815</v>
      </c>
      <c r="Q61" s="2"/>
      <c r="R61" s="376"/>
      <c r="S61" s="749"/>
      <c r="AL61" s="752"/>
    </row>
    <row r="62" spans="1:55" ht="34.5">
      <c r="A62" s="750" t="s">
        <v>412</v>
      </c>
      <c r="B62" s="619"/>
      <c r="C62" s="620"/>
      <c r="D62" s="621"/>
      <c r="E62" s="620"/>
      <c r="F62" s="620"/>
      <c r="G62" s="620"/>
      <c r="H62" s="620"/>
      <c r="I62" s="620"/>
      <c r="J62" s="615">
        <v>12</v>
      </c>
      <c r="K62" s="622">
        <v>9</v>
      </c>
      <c r="L62" s="615">
        <v>9</v>
      </c>
      <c r="M62" s="623">
        <v>3</v>
      </c>
      <c r="N62" s="624">
        <f t="shared" si="8"/>
        <v>33</v>
      </c>
      <c r="O62" s="625">
        <f t="shared" si="9"/>
        <v>8.25</v>
      </c>
      <c r="P62" s="626">
        <f t="shared" si="10"/>
        <v>1.1840688912809472</v>
      </c>
      <c r="Q62" s="2"/>
      <c r="R62" s="376"/>
      <c r="S62" s="749"/>
    </row>
    <row r="63" spans="1:55" ht="23.25">
      <c r="A63" s="750" t="s">
        <v>413</v>
      </c>
      <c r="B63" s="619"/>
      <c r="C63" s="620"/>
      <c r="D63" s="621"/>
      <c r="E63" s="620"/>
      <c r="F63" s="620"/>
      <c r="G63" s="620"/>
      <c r="H63" s="620"/>
      <c r="I63" s="620"/>
      <c r="J63" s="615">
        <v>3</v>
      </c>
      <c r="K63" s="622">
        <v>1</v>
      </c>
      <c r="L63" s="615">
        <v>0</v>
      </c>
      <c r="M63" s="623">
        <v>3</v>
      </c>
      <c r="N63" s="624">
        <f t="shared" si="8"/>
        <v>7</v>
      </c>
      <c r="O63" s="625">
        <f t="shared" si="9"/>
        <v>1.75</v>
      </c>
      <c r="P63" s="626">
        <f t="shared" si="10"/>
        <v>0.25116612845353431</v>
      </c>
      <c r="Q63" s="608"/>
      <c r="R63" s="376"/>
      <c r="S63" s="749"/>
    </row>
    <row r="64" spans="1:55" ht="34.5">
      <c r="A64" s="750" t="s">
        <v>414</v>
      </c>
      <c r="B64" s="619"/>
      <c r="C64" s="620"/>
      <c r="D64" s="621"/>
      <c r="E64" s="620"/>
      <c r="F64" s="620"/>
      <c r="G64" s="620"/>
      <c r="H64" s="620"/>
      <c r="I64" s="620"/>
      <c r="J64" s="615">
        <v>1</v>
      </c>
      <c r="K64" s="622">
        <v>1</v>
      </c>
      <c r="L64" s="615">
        <v>1</v>
      </c>
      <c r="M64" s="623">
        <v>0</v>
      </c>
      <c r="N64" s="624">
        <f t="shared" si="8"/>
        <v>3</v>
      </c>
      <c r="O64" s="625">
        <f t="shared" si="9"/>
        <v>0.75</v>
      </c>
      <c r="P64" s="626">
        <f t="shared" si="10"/>
        <v>0.1076426264800861</v>
      </c>
      <c r="Q64" s="608"/>
      <c r="R64" s="376"/>
      <c r="S64" s="749"/>
    </row>
    <row r="65" spans="1:38" ht="24.95" customHeight="1">
      <c r="A65" s="659" t="s">
        <v>415</v>
      </c>
      <c r="B65" s="660"/>
      <c r="C65" s="620"/>
      <c r="D65" s="747"/>
      <c r="E65" s="748"/>
      <c r="F65" s="748"/>
      <c r="G65" s="748"/>
      <c r="H65" s="748"/>
      <c r="I65" s="748"/>
      <c r="J65" s="615">
        <v>0</v>
      </c>
      <c r="K65" s="616">
        <v>0</v>
      </c>
      <c r="L65" s="615">
        <v>0</v>
      </c>
      <c r="M65" s="623">
        <v>0</v>
      </c>
      <c r="N65" s="624">
        <f t="shared" si="8"/>
        <v>0</v>
      </c>
      <c r="O65" s="625">
        <f t="shared" si="9"/>
        <v>0</v>
      </c>
      <c r="P65" s="626">
        <f t="shared" si="10"/>
        <v>0</v>
      </c>
      <c r="Q65" s="608"/>
      <c r="R65" s="376"/>
      <c r="S65" s="376"/>
    </row>
    <row r="66" spans="1:38" ht="24.95" customHeight="1">
      <c r="A66" s="614" t="s">
        <v>416</v>
      </c>
      <c r="B66" s="619"/>
      <c r="C66" s="620"/>
      <c r="D66" s="621"/>
      <c r="E66" s="620"/>
      <c r="F66" s="620"/>
      <c r="G66" s="620"/>
      <c r="H66" s="620"/>
      <c r="I66" s="620"/>
      <c r="J66" s="615">
        <v>3</v>
      </c>
      <c r="K66" s="622">
        <v>2</v>
      </c>
      <c r="L66" s="615">
        <v>1</v>
      </c>
      <c r="M66" s="623">
        <v>2</v>
      </c>
      <c r="N66" s="624">
        <f t="shared" si="8"/>
        <v>8</v>
      </c>
      <c r="O66" s="625">
        <f t="shared" si="9"/>
        <v>2</v>
      </c>
      <c r="P66" s="626">
        <f t="shared" si="10"/>
        <v>0.28704700394689631</v>
      </c>
      <c r="Q66" s="608"/>
      <c r="R66" s="376"/>
      <c r="S66" s="376"/>
    </row>
    <row r="67" spans="1:38" ht="24.95" customHeight="1">
      <c r="A67" s="614" t="s">
        <v>417</v>
      </c>
      <c r="B67" s="619"/>
      <c r="C67" s="620"/>
      <c r="D67" s="621"/>
      <c r="E67" s="620"/>
      <c r="F67" s="620"/>
      <c r="G67" s="620"/>
      <c r="H67" s="620"/>
      <c r="I67" s="620"/>
      <c r="J67" s="615">
        <v>4</v>
      </c>
      <c r="K67" s="622">
        <v>1</v>
      </c>
      <c r="L67" s="615">
        <v>1</v>
      </c>
      <c r="M67" s="623">
        <v>3</v>
      </c>
      <c r="N67" s="624">
        <f t="shared" si="8"/>
        <v>9</v>
      </c>
      <c r="O67" s="625">
        <f t="shared" si="9"/>
        <v>2.25</v>
      </c>
      <c r="P67" s="626">
        <f t="shared" si="10"/>
        <v>0.32292787944025836</v>
      </c>
      <c r="Q67" s="2"/>
      <c r="R67" s="376"/>
      <c r="S67" s="376"/>
      <c r="AL67" s="576"/>
    </row>
    <row r="68" spans="1:38" ht="24.95" customHeight="1">
      <c r="A68" s="614" t="s">
        <v>260</v>
      </c>
      <c r="B68" s="619"/>
      <c r="C68" s="620"/>
      <c r="D68" s="621"/>
      <c r="E68" s="620"/>
      <c r="F68" s="620"/>
      <c r="G68" s="620"/>
      <c r="H68" s="620"/>
      <c r="I68" s="620"/>
      <c r="J68" s="615">
        <v>4</v>
      </c>
      <c r="K68" s="622">
        <v>8</v>
      </c>
      <c r="L68" s="615">
        <v>6</v>
      </c>
      <c r="M68" s="623">
        <v>5</v>
      </c>
      <c r="N68" s="624">
        <f t="shared" si="8"/>
        <v>23</v>
      </c>
      <c r="O68" s="625">
        <f t="shared" si="9"/>
        <v>5.75</v>
      </c>
      <c r="P68" s="626">
        <f t="shared" si="10"/>
        <v>0.82526013634732687</v>
      </c>
      <c r="Q68" s="2"/>
      <c r="R68" s="376"/>
      <c r="S68" s="376"/>
      <c r="AL68" s="576"/>
    </row>
    <row r="69" spans="1:38" ht="24.95" customHeight="1">
      <c r="A69" s="614" t="s">
        <v>261</v>
      </c>
      <c r="B69" s="619"/>
      <c r="C69" s="620"/>
      <c r="D69" s="621"/>
      <c r="E69" s="620"/>
      <c r="F69" s="620"/>
      <c r="G69" s="620"/>
      <c r="H69" s="620"/>
      <c r="I69" s="620"/>
      <c r="J69" s="615">
        <v>2</v>
      </c>
      <c r="K69" s="622">
        <v>1</v>
      </c>
      <c r="L69" s="615">
        <v>0</v>
      </c>
      <c r="M69" s="623">
        <v>4</v>
      </c>
      <c r="N69" s="624">
        <f t="shared" si="8"/>
        <v>7</v>
      </c>
      <c r="O69" s="625">
        <f t="shared" si="9"/>
        <v>1.75</v>
      </c>
      <c r="P69" s="626">
        <f t="shared" si="10"/>
        <v>0.25116612845353431</v>
      </c>
      <c r="Q69" s="2"/>
      <c r="R69" s="376"/>
      <c r="S69" s="376"/>
      <c r="AL69" s="576"/>
    </row>
    <row r="70" spans="1:38" ht="24.95" customHeight="1">
      <c r="A70" s="614" t="s">
        <v>262</v>
      </c>
      <c r="B70" s="619"/>
      <c r="C70" s="620"/>
      <c r="D70" s="621"/>
      <c r="E70" s="620"/>
      <c r="F70" s="620"/>
      <c r="G70" s="620"/>
      <c r="H70" s="620"/>
      <c r="I70" s="620"/>
      <c r="J70" s="615">
        <v>2</v>
      </c>
      <c r="K70" s="622">
        <v>2</v>
      </c>
      <c r="L70" s="615">
        <v>1</v>
      </c>
      <c r="M70" s="623">
        <v>3</v>
      </c>
      <c r="N70" s="624">
        <f t="shared" si="8"/>
        <v>8</v>
      </c>
      <c r="O70" s="625">
        <f t="shared" si="9"/>
        <v>2</v>
      </c>
      <c r="P70" s="626">
        <f t="shared" si="10"/>
        <v>0.28704700394689631</v>
      </c>
      <c r="Q70" s="2"/>
      <c r="R70" s="376"/>
      <c r="S70" s="376"/>
      <c r="AL70" s="576"/>
    </row>
    <row r="71" spans="1:38" ht="24.95" customHeight="1">
      <c r="A71" s="614" t="s">
        <v>418</v>
      </c>
      <c r="B71" s="619"/>
      <c r="C71" s="620"/>
      <c r="D71" s="621"/>
      <c r="E71" s="620"/>
      <c r="F71" s="620"/>
      <c r="G71" s="620"/>
      <c r="H71" s="620"/>
      <c r="I71" s="620"/>
      <c r="J71" s="615">
        <v>2</v>
      </c>
      <c r="K71" s="622">
        <v>4</v>
      </c>
      <c r="L71" s="615">
        <v>0</v>
      </c>
      <c r="M71" s="623">
        <v>3</v>
      </c>
      <c r="N71" s="624">
        <f t="shared" si="8"/>
        <v>9</v>
      </c>
      <c r="O71" s="625">
        <f t="shared" si="9"/>
        <v>2.25</v>
      </c>
      <c r="P71" s="626">
        <f t="shared" si="10"/>
        <v>0.32292787944025836</v>
      </c>
      <c r="Q71" s="2"/>
      <c r="R71" s="376"/>
      <c r="S71" s="376"/>
      <c r="AL71" s="576"/>
    </row>
    <row r="72" spans="1:38" ht="24.95" customHeight="1">
      <c r="A72" s="614" t="s">
        <v>264</v>
      </c>
      <c r="B72" s="619"/>
      <c r="C72" s="620"/>
      <c r="D72" s="621"/>
      <c r="E72" s="620"/>
      <c r="F72" s="620"/>
      <c r="G72" s="620"/>
      <c r="H72" s="620"/>
      <c r="I72" s="620"/>
      <c r="J72" s="615">
        <v>3</v>
      </c>
      <c r="K72" s="622">
        <v>1</v>
      </c>
      <c r="L72" s="615">
        <v>1</v>
      </c>
      <c r="M72" s="623">
        <v>4</v>
      </c>
      <c r="N72" s="624">
        <f t="shared" si="8"/>
        <v>9</v>
      </c>
      <c r="O72" s="625">
        <f t="shared" si="9"/>
        <v>2.25</v>
      </c>
      <c r="P72" s="626">
        <f t="shared" si="10"/>
        <v>0.32292787944025836</v>
      </c>
      <c r="Q72" s="2"/>
      <c r="R72" s="376"/>
      <c r="S72" s="376"/>
    </row>
    <row r="73" spans="1:38" ht="24.95" customHeight="1">
      <c r="A73" s="614" t="s">
        <v>265</v>
      </c>
      <c r="B73" s="619"/>
      <c r="C73" s="620"/>
      <c r="D73" s="621"/>
      <c r="E73" s="620"/>
      <c r="F73" s="620"/>
      <c r="G73" s="620"/>
      <c r="H73" s="620"/>
      <c r="I73" s="620"/>
      <c r="J73" s="615">
        <v>1</v>
      </c>
      <c r="K73" s="622">
        <v>3</v>
      </c>
      <c r="L73" s="615">
        <v>0</v>
      </c>
      <c r="M73" s="623">
        <v>3</v>
      </c>
      <c r="N73" s="624">
        <f t="shared" si="8"/>
        <v>7</v>
      </c>
      <c r="O73" s="625">
        <f t="shared" si="9"/>
        <v>1.75</v>
      </c>
      <c r="P73" s="626">
        <f t="shared" si="10"/>
        <v>0.25116612845353431</v>
      </c>
      <c r="Q73" s="2"/>
      <c r="R73" s="376"/>
      <c r="S73" s="376"/>
    </row>
    <row r="74" spans="1:38" ht="24.95" customHeight="1">
      <c r="A74" s="614" t="s">
        <v>266</v>
      </c>
      <c r="B74" s="619"/>
      <c r="C74" s="620"/>
      <c r="D74" s="621"/>
      <c r="E74" s="620"/>
      <c r="F74" s="620"/>
      <c r="G74" s="620"/>
      <c r="H74" s="620"/>
      <c r="I74" s="620"/>
      <c r="J74" s="615">
        <v>2</v>
      </c>
      <c r="K74" s="622">
        <v>1</v>
      </c>
      <c r="L74" s="615">
        <v>0</v>
      </c>
      <c r="M74" s="623">
        <v>4</v>
      </c>
      <c r="N74" s="624">
        <f t="shared" si="8"/>
        <v>7</v>
      </c>
      <c r="O74" s="625">
        <f t="shared" si="9"/>
        <v>1.75</v>
      </c>
      <c r="P74" s="626">
        <f t="shared" si="10"/>
        <v>0.25116612845353431</v>
      </c>
      <c r="Q74" s="2"/>
      <c r="R74" s="376"/>
      <c r="S74" s="376"/>
    </row>
    <row r="75" spans="1:38" ht="24.95" customHeight="1">
      <c r="A75" s="614" t="s">
        <v>419</v>
      </c>
      <c r="B75" s="619"/>
      <c r="C75" s="620"/>
      <c r="D75" s="621"/>
      <c r="E75" s="620"/>
      <c r="F75" s="620"/>
      <c r="G75" s="620"/>
      <c r="H75" s="620"/>
      <c r="I75" s="620"/>
      <c r="J75" s="615">
        <v>1</v>
      </c>
      <c r="K75" s="622">
        <v>1</v>
      </c>
      <c r="L75" s="615">
        <v>0</v>
      </c>
      <c r="M75" s="623">
        <v>3</v>
      </c>
      <c r="N75" s="624">
        <f t="shared" si="8"/>
        <v>5</v>
      </c>
      <c r="O75" s="625">
        <f t="shared" si="9"/>
        <v>1.25</v>
      </c>
      <c r="P75" s="626">
        <f t="shared" si="10"/>
        <v>0.17940437746681021</v>
      </c>
      <c r="Q75" s="2"/>
      <c r="R75" s="376"/>
      <c r="S75" s="376"/>
    </row>
    <row r="76" spans="1:38" ht="24.95" customHeight="1">
      <c r="A76" s="614" t="s">
        <v>268</v>
      </c>
      <c r="B76" s="619"/>
      <c r="C76" s="620"/>
      <c r="D76" s="621"/>
      <c r="E76" s="620"/>
      <c r="F76" s="620"/>
      <c r="G76" s="620"/>
      <c r="H76" s="620"/>
      <c r="I76" s="620"/>
      <c r="J76" s="615">
        <v>1</v>
      </c>
      <c r="K76" s="622">
        <v>2</v>
      </c>
      <c r="L76" s="615">
        <v>0</v>
      </c>
      <c r="M76" s="623">
        <v>3</v>
      </c>
      <c r="N76" s="624">
        <f t="shared" si="8"/>
        <v>6</v>
      </c>
      <c r="O76" s="625">
        <f t="shared" si="9"/>
        <v>1.5</v>
      </c>
      <c r="P76" s="626">
        <f t="shared" si="10"/>
        <v>0.2152852529601722</v>
      </c>
      <c r="Q76" s="2"/>
      <c r="R76" s="376"/>
      <c r="S76" s="376"/>
    </row>
    <row r="77" spans="1:38" ht="24.95" customHeight="1">
      <c r="A77" s="614" t="s">
        <v>269</v>
      </c>
      <c r="B77" s="619"/>
      <c r="C77" s="620"/>
      <c r="D77" s="621"/>
      <c r="E77" s="620"/>
      <c r="F77" s="620"/>
      <c r="G77" s="620"/>
      <c r="H77" s="620"/>
      <c r="I77" s="620"/>
      <c r="J77" s="615">
        <v>3</v>
      </c>
      <c r="K77" s="622">
        <v>7</v>
      </c>
      <c r="L77" s="615">
        <v>3</v>
      </c>
      <c r="M77" s="623">
        <v>4</v>
      </c>
      <c r="N77" s="624">
        <f t="shared" si="8"/>
        <v>17</v>
      </c>
      <c r="O77" s="625">
        <f t="shared" si="9"/>
        <v>4.25</v>
      </c>
      <c r="P77" s="626">
        <f t="shared" si="10"/>
        <v>0.60997488338715466</v>
      </c>
      <c r="Q77" s="2"/>
      <c r="R77" s="376"/>
      <c r="S77" s="376"/>
    </row>
    <row r="78" spans="1:38" ht="24.95" customHeight="1">
      <c r="A78" s="614" t="s">
        <v>270</v>
      </c>
      <c r="B78" s="619"/>
      <c r="C78" s="620"/>
      <c r="D78" s="621"/>
      <c r="E78" s="620"/>
      <c r="F78" s="620"/>
      <c r="G78" s="620"/>
      <c r="H78" s="620"/>
      <c r="I78" s="620"/>
      <c r="J78" s="615">
        <v>2</v>
      </c>
      <c r="K78" s="622">
        <v>0</v>
      </c>
      <c r="L78" s="615">
        <v>3</v>
      </c>
      <c r="M78" s="623">
        <v>4</v>
      </c>
      <c r="N78" s="624">
        <f t="shared" si="8"/>
        <v>9</v>
      </c>
      <c r="O78" s="625">
        <f t="shared" si="9"/>
        <v>2.25</v>
      </c>
      <c r="P78" s="626">
        <f t="shared" si="10"/>
        <v>0.32292787944025836</v>
      </c>
      <c r="Q78" s="2"/>
      <c r="R78" s="376"/>
      <c r="S78" s="376"/>
    </row>
    <row r="79" spans="1:38" ht="24.95" customHeight="1">
      <c r="A79" s="614" t="s">
        <v>271</v>
      </c>
      <c r="B79" s="619"/>
      <c r="C79" s="620"/>
      <c r="D79" s="621"/>
      <c r="E79" s="620"/>
      <c r="F79" s="620"/>
      <c r="G79" s="620"/>
      <c r="H79" s="620"/>
      <c r="I79" s="620"/>
      <c r="J79" s="615">
        <v>3</v>
      </c>
      <c r="K79" s="622">
        <v>2</v>
      </c>
      <c r="L79" s="615">
        <v>2</v>
      </c>
      <c r="M79" s="623">
        <v>7</v>
      </c>
      <c r="N79" s="624">
        <f t="shared" si="8"/>
        <v>14</v>
      </c>
      <c r="O79" s="625">
        <f t="shared" si="9"/>
        <v>3.5</v>
      </c>
      <c r="P79" s="626">
        <f t="shared" si="10"/>
        <v>0.50233225690706862</v>
      </c>
      <c r="Q79" s="2"/>
      <c r="R79" s="376"/>
      <c r="S79" s="376"/>
    </row>
    <row r="80" spans="1:38" ht="24.95" customHeight="1">
      <c r="A80" s="614" t="s">
        <v>272</v>
      </c>
      <c r="B80" s="619"/>
      <c r="C80" s="620"/>
      <c r="D80" s="621"/>
      <c r="E80" s="620"/>
      <c r="F80" s="620"/>
      <c r="G80" s="620"/>
      <c r="H80" s="620"/>
      <c r="I80" s="620"/>
      <c r="J80" s="615">
        <v>1</v>
      </c>
      <c r="K80" s="622">
        <v>1</v>
      </c>
      <c r="L80" s="615">
        <v>2</v>
      </c>
      <c r="M80" s="623">
        <v>4</v>
      </c>
      <c r="N80" s="624">
        <f t="shared" si="8"/>
        <v>8</v>
      </c>
      <c r="O80" s="625">
        <f t="shared" si="9"/>
        <v>2</v>
      </c>
      <c r="P80" s="626">
        <f t="shared" si="10"/>
        <v>0.28704700394689631</v>
      </c>
      <c r="Q80" s="2"/>
      <c r="R80" s="376"/>
      <c r="S80" s="376"/>
    </row>
    <row r="81" spans="1:19" ht="24.95" customHeight="1">
      <c r="A81" s="614" t="s">
        <v>273</v>
      </c>
      <c r="B81" s="619"/>
      <c r="C81" s="620"/>
      <c r="D81" s="621"/>
      <c r="E81" s="620"/>
      <c r="F81" s="620"/>
      <c r="G81" s="620"/>
      <c r="H81" s="620"/>
      <c r="I81" s="620"/>
      <c r="J81" s="615">
        <v>3</v>
      </c>
      <c r="K81" s="622">
        <v>4</v>
      </c>
      <c r="L81" s="615">
        <v>1</v>
      </c>
      <c r="M81" s="623">
        <v>3</v>
      </c>
      <c r="N81" s="624">
        <f t="shared" si="8"/>
        <v>11</v>
      </c>
      <c r="O81" s="625">
        <f t="shared" si="9"/>
        <v>2.75</v>
      </c>
      <c r="P81" s="626">
        <f t="shared" si="10"/>
        <v>0.39468963042698241</v>
      </c>
      <c r="Q81" s="2"/>
      <c r="R81" s="376"/>
      <c r="S81" s="376"/>
    </row>
    <row r="82" spans="1:19" ht="24.95" customHeight="1">
      <c r="A82" s="614" t="s">
        <v>274</v>
      </c>
      <c r="B82" s="619"/>
      <c r="C82" s="620"/>
      <c r="D82" s="621"/>
      <c r="E82" s="620"/>
      <c r="F82" s="620"/>
      <c r="G82" s="620"/>
      <c r="H82" s="620"/>
      <c r="I82" s="620"/>
      <c r="J82" s="615">
        <v>1</v>
      </c>
      <c r="K82" s="622">
        <v>6</v>
      </c>
      <c r="L82" s="615">
        <v>4</v>
      </c>
      <c r="M82" s="623">
        <v>4</v>
      </c>
      <c r="N82" s="624">
        <f t="shared" si="8"/>
        <v>15</v>
      </c>
      <c r="O82" s="625">
        <f t="shared" si="9"/>
        <v>3.75</v>
      </c>
      <c r="P82" s="626">
        <f t="shared" si="10"/>
        <v>0.53821313240043056</v>
      </c>
      <c r="Q82" s="2"/>
      <c r="R82" s="376"/>
      <c r="S82" s="376"/>
    </row>
    <row r="83" spans="1:19" ht="24.95" customHeight="1">
      <c r="A83" s="753" t="s">
        <v>420</v>
      </c>
      <c r="B83" s="619"/>
      <c r="C83" s="620"/>
      <c r="D83" s="621"/>
      <c r="E83" s="620"/>
      <c r="F83" s="620"/>
      <c r="G83" s="620"/>
      <c r="H83" s="620"/>
      <c r="I83" s="620"/>
      <c r="J83" s="615">
        <v>2</v>
      </c>
      <c r="K83" s="622">
        <v>1</v>
      </c>
      <c r="L83" s="615">
        <v>4</v>
      </c>
      <c r="M83" s="623">
        <v>3</v>
      </c>
      <c r="N83" s="624">
        <f t="shared" si="8"/>
        <v>10</v>
      </c>
      <c r="O83" s="625">
        <f t="shared" si="9"/>
        <v>2.5</v>
      </c>
      <c r="P83" s="626">
        <f t="shared" si="10"/>
        <v>0.35880875493362041</v>
      </c>
      <c r="Q83" s="2"/>
      <c r="R83" s="376"/>
      <c r="S83" s="376"/>
    </row>
    <row r="84" spans="1:19" ht="24.95" customHeight="1">
      <c r="A84" s="614" t="s">
        <v>276</v>
      </c>
      <c r="B84" s="619"/>
      <c r="C84" s="620"/>
      <c r="D84" s="621"/>
      <c r="E84" s="620"/>
      <c r="F84" s="620"/>
      <c r="G84" s="620"/>
      <c r="H84" s="620"/>
      <c r="I84" s="620"/>
      <c r="J84" s="615">
        <v>3</v>
      </c>
      <c r="K84" s="622">
        <v>5</v>
      </c>
      <c r="L84" s="615">
        <v>4</v>
      </c>
      <c r="M84" s="623">
        <v>3</v>
      </c>
      <c r="N84" s="624">
        <f t="shared" si="8"/>
        <v>15</v>
      </c>
      <c r="O84" s="625">
        <f t="shared" si="9"/>
        <v>3.75</v>
      </c>
      <c r="P84" s="626">
        <f t="shared" si="10"/>
        <v>0.53821313240043056</v>
      </c>
      <c r="Q84" s="2"/>
      <c r="R84" s="376"/>
      <c r="S84" s="376"/>
    </row>
    <row r="85" spans="1:19" ht="24.95" customHeight="1">
      <c r="A85" s="614" t="s">
        <v>277</v>
      </c>
      <c r="B85" s="619"/>
      <c r="C85" s="620"/>
      <c r="D85" s="621"/>
      <c r="E85" s="620"/>
      <c r="F85" s="620"/>
      <c r="G85" s="620"/>
      <c r="H85" s="620"/>
      <c r="I85" s="620"/>
      <c r="J85" s="615">
        <v>2</v>
      </c>
      <c r="K85" s="622">
        <v>2</v>
      </c>
      <c r="L85" s="615">
        <v>0</v>
      </c>
      <c r="M85" s="623">
        <v>3</v>
      </c>
      <c r="N85" s="624">
        <f t="shared" si="8"/>
        <v>7</v>
      </c>
      <c r="O85" s="625">
        <f t="shared" si="9"/>
        <v>1.75</v>
      </c>
      <c r="P85" s="626">
        <f t="shared" si="10"/>
        <v>0.25116612845353431</v>
      </c>
      <c r="Q85" s="2"/>
      <c r="R85" s="376"/>
      <c r="S85" s="376"/>
    </row>
    <row r="86" spans="1:19" ht="24.95" customHeight="1">
      <c r="A86" s="614" t="s">
        <v>278</v>
      </c>
      <c r="B86" s="619"/>
      <c r="C86" s="620"/>
      <c r="D86" s="621"/>
      <c r="E86" s="620"/>
      <c r="F86" s="620"/>
      <c r="G86" s="620"/>
      <c r="H86" s="620"/>
      <c r="I86" s="620"/>
      <c r="J86" s="615">
        <v>2</v>
      </c>
      <c r="K86" s="622">
        <v>3</v>
      </c>
      <c r="L86" s="615">
        <v>0</v>
      </c>
      <c r="M86" s="623">
        <v>4</v>
      </c>
      <c r="N86" s="624">
        <f t="shared" ref="N86:N99" si="11">SUM(B86:M86)</f>
        <v>9</v>
      </c>
      <c r="O86" s="625">
        <f t="shared" ref="O86:O100" si="12">AVERAGE(B86:M86)</f>
        <v>2.25</v>
      </c>
      <c r="P86" s="626">
        <f t="shared" si="10"/>
        <v>0.32292787944025836</v>
      </c>
      <c r="Q86" s="2"/>
      <c r="R86" s="376"/>
      <c r="S86" s="376"/>
    </row>
    <row r="87" spans="1:19" ht="24.95" customHeight="1">
      <c r="A87" s="614" t="s">
        <v>279</v>
      </c>
      <c r="B87" s="619"/>
      <c r="C87" s="620"/>
      <c r="D87" s="621"/>
      <c r="E87" s="620"/>
      <c r="F87" s="620"/>
      <c r="G87" s="620"/>
      <c r="H87" s="620"/>
      <c r="I87" s="620"/>
      <c r="J87" s="615">
        <v>2</v>
      </c>
      <c r="K87" s="622">
        <v>3</v>
      </c>
      <c r="L87" s="615">
        <v>0</v>
      </c>
      <c r="M87" s="623">
        <v>5</v>
      </c>
      <c r="N87" s="624">
        <f t="shared" si="11"/>
        <v>10</v>
      </c>
      <c r="O87" s="625">
        <f t="shared" si="12"/>
        <v>2.5</v>
      </c>
      <c r="P87" s="626">
        <f t="shared" si="10"/>
        <v>0.35880875493362041</v>
      </c>
      <c r="Q87" s="2"/>
      <c r="R87" s="376"/>
      <c r="S87" s="376"/>
    </row>
    <row r="88" spans="1:19" ht="24.95" customHeight="1">
      <c r="A88" s="614" t="s">
        <v>280</v>
      </c>
      <c r="B88" s="619"/>
      <c r="C88" s="620"/>
      <c r="D88" s="621"/>
      <c r="E88" s="620"/>
      <c r="F88" s="620"/>
      <c r="G88" s="620"/>
      <c r="H88" s="620"/>
      <c r="I88" s="620"/>
      <c r="J88" s="615">
        <v>6</v>
      </c>
      <c r="K88" s="622">
        <v>5</v>
      </c>
      <c r="L88" s="615">
        <v>7</v>
      </c>
      <c r="M88" s="623">
        <v>5</v>
      </c>
      <c r="N88" s="624">
        <f t="shared" si="11"/>
        <v>23</v>
      </c>
      <c r="O88" s="625">
        <f t="shared" si="12"/>
        <v>5.75</v>
      </c>
      <c r="P88" s="626">
        <f t="shared" ref="P88:P99" si="13">(N88/$N$100)*100</f>
        <v>0.82526013634732687</v>
      </c>
      <c r="Q88" s="2"/>
      <c r="R88" s="376"/>
      <c r="S88" s="376"/>
    </row>
    <row r="89" spans="1:19" ht="24.95" customHeight="1">
      <c r="A89" s="614" t="s">
        <v>281</v>
      </c>
      <c r="B89" s="619"/>
      <c r="C89" s="620"/>
      <c r="D89" s="621"/>
      <c r="E89" s="620"/>
      <c r="F89" s="620"/>
      <c r="G89" s="620"/>
      <c r="H89" s="620"/>
      <c r="I89" s="620"/>
      <c r="J89" s="615">
        <v>6</v>
      </c>
      <c r="K89" s="622">
        <v>4</v>
      </c>
      <c r="L89" s="615">
        <v>2</v>
      </c>
      <c r="M89" s="623">
        <v>4</v>
      </c>
      <c r="N89" s="624">
        <f t="shared" si="11"/>
        <v>16</v>
      </c>
      <c r="O89" s="625">
        <f t="shared" si="12"/>
        <v>4</v>
      </c>
      <c r="P89" s="626">
        <f t="shared" si="13"/>
        <v>0.57409400789379261</v>
      </c>
      <c r="Q89" s="2"/>
      <c r="R89" s="376"/>
      <c r="S89" s="376"/>
    </row>
    <row r="90" spans="1:19" ht="24.95" customHeight="1">
      <c r="A90" s="614" t="s">
        <v>282</v>
      </c>
      <c r="B90" s="619"/>
      <c r="C90" s="620"/>
      <c r="D90" s="621"/>
      <c r="E90" s="620"/>
      <c r="F90" s="620"/>
      <c r="G90" s="620"/>
      <c r="H90" s="620"/>
      <c r="I90" s="620"/>
      <c r="J90" s="615">
        <v>2</v>
      </c>
      <c r="K90" s="622">
        <v>4</v>
      </c>
      <c r="L90" s="615">
        <v>1</v>
      </c>
      <c r="M90" s="623">
        <v>4</v>
      </c>
      <c r="N90" s="624">
        <f t="shared" si="11"/>
        <v>11</v>
      </c>
      <c r="O90" s="625">
        <f t="shared" si="12"/>
        <v>2.75</v>
      </c>
      <c r="P90" s="626">
        <f t="shared" si="13"/>
        <v>0.39468963042698241</v>
      </c>
      <c r="Q90" s="2"/>
      <c r="R90" s="376"/>
      <c r="S90" s="376"/>
    </row>
    <row r="91" spans="1:19" ht="24.95" customHeight="1">
      <c r="A91" s="614" t="s">
        <v>283</v>
      </c>
      <c r="B91" s="619"/>
      <c r="C91" s="620"/>
      <c r="D91" s="621"/>
      <c r="E91" s="620"/>
      <c r="F91" s="620"/>
      <c r="G91" s="620"/>
      <c r="H91" s="620"/>
      <c r="I91" s="620"/>
      <c r="J91" s="615">
        <v>2</v>
      </c>
      <c r="K91" s="622">
        <v>2</v>
      </c>
      <c r="L91" s="615">
        <v>1</v>
      </c>
      <c r="M91" s="623">
        <v>4</v>
      </c>
      <c r="N91" s="624">
        <f t="shared" si="11"/>
        <v>9</v>
      </c>
      <c r="O91" s="625">
        <f t="shared" si="12"/>
        <v>2.25</v>
      </c>
      <c r="P91" s="626">
        <f t="shared" si="13"/>
        <v>0.32292787944025836</v>
      </c>
      <c r="Q91" s="2"/>
      <c r="R91" s="376"/>
      <c r="S91" s="376"/>
    </row>
    <row r="92" spans="1:19" ht="24.95" customHeight="1">
      <c r="A92" s="614" t="s">
        <v>284</v>
      </c>
      <c r="B92" s="619"/>
      <c r="C92" s="620"/>
      <c r="D92" s="621"/>
      <c r="E92" s="620"/>
      <c r="F92" s="620"/>
      <c r="G92" s="620"/>
      <c r="H92" s="620"/>
      <c r="I92" s="620"/>
      <c r="J92" s="615">
        <v>13</v>
      </c>
      <c r="K92" s="622">
        <v>6</v>
      </c>
      <c r="L92" s="615">
        <v>3</v>
      </c>
      <c r="M92" s="623">
        <v>6</v>
      </c>
      <c r="N92" s="624">
        <f t="shared" si="11"/>
        <v>28</v>
      </c>
      <c r="O92" s="625">
        <f t="shared" si="12"/>
        <v>7</v>
      </c>
      <c r="P92" s="626">
        <f t="shared" si="13"/>
        <v>1.0046645138141372</v>
      </c>
      <c r="Q92" s="2"/>
      <c r="R92" s="376"/>
      <c r="S92" s="376"/>
    </row>
    <row r="93" spans="1:19" ht="24.95" customHeight="1">
      <c r="A93" s="614" t="s">
        <v>285</v>
      </c>
      <c r="B93" s="619"/>
      <c r="C93" s="620"/>
      <c r="D93" s="621"/>
      <c r="E93" s="620"/>
      <c r="F93" s="620"/>
      <c r="G93" s="620"/>
      <c r="H93" s="620"/>
      <c r="I93" s="620"/>
      <c r="J93" s="615">
        <v>3</v>
      </c>
      <c r="K93" s="622">
        <v>2</v>
      </c>
      <c r="L93" s="615">
        <v>2</v>
      </c>
      <c r="M93" s="623">
        <v>5</v>
      </c>
      <c r="N93" s="624">
        <f t="shared" si="11"/>
        <v>12</v>
      </c>
      <c r="O93" s="625">
        <f t="shared" si="12"/>
        <v>3</v>
      </c>
      <c r="P93" s="626">
        <f t="shared" si="13"/>
        <v>0.4305705059203444</v>
      </c>
      <c r="Q93" s="2"/>
      <c r="R93" s="376"/>
      <c r="S93" s="376"/>
    </row>
    <row r="94" spans="1:19" ht="24.95" customHeight="1">
      <c r="A94" s="614" t="s">
        <v>286</v>
      </c>
      <c r="B94" s="619"/>
      <c r="C94" s="620"/>
      <c r="D94" s="621"/>
      <c r="E94" s="620"/>
      <c r="F94" s="620"/>
      <c r="G94" s="620"/>
      <c r="H94" s="620"/>
      <c r="I94" s="620"/>
      <c r="J94" s="615">
        <v>2</v>
      </c>
      <c r="K94" s="622">
        <v>1</v>
      </c>
      <c r="L94" s="615">
        <v>0</v>
      </c>
      <c r="M94" s="623">
        <v>3</v>
      </c>
      <c r="N94" s="624">
        <f t="shared" si="11"/>
        <v>6</v>
      </c>
      <c r="O94" s="625">
        <f t="shared" si="12"/>
        <v>1.5</v>
      </c>
      <c r="P94" s="626">
        <f t="shared" si="13"/>
        <v>0.2152852529601722</v>
      </c>
      <c r="Q94" s="2"/>
      <c r="R94" s="376"/>
      <c r="S94" s="376"/>
    </row>
    <row r="95" spans="1:19" ht="24.95" customHeight="1">
      <c r="A95" s="614" t="s">
        <v>287</v>
      </c>
      <c r="B95" s="619"/>
      <c r="C95" s="620"/>
      <c r="D95" s="621"/>
      <c r="E95" s="620"/>
      <c r="F95" s="620"/>
      <c r="G95" s="620"/>
      <c r="H95" s="620"/>
      <c r="I95" s="620"/>
      <c r="J95" s="615">
        <v>7</v>
      </c>
      <c r="K95" s="622">
        <v>5</v>
      </c>
      <c r="L95" s="615">
        <v>2</v>
      </c>
      <c r="M95" s="623">
        <v>8</v>
      </c>
      <c r="N95" s="624">
        <f t="shared" si="11"/>
        <v>22</v>
      </c>
      <c r="O95" s="625">
        <f t="shared" si="12"/>
        <v>5.5</v>
      </c>
      <c r="P95" s="626">
        <f t="shared" si="13"/>
        <v>0.78937926085396481</v>
      </c>
      <c r="Q95" s="2"/>
      <c r="R95" s="376"/>
      <c r="S95" s="376"/>
    </row>
    <row r="96" spans="1:19" ht="24.95" customHeight="1">
      <c r="A96" s="614" t="s">
        <v>288</v>
      </c>
      <c r="B96" s="619"/>
      <c r="C96" s="620"/>
      <c r="D96" s="621"/>
      <c r="E96" s="620"/>
      <c r="F96" s="620"/>
      <c r="G96" s="620"/>
      <c r="H96" s="620"/>
      <c r="I96" s="620"/>
      <c r="J96" s="615">
        <v>4</v>
      </c>
      <c r="K96" s="622">
        <v>3</v>
      </c>
      <c r="L96" s="615">
        <v>1</v>
      </c>
      <c r="M96" s="623">
        <v>4</v>
      </c>
      <c r="N96" s="624">
        <f t="shared" si="11"/>
        <v>12</v>
      </c>
      <c r="O96" s="625">
        <f t="shared" si="12"/>
        <v>3</v>
      </c>
      <c r="P96" s="626">
        <f t="shared" si="13"/>
        <v>0.4305705059203444</v>
      </c>
      <c r="Q96" s="2"/>
      <c r="R96" s="376"/>
      <c r="S96" s="376"/>
    </row>
    <row r="97" spans="1:34" ht="24.95" customHeight="1">
      <c r="A97" s="614" t="s">
        <v>289</v>
      </c>
      <c r="B97" s="619"/>
      <c r="C97" s="620"/>
      <c r="D97" s="621"/>
      <c r="E97" s="620"/>
      <c r="F97" s="620"/>
      <c r="G97" s="620"/>
      <c r="H97" s="620"/>
      <c r="I97" s="620"/>
      <c r="J97" s="615">
        <v>4</v>
      </c>
      <c r="K97" s="622">
        <v>6</v>
      </c>
      <c r="L97" s="615">
        <v>0</v>
      </c>
      <c r="M97" s="623">
        <v>5</v>
      </c>
      <c r="N97" s="624">
        <f t="shared" si="11"/>
        <v>15</v>
      </c>
      <c r="O97" s="625">
        <f t="shared" si="12"/>
        <v>3.75</v>
      </c>
      <c r="P97" s="626">
        <f t="shared" si="13"/>
        <v>0.53821313240043056</v>
      </c>
      <c r="Q97" s="2"/>
      <c r="R97" s="376"/>
      <c r="S97" s="376"/>
    </row>
    <row r="98" spans="1:34" ht="24.95" customHeight="1">
      <c r="A98" s="753" t="s">
        <v>290</v>
      </c>
      <c r="B98" s="754"/>
      <c r="C98" s="620"/>
      <c r="D98" s="755"/>
      <c r="E98" s="756"/>
      <c r="F98" s="757"/>
      <c r="G98" s="757"/>
      <c r="H98" s="757"/>
      <c r="I98" s="757"/>
      <c r="J98" s="615">
        <v>1</v>
      </c>
      <c r="K98" s="622">
        <v>2</v>
      </c>
      <c r="L98" s="615">
        <v>0</v>
      </c>
      <c r="M98" s="623">
        <v>4</v>
      </c>
      <c r="N98" s="624">
        <f t="shared" si="11"/>
        <v>7</v>
      </c>
      <c r="O98" s="758">
        <f t="shared" si="12"/>
        <v>1.75</v>
      </c>
      <c r="P98" s="759">
        <f t="shared" si="13"/>
        <v>0.25116612845353431</v>
      </c>
      <c r="Q98" s="608"/>
      <c r="R98" s="376"/>
      <c r="S98" s="376"/>
      <c r="T98" s="760"/>
    </row>
    <row r="99" spans="1:34" ht="24.95" customHeight="1" thickBot="1">
      <c r="A99" s="761" t="s">
        <v>421</v>
      </c>
      <c r="B99" s="762"/>
      <c r="C99" s="763"/>
      <c r="D99" s="764"/>
      <c r="E99" s="765"/>
      <c r="F99" s="765"/>
      <c r="G99" s="765"/>
      <c r="H99" s="765"/>
      <c r="I99" s="766"/>
      <c r="J99" s="767">
        <v>14</v>
      </c>
      <c r="K99" s="768">
        <v>26</v>
      </c>
      <c r="L99" s="767">
        <v>11</v>
      </c>
      <c r="M99" s="769">
        <v>9</v>
      </c>
      <c r="N99" s="770">
        <f t="shared" si="11"/>
        <v>60</v>
      </c>
      <c r="O99" s="771">
        <f t="shared" si="12"/>
        <v>15</v>
      </c>
      <c r="P99" s="772">
        <f t="shared" si="13"/>
        <v>2.1528525296017222</v>
      </c>
      <c r="Q99" s="773"/>
      <c r="R99" s="376"/>
      <c r="S99" s="774"/>
      <c r="T99" s="41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</row>
    <row r="100" spans="1:34" ht="24.95" customHeight="1" thickBot="1">
      <c r="A100" s="775" t="s">
        <v>334</v>
      </c>
      <c r="B100" s="776"/>
      <c r="C100" s="777"/>
      <c r="D100" s="776"/>
      <c r="E100" s="776"/>
      <c r="F100" s="776"/>
      <c r="G100" s="776"/>
      <c r="H100" s="776"/>
      <c r="I100" s="776"/>
      <c r="J100" s="777">
        <f>SUM(J22:J99)</f>
        <v>799</v>
      </c>
      <c r="K100" s="777">
        <f>SUM(K22:K99)</f>
        <v>728</v>
      </c>
      <c r="L100" s="777">
        <f>SUM(L22:L99)</f>
        <v>532</v>
      </c>
      <c r="M100" s="777">
        <f>SUM(M22:M99)</f>
        <v>728</v>
      </c>
      <c r="N100" s="776">
        <f>SUM(N22:N99)</f>
        <v>2787</v>
      </c>
      <c r="O100" s="778">
        <f t="shared" si="12"/>
        <v>696.75</v>
      </c>
      <c r="P100" s="779">
        <f>SUM(P22:P99)</f>
        <v>99.999999999999943</v>
      </c>
      <c r="Q100" s="780"/>
      <c r="R100" s="267"/>
      <c r="S100" s="749"/>
      <c r="T100" s="781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0"/>
      <c r="AE100" s="270"/>
      <c r="AF100" s="273"/>
      <c r="AG100" s="273"/>
      <c r="AH100" s="577"/>
    </row>
    <row r="101" spans="1:34" s="272" customFormat="1" ht="24.95" customHeight="1">
      <c r="A101" s="265"/>
      <c r="B101" s="265"/>
      <c r="C101" s="575"/>
      <c r="D101" s="575"/>
      <c r="E101" s="265"/>
      <c r="F101" s="273"/>
      <c r="G101" s="273"/>
      <c r="H101" s="273"/>
      <c r="I101" s="576"/>
      <c r="J101" s="273"/>
      <c r="K101" s="273"/>
      <c r="L101" s="273"/>
      <c r="M101" s="577"/>
      <c r="N101" s="578"/>
      <c r="O101" s="575"/>
      <c r="P101" s="575"/>
      <c r="Q101" s="773"/>
      <c r="R101" s="782"/>
      <c r="S101" s="782"/>
      <c r="T101" s="783"/>
      <c r="U101" s="784"/>
      <c r="V101" s="784"/>
      <c r="W101" s="784"/>
      <c r="X101" s="784"/>
      <c r="Y101" s="785"/>
      <c r="Z101" s="785"/>
      <c r="AA101" s="785"/>
      <c r="AB101" s="785"/>
      <c r="AC101" s="785"/>
      <c r="AD101" s="785"/>
      <c r="AE101" s="785"/>
      <c r="AF101" s="785"/>
      <c r="AG101" s="785"/>
      <c r="AH101" s="786"/>
    </row>
    <row r="102" spans="1:34" s="265" customFormat="1">
      <c r="A102" s="787"/>
      <c r="B102" s="788"/>
      <c r="C102" s="788"/>
      <c r="D102" s="788"/>
      <c r="E102" s="788"/>
      <c r="F102" s="788"/>
      <c r="G102" s="788"/>
      <c r="H102" s="788"/>
      <c r="I102" s="788"/>
      <c r="J102" s="788"/>
      <c r="K102" s="788"/>
      <c r="L102" s="788"/>
      <c r="M102" s="788"/>
      <c r="N102" s="788"/>
      <c r="O102" s="789"/>
      <c r="P102" s="773"/>
      <c r="Q102" s="575"/>
      <c r="R102" s="790"/>
      <c r="S102" s="273"/>
      <c r="T102" s="577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  <c r="AE102" s="273"/>
      <c r="AF102" s="577"/>
    </row>
    <row r="103" spans="1:34" s="265" customFormat="1">
      <c r="A103" s="253"/>
      <c r="B103" s="791"/>
      <c r="C103" s="791"/>
      <c r="D103" s="791"/>
      <c r="E103" s="792"/>
      <c r="F103" s="792"/>
      <c r="G103" s="792"/>
      <c r="H103" s="792"/>
      <c r="I103" s="792"/>
      <c r="J103" s="792"/>
      <c r="K103" s="793"/>
      <c r="L103" s="792"/>
      <c r="M103" s="792"/>
      <c r="N103" s="794"/>
      <c r="O103" s="273"/>
      <c r="P103" s="575"/>
      <c r="Q103" s="578"/>
      <c r="T103" s="781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  <c r="AE103" s="273"/>
      <c r="AF103" s="273"/>
      <c r="AG103" s="273"/>
      <c r="AH103" s="577"/>
    </row>
    <row r="104" spans="1:34" s="265" customFormat="1">
      <c r="A104" s="795" t="s">
        <v>356</v>
      </c>
      <c r="B104" s="796">
        <v>45261</v>
      </c>
      <c r="C104" s="796">
        <v>45231</v>
      </c>
      <c r="D104" s="797">
        <v>45200</v>
      </c>
      <c r="E104" s="797">
        <v>45170</v>
      </c>
      <c r="F104" s="797">
        <v>45139</v>
      </c>
      <c r="G104" s="797">
        <v>45108</v>
      </c>
      <c r="H104" s="797">
        <v>45078</v>
      </c>
      <c r="I104" s="797">
        <v>45047</v>
      </c>
      <c r="J104" s="797">
        <v>45017</v>
      </c>
      <c r="K104" s="798">
        <v>44986</v>
      </c>
      <c r="L104" s="799">
        <v>44958</v>
      </c>
      <c r="M104" s="797">
        <v>44927</v>
      </c>
      <c r="N104" s="797" t="s">
        <v>5</v>
      </c>
      <c r="O104" s="800"/>
      <c r="P104" s="801"/>
      <c r="Q104" s="578"/>
      <c r="T104" s="781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  <c r="AE104" s="273"/>
      <c r="AF104" s="273"/>
      <c r="AG104" s="273"/>
      <c r="AH104" s="577"/>
    </row>
    <row r="105" spans="1:34" s="265" customFormat="1">
      <c r="A105" s="802" t="s">
        <v>422</v>
      </c>
      <c r="B105" s="803"/>
      <c r="C105" s="803"/>
      <c r="D105" s="804"/>
      <c r="E105" s="803"/>
      <c r="F105" s="803"/>
      <c r="G105" s="803"/>
      <c r="H105" s="803"/>
      <c r="I105" s="803"/>
      <c r="J105" s="805">
        <v>121</v>
      </c>
      <c r="K105" s="805">
        <v>89</v>
      </c>
      <c r="L105" s="805">
        <v>65</v>
      </c>
      <c r="M105" s="805">
        <v>154</v>
      </c>
      <c r="N105" s="803">
        <f t="shared" ref="N105:N114" si="14">SUM(B105:M105)</f>
        <v>429</v>
      </c>
      <c r="O105" s="800"/>
      <c r="P105" s="801"/>
      <c r="Q105" s="578"/>
      <c r="T105" s="781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  <c r="AE105" s="273"/>
      <c r="AF105" s="273"/>
      <c r="AG105" s="273"/>
      <c r="AH105" s="577"/>
    </row>
    <row r="106" spans="1:34" s="265" customFormat="1">
      <c r="A106" s="802" t="s">
        <v>423</v>
      </c>
      <c r="B106" s="803"/>
      <c r="C106" s="803"/>
      <c r="D106" s="804"/>
      <c r="E106" s="803"/>
      <c r="F106" s="803"/>
      <c r="G106" s="803"/>
      <c r="H106" s="803"/>
      <c r="I106" s="803"/>
      <c r="J106" s="805">
        <v>74</v>
      </c>
      <c r="K106" s="805">
        <v>53</v>
      </c>
      <c r="L106" s="805">
        <v>45</v>
      </c>
      <c r="M106" s="805">
        <v>55</v>
      </c>
      <c r="N106" s="803">
        <f t="shared" si="14"/>
        <v>227</v>
      </c>
      <c r="O106" s="800"/>
      <c r="P106" s="801"/>
      <c r="Q106" s="578"/>
      <c r="T106" s="781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  <c r="AE106" s="273"/>
      <c r="AF106" s="273"/>
      <c r="AG106" s="273"/>
      <c r="AH106" s="577"/>
    </row>
    <row r="107" spans="1:34" s="265" customFormat="1">
      <c r="A107" s="802" t="s">
        <v>424</v>
      </c>
      <c r="B107" s="803"/>
      <c r="C107" s="803"/>
      <c r="D107" s="804"/>
      <c r="E107" s="803"/>
      <c r="F107" s="803"/>
      <c r="G107" s="803"/>
      <c r="H107" s="803"/>
      <c r="I107" s="803"/>
      <c r="J107" s="805">
        <v>43</v>
      </c>
      <c r="K107" s="805">
        <v>79</v>
      </c>
      <c r="L107" s="805">
        <v>56</v>
      </c>
      <c r="M107" s="805">
        <v>38</v>
      </c>
      <c r="N107" s="803">
        <f t="shared" si="14"/>
        <v>216</v>
      </c>
      <c r="O107" s="800"/>
      <c r="P107" s="801"/>
      <c r="Q107" s="578"/>
      <c r="T107" s="781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  <c r="AE107" s="273"/>
      <c r="AF107" s="273"/>
      <c r="AG107" s="273"/>
      <c r="AH107" s="577"/>
    </row>
    <row r="108" spans="1:34" s="265" customFormat="1">
      <c r="A108" s="802" t="s">
        <v>425</v>
      </c>
      <c r="B108" s="803"/>
      <c r="C108" s="803"/>
      <c r="D108" s="804"/>
      <c r="E108" s="803"/>
      <c r="F108" s="803"/>
      <c r="G108" s="803"/>
      <c r="H108" s="803"/>
      <c r="I108" s="803"/>
      <c r="J108" s="805">
        <v>37</v>
      </c>
      <c r="K108" s="805">
        <v>66</v>
      </c>
      <c r="L108" s="805">
        <v>40</v>
      </c>
      <c r="M108" s="805">
        <v>46</v>
      </c>
      <c r="N108" s="803">
        <f t="shared" si="14"/>
        <v>189</v>
      </c>
      <c r="O108" s="800"/>
      <c r="P108" s="801"/>
      <c r="Q108" s="578"/>
      <c r="T108" s="760"/>
    </row>
    <row r="109" spans="1:34" s="265" customFormat="1">
      <c r="A109" s="802" t="s">
        <v>426</v>
      </c>
      <c r="B109" s="803"/>
      <c r="C109" s="803"/>
      <c r="D109" s="804"/>
      <c r="E109" s="803"/>
      <c r="F109" s="803"/>
      <c r="G109" s="803"/>
      <c r="H109" s="803"/>
      <c r="I109" s="803"/>
      <c r="J109" s="805">
        <v>50</v>
      </c>
      <c r="K109" s="805">
        <v>34</v>
      </c>
      <c r="L109" s="805">
        <v>52</v>
      </c>
      <c r="M109" s="805">
        <v>52</v>
      </c>
      <c r="N109" s="803">
        <f t="shared" si="14"/>
        <v>188</v>
      </c>
      <c r="O109" s="800"/>
      <c r="P109" s="801"/>
      <c r="Q109" s="578"/>
      <c r="T109" s="760"/>
    </row>
    <row r="110" spans="1:34" s="265" customFormat="1">
      <c r="A110" s="802" t="s">
        <v>427</v>
      </c>
      <c r="B110" s="803"/>
      <c r="C110" s="803"/>
      <c r="D110" s="804"/>
      <c r="E110" s="803"/>
      <c r="F110" s="803"/>
      <c r="G110" s="803"/>
      <c r="H110" s="803"/>
      <c r="I110" s="803"/>
      <c r="J110" s="805">
        <v>37</v>
      </c>
      <c r="K110" s="805">
        <v>32</v>
      </c>
      <c r="L110" s="805">
        <v>24</v>
      </c>
      <c r="M110" s="805">
        <v>30</v>
      </c>
      <c r="N110" s="803">
        <f t="shared" si="14"/>
        <v>123</v>
      </c>
      <c r="O110" s="800"/>
      <c r="P110" s="801"/>
      <c r="Q110" s="578"/>
      <c r="T110" s="760"/>
    </row>
    <row r="111" spans="1:34" s="265" customFormat="1">
      <c r="A111" s="802" t="s">
        <v>428</v>
      </c>
      <c r="B111" s="803"/>
      <c r="C111" s="803"/>
      <c r="D111" s="804"/>
      <c r="E111" s="803"/>
      <c r="F111" s="803"/>
      <c r="G111" s="803"/>
      <c r="H111" s="803"/>
      <c r="I111" s="803"/>
      <c r="J111" s="805">
        <v>26</v>
      </c>
      <c r="K111" s="805">
        <v>22</v>
      </c>
      <c r="L111" s="805">
        <v>17</v>
      </c>
      <c r="M111" s="805">
        <v>20</v>
      </c>
      <c r="N111" s="803">
        <f t="shared" si="14"/>
        <v>85</v>
      </c>
      <c r="O111" s="800"/>
      <c r="P111" s="801"/>
      <c r="Q111" s="578"/>
      <c r="T111" s="760"/>
    </row>
    <row r="112" spans="1:34" s="265" customFormat="1">
      <c r="A112" s="806" t="s">
        <v>429</v>
      </c>
      <c r="B112" s="803"/>
      <c r="C112" s="803"/>
      <c r="D112" s="804"/>
      <c r="E112" s="803"/>
      <c r="F112" s="803"/>
      <c r="G112" s="803"/>
      <c r="H112" s="803"/>
      <c r="I112" s="803"/>
      <c r="J112" s="805">
        <v>45</v>
      </c>
      <c r="K112" s="805">
        <v>14</v>
      </c>
      <c r="L112" s="805">
        <v>10</v>
      </c>
      <c r="M112" s="805">
        <v>9</v>
      </c>
      <c r="N112" s="803">
        <f t="shared" si="14"/>
        <v>78</v>
      </c>
      <c r="O112" s="800"/>
      <c r="P112" s="801"/>
      <c r="Q112" s="578"/>
      <c r="T112" s="760"/>
    </row>
    <row r="113" spans="1:20" s="265" customFormat="1">
      <c r="A113" s="802" t="s">
        <v>430</v>
      </c>
      <c r="B113" s="803"/>
      <c r="C113" s="803"/>
      <c r="D113" s="804"/>
      <c r="E113" s="803"/>
      <c r="F113" s="803"/>
      <c r="G113" s="803"/>
      <c r="H113" s="803"/>
      <c r="I113" s="803"/>
      <c r="J113" s="805">
        <v>20</v>
      </c>
      <c r="K113" s="805">
        <v>23</v>
      </c>
      <c r="L113" s="805">
        <v>14</v>
      </c>
      <c r="M113" s="805">
        <v>20</v>
      </c>
      <c r="N113" s="803">
        <f t="shared" si="14"/>
        <v>77</v>
      </c>
      <c r="O113" s="800"/>
      <c r="P113" s="801"/>
      <c r="Q113" s="578"/>
      <c r="T113" s="760"/>
    </row>
    <row r="114" spans="1:20" s="265" customFormat="1">
      <c r="A114" s="802" t="s">
        <v>431</v>
      </c>
      <c r="B114" s="803"/>
      <c r="C114" s="803"/>
      <c r="D114" s="804"/>
      <c r="E114" s="803"/>
      <c r="F114" s="803"/>
      <c r="G114" s="803"/>
      <c r="H114" s="803"/>
      <c r="I114" s="803"/>
      <c r="J114" s="805">
        <v>21</v>
      </c>
      <c r="K114" s="805">
        <v>23</v>
      </c>
      <c r="L114" s="805">
        <v>17</v>
      </c>
      <c r="M114" s="805">
        <v>12</v>
      </c>
      <c r="N114" s="803">
        <f t="shared" si="14"/>
        <v>73</v>
      </c>
      <c r="O114" s="800"/>
      <c r="P114" s="801"/>
      <c r="Q114" s="575"/>
      <c r="T114" s="760"/>
    </row>
    <row r="115" spans="1:20">
      <c r="A115" s="807"/>
      <c r="B115" s="808"/>
      <c r="C115" s="809"/>
      <c r="D115" s="810"/>
      <c r="E115" s="808"/>
      <c r="F115" s="811"/>
      <c r="G115" s="811"/>
      <c r="H115" s="811"/>
      <c r="I115" s="812"/>
      <c r="J115" s="811"/>
      <c r="K115" s="813"/>
      <c r="L115" s="814"/>
      <c r="M115" s="815"/>
      <c r="N115" s="811"/>
      <c r="O115" s="800"/>
      <c r="P115" s="801"/>
    </row>
    <row r="116" spans="1:20">
      <c r="A116" s="814"/>
      <c r="B116" s="808"/>
      <c r="C116" s="809"/>
      <c r="D116" s="810"/>
      <c r="E116" s="808"/>
      <c r="F116" s="811"/>
      <c r="G116" s="811"/>
      <c r="H116" s="811"/>
      <c r="I116" s="812"/>
      <c r="J116" s="811"/>
      <c r="K116" s="813"/>
      <c r="L116" s="814"/>
      <c r="M116" s="815"/>
      <c r="N116" s="811"/>
      <c r="O116" s="800"/>
      <c r="P116" s="801"/>
    </row>
    <row r="117" spans="1:20">
      <c r="A117" s="802" t="s">
        <v>422</v>
      </c>
      <c r="B117" s="803"/>
      <c r="C117" s="803"/>
      <c r="D117" s="804"/>
      <c r="E117" s="803"/>
      <c r="F117" s="803"/>
      <c r="G117" s="803"/>
      <c r="H117" s="803"/>
      <c r="I117" s="803"/>
      <c r="J117" s="805">
        <v>121</v>
      </c>
      <c r="K117" s="805">
        <v>89</v>
      </c>
      <c r="L117" s="805">
        <v>65</v>
      </c>
      <c r="M117" s="805">
        <v>154</v>
      </c>
      <c r="N117" s="803">
        <f t="shared" ref="N117:N148" si="15">SUM(B117:M117)</f>
        <v>429</v>
      </c>
      <c r="O117" s="800"/>
      <c r="P117" s="801"/>
    </row>
    <row r="118" spans="1:20">
      <c r="A118" s="802" t="s">
        <v>423</v>
      </c>
      <c r="B118" s="803"/>
      <c r="C118" s="803"/>
      <c r="D118" s="804"/>
      <c r="E118" s="803"/>
      <c r="F118" s="803"/>
      <c r="G118" s="803"/>
      <c r="H118" s="803"/>
      <c r="I118" s="803"/>
      <c r="J118" s="805">
        <v>74</v>
      </c>
      <c r="K118" s="805">
        <v>53</v>
      </c>
      <c r="L118" s="805">
        <v>45</v>
      </c>
      <c r="M118" s="805">
        <v>55</v>
      </c>
      <c r="N118" s="803">
        <f t="shared" si="15"/>
        <v>227</v>
      </c>
      <c r="O118" s="816"/>
      <c r="P118" s="817"/>
    </row>
    <row r="119" spans="1:20">
      <c r="A119" s="802" t="s">
        <v>424</v>
      </c>
      <c r="B119" s="803"/>
      <c r="C119" s="803"/>
      <c r="D119" s="804"/>
      <c r="E119" s="803"/>
      <c r="F119" s="803"/>
      <c r="G119" s="803"/>
      <c r="H119" s="803"/>
      <c r="I119" s="803"/>
      <c r="J119" s="805">
        <v>43</v>
      </c>
      <c r="K119" s="805">
        <v>79</v>
      </c>
      <c r="L119" s="805">
        <v>56</v>
      </c>
      <c r="M119" s="805">
        <v>38</v>
      </c>
      <c r="N119" s="803">
        <f t="shared" si="15"/>
        <v>216</v>
      </c>
    </row>
    <row r="120" spans="1:20">
      <c r="A120" s="802" t="s">
        <v>425</v>
      </c>
      <c r="B120" s="803"/>
      <c r="C120" s="803"/>
      <c r="D120" s="804"/>
      <c r="E120" s="803"/>
      <c r="F120" s="803"/>
      <c r="G120" s="803"/>
      <c r="H120" s="803"/>
      <c r="I120" s="803"/>
      <c r="J120" s="805">
        <v>37</v>
      </c>
      <c r="K120" s="805">
        <v>66</v>
      </c>
      <c r="L120" s="805">
        <v>40</v>
      </c>
      <c r="M120" s="805">
        <v>46</v>
      </c>
      <c r="N120" s="803">
        <f t="shared" si="15"/>
        <v>189</v>
      </c>
    </row>
    <row r="121" spans="1:20">
      <c r="A121" s="802" t="s">
        <v>426</v>
      </c>
      <c r="B121" s="803"/>
      <c r="C121" s="803"/>
      <c r="D121" s="804"/>
      <c r="E121" s="803"/>
      <c r="F121" s="803"/>
      <c r="G121" s="803"/>
      <c r="H121" s="803"/>
      <c r="I121" s="803"/>
      <c r="J121" s="805">
        <v>50</v>
      </c>
      <c r="K121" s="805">
        <v>34</v>
      </c>
      <c r="L121" s="805">
        <v>52</v>
      </c>
      <c r="M121" s="805">
        <v>52</v>
      </c>
      <c r="N121" s="803">
        <f t="shared" si="15"/>
        <v>188</v>
      </c>
    </row>
    <row r="122" spans="1:20">
      <c r="A122" s="802" t="s">
        <v>427</v>
      </c>
      <c r="B122" s="803"/>
      <c r="C122" s="803"/>
      <c r="D122" s="804"/>
      <c r="E122" s="803"/>
      <c r="F122" s="803"/>
      <c r="G122" s="803"/>
      <c r="H122" s="803"/>
      <c r="I122" s="803"/>
      <c r="J122" s="805">
        <v>37</v>
      </c>
      <c r="K122" s="805">
        <v>32</v>
      </c>
      <c r="L122" s="805">
        <v>24</v>
      </c>
      <c r="M122" s="805">
        <v>30</v>
      </c>
      <c r="N122" s="803">
        <f t="shared" si="15"/>
        <v>123</v>
      </c>
    </row>
    <row r="123" spans="1:20">
      <c r="A123" s="802" t="s">
        <v>428</v>
      </c>
      <c r="B123" s="803"/>
      <c r="C123" s="803"/>
      <c r="D123" s="804"/>
      <c r="E123" s="803"/>
      <c r="F123" s="803"/>
      <c r="G123" s="803"/>
      <c r="H123" s="803"/>
      <c r="I123" s="803"/>
      <c r="J123" s="805">
        <v>26</v>
      </c>
      <c r="K123" s="805">
        <v>22</v>
      </c>
      <c r="L123" s="805">
        <v>17</v>
      </c>
      <c r="M123" s="805">
        <v>20</v>
      </c>
      <c r="N123" s="803">
        <f t="shared" si="15"/>
        <v>85</v>
      </c>
    </row>
    <row r="124" spans="1:20">
      <c r="A124" s="806" t="s">
        <v>429</v>
      </c>
      <c r="B124" s="803"/>
      <c r="C124" s="803"/>
      <c r="D124" s="804"/>
      <c r="E124" s="803"/>
      <c r="F124" s="803"/>
      <c r="G124" s="803"/>
      <c r="H124" s="803"/>
      <c r="I124" s="803"/>
      <c r="J124" s="805">
        <v>45</v>
      </c>
      <c r="K124" s="805">
        <v>14</v>
      </c>
      <c r="L124" s="805">
        <v>10</v>
      </c>
      <c r="M124" s="805">
        <v>9</v>
      </c>
      <c r="N124" s="803">
        <f t="shared" si="15"/>
        <v>78</v>
      </c>
    </row>
    <row r="125" spans="1:20">
      <c r="A125" s="802" t="s">
        <v>430</v>
      </c>
      <c r="B125" s="803"/>
      <c r="C125" s="803"/>
      <c r="D125" s="804"/>
      <c r="E125" s="803"/>
      <c r="F125" s="803"/>
      <c r="G125" s="803"/>
      <c r="H125" s="803"/>
      <c r="I125" s="803"/>
      <c r="J125" s="805">
        <v>20</v>
      </c>
      <c r="K125" s="805">
        <v>23</v>
      </c>
      <c r="L125" s="805">
        <v>14</v>
      </c>
      <c r="M125" s="805">
        <v>20</v>
      </c>
      <c r="N125" s="803">
        <f t="shared" si="15"/>
        <v>77</v>
      </c>
    </row>
    <row r="126" spans="1:20">
      <c r="A126" s="802" t="s">
        <v>431</v>
      </c>
      <c r="B126" s="803"/>
      <c r="C126" s="803"/>
      <c r="D126" s="804"/>
      <c r="E126" s="803"/>
      <c r="F126" s="803"/>
      <c r="G126" s="803"/>
      <c r="H126" s="803"/>
      <c r="I126" s="803"/>
      <c r="J126" s="805">
        <v>21</v>
      </c>
      <c r="K126" s="805">
        <v>23</v>
      </c>
      <c r="L126" s="805">
        <v>17</v>
      </c>
      <c r="M126" s="805">
        <v>12</v>
      </c>
      <c r="N126" s="803">
        <f t="shared" si="15"/>
        <v>73</v>
      </c>
    </row>
    <row r="127" spans="1:20">
      <c r="A127" s="802" t="s">
        <v>432</v>
      </c>
      <c r="B127" s="803"/>
      <c r="C127" s="803"/>
      <c r="D127" s="804"/>
      <c r="E127" s="803"/>
      <c r="F127" s="803"/>
      <c r="G127" s="803"/>
      <c r="H127" s="803"/>
      <c r="I127" s="803"/>
      <c r="J127" s="805">
        <v>22</v>
      </c>
      <c r="K127" s="805">
        <v>17</v>
      </c>
      <c r="L127" s="805">
        <v>8</v>
      </c>
      <c r="M127" s="805">
        <v>14</v>
      </c>
      <c r="N127" s="803">
        <f t="shared" si="15"/>
        <v>61</v>
      </c>
    </row>
    <row r="128" spans="1:20" ht="22.5">
      <c r="A128" s="805" t="s">
        <v>421</v>
      </c>
      <c r="B128" s="818"/>
      <c r="C128" s="803"/>
      <c r="D128" s="819"/>
      <c r="E128" s="818"/>
      <c r="F128" s="818"/>
      <c r="G128" s="818"/>
      <c r="H128" s="818"/>
      <c r="I128" s="803"/>
      <c r="J128" s="805">
        <v>14</v>
      </c>
      <c r="K128" s="805">
        <v>26</v>
      </c>
      <c r="L128" s="805">
        <v>11</v>
      </c>
      <c r="M128" s="805">
        <v>9</v>
      </c>
      <c r="N128" s="803">
        <f t="shared" si="15"/>
        <v>60</v>
      </c>
    </row>
    <row r="129" spans="1:14" ht="23.25">
      <c r="A129" s="802" t="s">
        <v>393</v>
      </c>
      <c r="B129" s="803"/>
      <c r="C129" s="803"/>
      <c r="D129" s="804"/>
      <c r="E129" s="803"/>
      <c r="F129" s="803"/>
      <c r="G129" s="803"/>
      <c r="H129" s="803"/>
      <c r="I129" s="803"/>
      <c r="J129" s="805">
        <v>14</v>
      </c>
      <c r="K129" s="805">
        <v>14</v>
      </c>
      <c r="L129" s="805">
        <v>15</v>
      </c>
      <c r="M129" s="805">
        <v>15</v>
      </c>
      <c r="N129" s="803">
        <f t="shared" si="15"/>
        <v>58</v>
      </c>
    </row>
    <row r="130" spans="1:14" ht="23.25">
      <c r="A130" s="802" t="s">
        <v>364</v>
      </c>
      <c r="B130" s="803"/>
      <c r="C130" s="803"/>
      <c r="D130" s="804"/>
      <c r="E130" s="803"/>
      <c r="F130" s="803"/>
      <c r="G130" s="803"/>
      <c r="H130" s="803"/>
      <c r="I130" s="803"/>
      <c r="J130" s="805">
        <v>12</v>
      </c>
      <c r="K130" s="805">
        <v>18</v>
      </c>
      <c r="L130" s="805">
        <v>13</v>
      </c>
      <c r="M130" s="805">
        <v>12</v>
      </c>
      <c r="N130" s="803">
        <f t="shared" si="15"/>
        <v>55</v>
      </c>
    </row>
    <row r="131" spans="1:14" ht="23.25">
      <c r="A131" s="802" t="s">
        <v>390</v>
      </c>
      <c r="B131" s="803"/>
      <c r="C131" s="803"/>
      <c r="D131" s="804"/>
      <c r="E131" s="803"/>
      <c r="F131" s="803"/>
      <c r="G131" s="803"/>
      <c r="H131" s="803"/>
      <c r="I131" s="803"/>
      <c r="J131" s="805">
        <v>17</v>
      </c>
      <c r="K131" s="805">
        <v>17</v>
      </c>
      <c r="L131" s="805">
        <v>9</v>
      </c>
      <c r="M131" s="805">
        <v>8</v>
      </c>
      <c r="N131" s="803">
        <f t="shared" si="15"/>
        <v>51</v>
      </c>
    </row>
    <row r="132" spans="1:14" ht="23.25">
      <c r="A132" s="802" t="s">
        <v>404</v>
      </c>
      <c r="B132" s="803"/>
      <c r="C132" s="803"/>
      <c r="D132" s="804"/>
      <c r="E132" s="803"/>
      <c r="F132" s="803"/>
      <c r="G132" s="803"/>
      <c r="H132" s="803"/>
      <c r="I132" s="803"/>
      <c r="J132" s="805">
        <v>17</v>
      </c>
      <c r="K132" s="805">
        <v>15</v>
      </c>
      <c r="L132" s="805">
        <v>7</v>
      </c>
      <c r="M132" s="805">
        <v>7</v>
      </c>
      <c r="N132" s="803">
        <f t="shared" si="15"/>
        <v>46</v>
      </c>
    </row>
    <row r="133" spans="1:14" ht="23.25">
      <c r="A133" s="802" t="s">
        <v>373</v>
      </c>
      <c r="B133" s="803"/>
      <c r="C133" s="803"/>
      <c r="D133" s="804"/>
      <c r="E133" s="803"/>
      <c r="F133" s="803"/>
      <c r="G133" s="803"/>
      <c r="H133" s="803"/>
      <c r="I133" s="803"/>
      <c r="J133" s="805">
        <v>8</v>
      </c>
      <c r="K133" s="805">
        <v>9</v>
      </c>
      <c r="L133" s="805">
        <v>12</v>
      </c>
      <c r="M133" s="805">
        <v>7</v>
      </c>
      <c r="N133" s="803">
        <f t="shared" si="15"/>
        <v>36</v>
      </c>
    </row>
    <row r="134" spans="1:14">
      <c r="A134" s="802" t="s">
        <v>410</v>
      </c>
      <c r="B134" s="803"/>
      <c r="C134" s="803"/>
      <c r="D134" s="804"/>
      <c r="E134" s="803"/>
      <c r="F134" s="803"/>
      <c r="G134" s="803"/>
      <c r="H134" s="803"/>
      <c r="I134" s="803"/>
      <c r="J134" s="805">
        <v>14</v>
      </c>
      <c r="K134" s="805">
        <v>10</v>
      </c>
      <c r="L134" s="805">
        <v>5</v>
      </c>
      <c r="M134" s="805">
        <v>6</v>
      </c>
      <c r="N134" s="803">
        <f t="shared" si="15"/>
        <v>35</v>
      </c>
    </row>
    <row r="135" spans="1:14" ht="23.25">
      <c r="A135" s="802" t="s">
        <v>388</v>
      </c>
      <c r="B135" s="803"/>
      <c r="C135" s="803"/>
      <c r="D135" s="804"/>
      <c r="E135" s="803"/>
      <c r="F135" s="803"/>
      <c r="G135" s="803"/>
      <c r="H135" s="803"/>
      <c r="I135" s="803"/>
      <c r="J135" s="805">
        <v>18</v>
      </c>
      <c r="K135" s="805">
        <v>4</v>
      </c>
      <c r="L135" s="805">
        <v>3</v>
      </c>
      <c r="M135" s="805">
        <v>9</v>
      </c>
      <c r="N135" s="803">
        <f t="shared" si="15"/>
        <v>34</v>
      </c>
    </row>
    <row r="136" spans="1:14" ht="23.25">
      <c r="A136" s="802" t="s">
        <v>362</v>
      </c>
      <c r="B136" s="803"/>
      <c r="C136" s="803"/>
      <c r="D136" s="804"/>
      <c r="E136" s="803"/>
      <c r="F136" s="803"/>
      <c r="G136" s="803"/>
      <c r="H136" s="803"/>
      <c r="I136" s="803"/>
      <c r="J136" s="805">
        <v>11</v>
      </c>
      <c r="K136" s="805">
        <v>7</v>
      </c>
      <c r="L136" s="805">
        <v>5</v>
      </c>
      <c r="M136" s="805">
        <v>10</v>
      </c>
      <c r="N136" s="803">
        <f t="shared" si="15"/>
        <v>33</v>
      </c>
    </row>
    <row r="137" spans="1:14" ht="34.5">
      <c r="A137" s="820" t="s">
        <v>412</v>
      </c>
      <c r="B137" s="803"/>
      <c r="C137" s="803"/>
      <c r="D137" s="804"/>
      <c r="E137" s="803"/>
      <c r="F137" s="803"/>
      <c r="G137" s="803"/>
      <c r="H137" s="803"/>
      <c r="I137" s="803"/>
      <c r="J137" s="805">
        <v>12</v>
      </c>
      <c r="K137" s="805">
        <v>9</v>
      </c>
      <c r="L137" s="805">
        <v>9</v>
      </c>
      <c r="M137" s="805">
        <v>3</v>
      </c>
      <c r="N137" s="803">
        <f t="shared" si="15"/>
        <v>33</v>
      </c>
    </row>
    <row r="138" spans="1:14">
      <c r="A138" s="802" t="s">
        <v>284</v>
      </c>
      <c r="B138" s="803"/>
      <c r="C138" s="803"/>
      <c r="D138" s="804"/>
      <c r="E138" s="803"/>
      <c r="F138" s="803"/>
      <c r="G138" s="803"/>
      <c r="H138" s="803"/>
      <c r="I138" s="803"/>
      <c r="J138" s="805">
        <v>13</v>
      </c>
      <c r="K138" s="805">
        <v>6</v>
      </c>
      <c r="L138" s="805">
        <v>3</v>
      </c>
      <c r="M138" s="805">
        <v>6</v>
      </c>
      <c r="N138" s="803">
        <f t="shared" si="15"/>
        <v>28</v>
      </c>
    </row>
    <row r="139" spans="1:14" ht="34.5">
      <c r="A139" s="802" t="s">
        <v>396</v>
      </c>
      <c r="B139" s="803"/>
      <c r="C139" s="803"/>
      <c r="D139" s="804"/>
      <c r="E139" s="803"/>
      <c r="F139" s="803"/>
      <c r="G139" s="803"/>
      <c r="H139" s="803"/>
      <c r="I139" s="803"/>
      <c r="J139" s="805">
        <v>12</v>
      </c>
      <c r="K139" s="805">
        <v>6</v>
      </c>
      <c r="L139" s="805">
        <v>5</v>
      </c>
      <c r="M139" s="805">
        <v>2</v>
      </c>
      <c r="N139" s="803">
        <f t="shared" si="15"/>
        <v>25</v>
      </c>
    </row>
    <row r="140" spans="1:14" ht="23.25">
      <c r="A140" s="802" t="s">
        <v>399</v>
      </c>
      <c r="B140" s="803"/>
      <c r="C140" s="803"/>
      <c r="D140" s="804"/>
      <c r="E140" s="803"/>
      <c r="F140" s="803"/>
      <c r="G140" s="803"/>
      <c r="H140" s="803"/>
      <c r="I140" s="803"/>
      <c r="J140" s="805">
        <v>5</v>
      </c>
      <c r="K140" s="805">
        <v>7</v>
      </c>
      <c r="L140" s="805">
        <v>5</v>
      </c>
      <c r="M140" s="805">
        <v>7</v>
      </c>
      <c r="N140" s="803">
        <f t="shared" si="15"/>
        <v>24</v>
      </c>
    </row>
    <row r="141" spans="1:14">
      <c r="A141" s="802" t="s">
        <v>260</v>
      </c>
      <c r="B141" s="803"/>
      <c r="C141" s="803"/>
      <c r="D141" s="804"/>
      <c r="E141" s="803"/>
      <c r="F141" s="803"/>
      <c r="G141" s="803"/>
      <c r="H141" s="803"/>
      <c r="I141" s="803"/>
      <c r="J141" s="805">
        <v>4</v>
      </c>
      <c r="K141" s="805">
        <v>8</v>
      </c>
      <c r="L141" s="805">
        <v>6</v>
      </c>
      <c r="M141" s="805">
        <v>5</v>
      </c>
      <c r="N141" s="803">
        <f t="shared" si="15"/>
        <v>23</v>
      </c>
    </row>
    <row r="142" spans="1:14">
      <c r="A142" s="802" t="s">
        <v>280</v>
      </c>
      <c r="B142" s="803"/>
      <c r="C142" s="803"/>
      <c r="D142" s="804"/>
      <c r="E142" s="803"/>
      <c r="F142" s="803"/>
      <c r="G142" s="803"/>
      <c r="H142" s="803"/>
      <c r="I142" s="803"/>
      <c r="J142" s="805">
        <v>6</v>
      </c>
      <c r="K142" s="805">
        <v>5</v>
      </c>
      <c r="L142" s="805">
        <v>7</v>
      </c>
      <c r="M142" s="805">
        <v>5</v>
      </c>
      <c r="N142" s="803">
        <f t="shared" si="15"/>
        <v>23</v>
      </c>
    </row>
    <row r="143" spans="1:14">
      <c r="A143" s="802" t="s">
        <v>287</v>
      </c>
      <c r="B143" s="803"/>
      <c r="C143" s="803"/>
      <c r="D143" s="804"/>
      <c r="E143" s="803"/>
      <c r="F143" s="803"/>
      <c r="G143" s="803"/>
      <c r="H143" s="803"/>
      <c r="I143" s="803"/>
      <c r="J143" s="805">
        <v>7</v>
      </c>
      <c r="K143" s="805">
        <v>5</v>
      </c>
      <c r="L143" s="805">
        <v>2</v>
      </c>
      <c r="M143" s="805">
        <v>8</v>
      </c>
      <c r="N143" s="803">
        <f t="shared" si="15"/>
        <v>22</v>
      </c>
    </row>
    <row r="144" spans="1:14">
      <c r="A144" s="802" t="s">
        <v>226</v>
      </c>
      <c r="B144" s="803"/>
      <c r="C144" s="803"/>
      <c r="D144" s="804"/>
      <c r="E144" s="803"/>
      <c r="F144" s="803"/>
      <c r="G144" s="803"/>
      <c r="H144" s="803"/>
      <c r="I144" s="803"/>
      <c r="J144" s="805">
        <v>6</v>
      </c>
      <c r="K144" s="805">
        <v>3</v>
      </c>
      <c r="L144" s="805">
        <v>4</v>
      </c>
      <c r="M144" s="805">
        <v>6</v>
      </c>
      <c r="N144" s="803">
        <f t="shared" si="15"/>
        <v>19</v>
      </c>
    </row>
    <row r="145" spans="1:14" ht="23.25">
      <c r="A145" s="802" t="s">
        <v>371</v>
      </c>
      <c r="B145" s="803"/>
      <c r="C145" s="803"/>
      <c r="D145" s="804"/>
      <c r="E145" s="803"/>
      <c r="F145" s="803"/>
      <c r="G145" s="803"/>
      <c r="H145" s="803"/>
      <c r="I145" s="803"/>
      <c r="J145" s="805">
        <v>5</v>
      </c>
      <c r="K145" s="805">
        <v>4</v>
      </c>
      <c r="L145" s="805">
        <v>3</v>
      </c>
      <c r="M145" s="805">
        <v>5</v>
      </c>
      <c r="N145" s="803">
        <f t="shared" si="15"/>
        <v>17</v>
      </c>
    </row>
    <row r="146" spans="1:14" ht="33.75">
      <c r="A146" s="806" t="s">
        <v>375</v>
      </c>
      <c r="B146" s="803"/>
      <c r="C146" s="803"/>
      <c r="D146" s="804"/>
      <c r="E146" s="803"/>
      <c r="F146" s="803"/>
      <c r="G146" s="803"/>
      <c r="H146" s="803"/>
      <c r="I146" s="803"/>
      <c r="J146" s="805">
        <v>2</v>
      </c>
      <c r="K146" s="805">
        <v>6</v>
      </c>
      <c r="L146" s="805">
        <v>1</v>
      </c>
      <c r="M146" s="805">
        <v>8</v>
      </c>
      <c r="N146" s="803">
        <f t="shared" si="15"/>
        <v>17</v>
      </c>
    </row>
    <row r="147" spans="1:14">
      <c r="A147" s="802" t="s">
        <v>269</v>
      </c>
      <c r="B147" s="803"/>
      <c r="C147" s="803"/>
      <c r="D147" s="804"/>
      <c r="E147" s="803"/>
      <c r="F147" s="803"/>
      <c r="G147" s="803"/>
      <c r="H147" s="803"/>
      <c r="I147" s="803"/>
      <c r="J147" s="805">
        <v>3</v>
      </c>
      <c r="K147" s="805">
        <v>7</v>
      </c>
      <c r="L147" s="805">
        <v>3</v>
      </c>
      <c r="M147" s="805">
        <v>4</v>
      </c>
      <c r="N147" s="803">
        <f t="shared" si="15"/>
        <v>17</v>
      </c>
    </row>
    <row r="148" spans="1:14">
      <c r="A148" s="802" t="s">
        <v>281</v>
      </c>
      <c r="B148" s="803"/>
      <c r="C148" s="803"/>
      <c r="D148" s="804"/>
      <c r="E148" s="803"/>
      <c r="F148" s="803"/>
      <c r="G148" s="803"/>
      <c r="H148" s="803"/>
      <c r="I148" s="803"/>
      <c r="J148" s="805">
        <v>6</v>
      </c>
      <c r="K148" s="805">
        <v>4</v>
      </c>
      <c r="L148" s="805">
        <v>2</v>
      </c>
      <c r="M148" s="805">
        <v>4</v>
      </c>
      <c r="N148" s="803">
        <f t="shared" si="15"/>
        <v>16</v>
      </c>
    </row>
    <row r="149" spans="1:14" ht="23.25">
      <c r="A149" s="802" t="s">
        <v>383</v>
      </c>
      <c r="B149" s="803"/>
      <c r="C149" s="803"/>
      <c r="D149" s="804"/>
      <c r="E149" s="803"/>
      <c r="F149" s="803"/>
      <c r="G149" s="803"/>
      <c r="H149" s="803"/>
      <c r="I149" s="803"/>
      <c r="J149" s="805">
        <v>4</v>
      </c>
      <c r="K149" s="805">
        <v>5</v>
      </c>
      <c r="L149" s="805">
        <v>2</v>
      </c>
      <c r="M149" s="805">
        <v>4</v>
      </c>
      <c r="N149" s="803">
        <f t="shared" ref="N149:N180" si="16">SUM(B149:M149)</f>
        <v>15</v>
      </c>
    </row>
    <row r="150" spans="1:14">
      <c r="A150" s="802" t="s">
        <v>274</v>
      </c>
      <c r="B150" s="803"/>
      <c r="C150" s="803"/>
      <c r="D150" s="804"/>
      <c r="E150" s="803"/>
      <c r="F150" s="803"/>
      <c r="G150" s="803"/>
      <c r="H150" s="803"/>
      <c r="I150" s="803"/>
      <c r="J150" s="805">
        <v>1</v>
      </c>
      <c r="K150" s="805">
        <v>6</v>
      </c>
      <c r="L150" s="805">
        <v>4</v>
      </c>
      <c r="M150" s="805">
        <v>4</v>
      </c>
      <c r="N150" s="803">
        <f t="shared" si="16"/>
        <v>15</v>
      </c>
    </row>
    <row r="151" spans="1:14">
      <c r="A151" s="802" t="s">
        <v>276</v>
      </c>
      <c r="B151" s="803"/>
      <c r="C151" s="803"/>
      <c r="D151" s="804"/>
      <c r="E151" s="803"/>
      <c r="F151" s="803"/>
      <c r="G151" s="803"/>
      <c r="H151" s="803"/>
      <c r="I151" s="803"/>
      <c r="J151" s="805">
        <v>3</v>
      </c>
      <c r="K151" s="805">
        <v>5</v>
      </c>
      <c r="L151" s="805">
        <v>4</v>
      </c>
      <c r="M151" s="805">
        <v>3</v>
      </c>
      <c r="N151" s="803">
        <f t="shared" si="16"/>
        <v>15</v>
      </c>
    </row>
    <row r="152" spans="1:14">
      <c r="A152" s="802" t="s">
        <v>289</v>
      </c>
      <c r="B152" s="803"/>
      <c r="C152" s="803"/>
      <c r="D152" s="804"/>
      <c r="E152" s="803"/>
      <c r="F152" s="803"/>
      <c r="G152" s="803"/>
      <c r="H152" s="803"/>
      <c r="I152" s="803"/>
      <c r="J152" s="805">
        <v>4</v>
      </c>
      <c r="K152" s="805">
        <v>6</v>
      </c>
      <c r="L152" s="805">
        <v>0</v>
      </c>
      <c r="M152" s="805">
        <v>5</v>
      </c>
      <c r="N152" s="803">
        <f t="shared" si="16"/>
        <v>15</v>
      </c>
    </row>
    <row r="153" spans="1:14">
      <c r="A153" s="802" t="s">
        <v>271</v>
      </c>
      <c r="B153" s="803"/>
      <c r="C153" s="803"/>
      <c r="D153" s="804"/>
      <c r="E153" s="803"/>
      <c r="F153" s="803"/>
      <c r="G153" s="803"/>
      <c r="H153" s="803"/>
      <c r="I153" s="803"/>
      <c r="J153" s="805">
        <v>3</v>
      </c>
      <c r="K153" s="805">
        <v>2</v>
      </c>
      <c r="L153" s="805">
        <v>2</v>
      </c>
      <c r="M153" s="805">
        <v>7</v>
      </c>
      <c r="N153" s="803">
        <f t="shared" si="16"/>
        <v>14</v>
      </c>
    </row>
    <row r="154" spans="1:14" ht="34.5">
      <c r="A154" s="802" t="s">
        <v>395</v>
      </c>
      <c r="B154" s="803"/>
      <c r="C154" s="803"/>
      <c r="D154" s="804"/>
      <c r="E154" s="803"/>
      <c r="F154" s="803"/>
      <c r="G154" s="803"/>
      <c r="H154" s="803"/>
      <c r="I154" s="803"/>
      <c r="J154" s="805">
        <v>2</v>
      </c>
      <c r="K154" s="805">
        <v>1</v>
      </c>
      <c r="L154" s="805">
        <v>5</v>
      </c>
      <c r="M154" s="805">
        <v>4</v>
      </c>
      <c r="N154" s="803">
        <f t="shared" si="16"/>
        <v>12</v>
      </c>
    </row>
    <row r="155" spans="1:14" ht="23.25">
      <c r="A155" s="802" t="s">
        <v>285</v>
      </c>
      <c r="B155" s="803"/>
      <c r="C155" s="803"/>
      <c r="D155" s="804"/>
      <c r="E155" s="803"/>
      <c r="F155" s="803"/>
      <c r="G155" s="803"/>
      <c r="H155" s="803"/>
      <c r="I155" s="803"/>
      <c r="J155" s="805">
        <v>3</v>
      </c>
      <c r="K155" s="805">
        <v>2</v>
      </c>
      <c r="L155" s="805">
        <v>2</v>
      </c>
      <c r="M155" s="805">
        <v>5</v>
      </c>
      <c r="N155" s="803">
        <f t="shared" si="16"/>
        <v>12</v>
      </c>
    </row>
    <row r="156" spans="1:14" ht="23.25">
      <c r="A156" s="802" t="s">
        <v>288</v>
      </c>
      <c r="B156" s="803"/>
      <c r="C156" s="803"/>
      <c r="D156" s="804"/>
      <c r="E156" s="803"/>
      <c r="F156" s="803"/>
      <c r="G156" s="803"/>
      <c r="H156" s="803"/>
      <c r="I156" s="803"/>
      <c r="J156" s="805">
        <v>4</v>
      </c>
      <c r="K156" s="805">
        <v>3</v>
      </c>
      <c r="L156" s="805">
        <v>1</v>
      </c>
      <c r="M156" s="805">
        <v>4</v>
      </c>
      <c r="N156" s="803">
        <f t="shared" si="16"/>
        <v>12</v>
      </c>
    </row>
    <row r="157" spans="1:14" ht="22.5">
      <c r="A157" s="805" t="s">
        <v>370</v>
      </c>
      <c r="B157" s="818"/>
      <c r="C157" s="803"/>
      <c r="D157" s="804"/>
      <c r="E157" s="803"/>
      <c r="F157" s="803"/>
      <c r="G157" s="803"/>
      <c r="H157" s="803"/>
      <c r="I157" s="803"/>
      <c r="J157" s="805">
        <v>5</v>
      </c>
      <c r="K157" s="805">
        <v>3</v>
      </c>
      <c r="L157" s="805">
        <v>2</v>
      </c>
      <c r="M157" s="805">
        <v>1</v>
      </c>
      <c r="N157" s="803">
        <f t="shared" si="16"/>
        <v>11</v>
      </c>
    </row>
    <row r="158" spans="1:14" ht="23.25">
      <c r="A158" s="802" t="s">
        <v>273</v>
      </c>
      <c r="B158" s="803"/>
      <c r="C158" s="803"/>
      <c r="D158" s="804"/>
      <c r="E158" s="803"/>
      <c r="F158" s="803"/>
      <c r="G158" s="803"/>
      <c r="H158" s="803"/>
      <c r="I158" s="803"/>
      <c r="J158" s="805">
        <v>3</v>
      </c>
      <c r="K158" s="805">
        <v>4</v>
      </c>
      <c r="L158" s="805">
        <v>1</v>
      </c>
      <c r="M158" s="805">
        <v>3</v>
      </c>
      <c r="N158" s="803">
        <f t="shared" si="16"/>
        <v>11</v>
      </c>
    </row>
    <row r="159" spans="1:14" ht="23.25">
      <c r="A159" s="802" t="s">
        <v>282</v>
      </c>
      <c r="B159" s="803"/>
      <c r="C159" s="803"/>
      <c r="D159" s="804"/>
      <c r="E159" s="803"/>
      <c r="F159" s="803"/>
      <c r="G159" s="803"/>
      <c r="H159" s="803"/>
      <c r="I159" s="803"/>
      <c r="J159" s="805">
        <v>2</v>
      </c>
      <c r="K159" s="805">
        <v>4</v>
      </c>
      <c r="L159" s="805">
        <v>1</v>
      </c>
      <c r="M159" s="805">
        <v>4</v>
      </c>
      <c r="N159" s="803">
        <f t="shared" si="16"/>
        <v>11</v>
      </c>
    </row>
    <row r="160" spans="1:14" ht="23.25">
      <c r="A160" s="802" t="s">
        <v>401</v>
      </c>
      <c r="B160" s="803"/>
      <c r="C160" s="803"/>
      <c r="D160" s="804"/>
      <c r="E160" s="803"/>
      <c r="F160" s="803"/>
      <c r="G160" s="803"/>
      <c r="H160" s="803"/>
      <c r="I160" s="803"/>
      <c r="J160" s="805">
        <v>3</v>
      </c>
      <c r="K160" s="805">
        <v>3</v>
      </c>
      <c r="L160" s="805">
        <v>0</v>
      </c>
      <c r="M160" s="805">
        <v>4</v>
      </c>
      <c r="N160" s="803">
        <f t="shared" si="16"/>
        <v>10</v>
      </c>
    </row>
    <row r="161" spans="1:14">
      <c r="A161" s="821" t="s">
        <v>420</v>
      </c>
      <c r="B161" s="803"/>
      <c r="C161" s="803"/>
      <c r="D161" s="804"/>
      <c r="E161" s="803"/>
      <c r="F161" s="803"/>
      <c r="G161" s="803"/>
      <c r="H161" s="803"/>
      <c r="I161" s="803"/>
      <c r="J161" s="805">
        <v>2</v>
      </c>
      <c r="K161" s="805">
        <v>1</v>
      </c>
      <c r="L161" s="805">
        <v>4</v>
      </c>
      <c r="M161" s="805">
        <v>3</v>
      </c>
      <c r="N161" s="803">
        <f t="shared" si="16"/>
        <v>10</v>
      </c>
    </row>
    <row r="162" spans="1:14">
      <c r="A162" s="802" t="s">
        <v>279</v>
      </c>
      <c r="B162" s="803"/>
      <c r="C162" s="803"/>
      <c r="D162" s="804"/>
      <c r="E162" s="803"/>
      <c r="F162" s="803"/>
      <c r="G162" s="803"/>
      <c r="H162" s="803"/>
      <c r="I162" s="803"/>
      <c r="J162" s="805">
        <v>2</v>
      </c>
      <c r="K162" s="805">
        <v>3</v>
      </c>
      <c r="L162" s="805">
        <v>0</v>
      </c>
      <c r="M162" s="805">
        <v>5</v>
      </c>
      <c r="N162" s="803">
        <f t="shared" si="16"/>
        <v>10</v>
      </c>
    </row>
    <row r="163" spans="1:14" ht="23.25">
      <c r="A163" s="802" t="s">
        <v>379</v>
      </c>
      <c r="B163" s="803"/>
      <c r="C163" s="803"/>
      <c r="D163" s="804"/>
      <c r="E163" s="803"/>
      <c r="F163" s="803"/>
      <c r="G163" s="803"/>
      <c r="H163" s="803"/>
      <c r="I163" s="803"/>
      <c r="J163" s="805">
        <v>1</v>
      </c>
      <c r="K163" s="805">
        <v>1</v>
      </c>
      <c r="L163" s="805">
        <v>2</v>
      </c>
      <c r="M163" s="805">
        <v>5</v>
      </c>
      <c r="N163" s="803">
        <f t="shared" si="16"/>
        <v>9</v>
      </c>
    </row>
    <row r="164" spans="1:14">
      <c r="A164" s="802" t="s">
        <v>387</v>
      </c>
      <c r="B164" s="803"/>
      <c r="C164" s="803"/>
      <c r="D164" s="804"/>
      <c r="E164" s="803"/>
      <c r="F164" s="803"/>
      <c r="G164" s="803"/>
      <c r="H164" s="803"/>
      <c r="I164" s="803"/>
      <c r="J164" s="805">
        <v>1</v>
      </c>
      <c r="K164" s="805">
        <v>3</v>
      </c>
      <c r="L164" s="805">
        <v>3</v>
      </c>
      <c r="M164" s="805">
        <v>2</v>
      </c>
      <c r="N164" s="803">
        <f t="shared" si="16"/>
        <v>9</v>
      </c>
    </row>
    <row r="165" spans="1:14" ht="23.25">
      <c r="A165" s="802" t="s">
        <v>417</v>
      </c>
      <c r="B165" s="803"/>
      <c r="C165" s="803"/>
      <c r="D165" s="804"/>
      <c r="E165" s="803"/>
      <c r="F165" s="803"/>
      <c r="G165" s="803"/>
      <c r="H165" s="803"/>
      <c r="I165" s="803"/>
      <c r="J165" s="805">
        <v>4</v>
      </c>
      <c r="K165" s="805">
        <v>1</v>
      </c>
      <c r="L165" s="805">
        <v>1</v>
      </c>
      <c r="M165" s="805">
        <v>3</v>
      </c>
      <c r="N165" s="803">
        <f t="shared" si="16"/>
        <v>9</v>
      </c>
    </row>
    <row r="166" spans="1:14" ht="23.25">
      <c r="A166" s="802" t="s">
        <v>418</v>
      </c>
      <c r="B166" s="803"/>
      <c r="C166" s="803"/>
      <c r="D166" s="804"/>
      <c r="E166" s="803"/>
      <c r="F166" s="803"/>
      <c r="G166" s="803"/>
      <c r="H166" s="803"/>
      <c r="I166" s="803"/>
      <c r="J166" s="805">
        <v>2</v>
      </c>
      <c r="K166" s="805">
        <v>4</v>
      </c>
      <c r="L166" s="805">
        <v>0</v>
      </c>
      <c r="M166" s="805">
        <v>3</v>
      </c>
      <c r="N166" s="803">
        <f t="shared" si="16"/>
        <v>9</v>
      </c>
    </row>
    <row r="167" spans="1:14">
      <c r="A167" s="802" t="s">
        <v>264</v>
      </c>
      <c r="B167" s="803"/>
      <c r="C167" s="803"/>
      <c r="D167" s="804"/>
      <c r="E167" s="803"/>
      <c r="F167" s="803"/>
      <c r="G167" s="803"/>
      <c r="H167" s="803"/>
      <c r="I167" s="803"/>
      <c r="J167" s="805">
        <v>3</v>
      </c>
      <c r="K167" s="805">
        <v>1</v>
      </c>
      <c r="L167" s="805">
        <v>1</v>
      </c>
      <c r="M167" s="805">
        <v>4</v>
      </c>
      <c r="N167" s="803">
        <f t="shared" si="16"/>
        <v>9</v>
      </c>
    </row>
    <row r="168" spans="1:14">
      <c r="A168" s="802" t="s">
        <v>270</v>
      </c>
      <c r="B168" s="803"/>
      <c r="C168" s="803"/>
      <c r="D168" s="804"/>
      <c r="E168" s="803"/>
      <c r="F168" s="803"/>
      <c r="G168" s="803"/>
      <c r="H168" s="803"/>
      <c r="I168" s="803"/>
      <c r="J168" s="805">
        <v>2</v>
      </c>
      <c r="K168" s="805">
        <v>0</v>
      </c>
      <c r="L168" s="805">
        <v>3</v>
      </c>
      <c r="M168" s="805">
        <v>4</v>
      </c>
      <c r="N168" s="803">
        <f t="shared" si="16"/>
        <v>9</v>
      </c>
    </row>
    <row r="169" spans="1:14">
      <c r="A169" s="802" t="s">
        <v>278</v>
      </c>
      <c r="B169" s="803"/>
      <c r="C169" s="803"/>
      <c r="D169" s="804"/>
      <c r="E169" s="803"/>
      <c r="F169" s="803"/>
      <c r="G169" s="803"/>
      <c r="H169" s="803"/>
      <c r="I169" s="803"/>
      <c r="J169" s="805">
        <v>2</v>
      </c>
      <c r="K169" s="805">
        <v>3</v>
      </c>
      <c r="L169" s="805">
        <v>0</v>
      </c>
      <c r="M169" s="805">
        <v>4</v>
      </c>
      <c r="N169" s="803">
        <f t="shared" si="16"/>
        <v>9</v>
      </c>
    </row>
    <row r="170" spans="1:14">
      <c r="A170" s="802" t="s">
        <v>283</v>
      </c>
      <c r="B170" s="803"/>
      <c r="C170" s="803"/>
      <c r="D170" s="804"/>
      <c r="E170" s="803"/>
      <c r="F170" s="803"/>
      <c r="G170" s="803"/>
      <c r="H170" s="803"/>
      <c r="I170" s="803"/>
      <c r="J170" s="805">
        <v>2</v>
      </c>
      <c r="K170" s="805">
        <v>2</v>
      </c>
      <c r="L170" s="805">
        <v>1</v>
      </c>
      <c r="M170" s="805">
        <v>4</v>
      </c>
      <c r="N170" s="803">
        <f t="shared" si="16"/>
        <v>9</v>
      </c>
    </row>
    <row r="171" spans="1:14">
      <c r="A171" s="802" t="s">
        <v>416</v>
      </c>
      <c r="B171" s="803"/>
      <c r="C171" s="803"/>
      <c r="D171" s="804"/>
      <c r="E171" s="803"/>
      <c r="F171" s="803"/>
      <c r="G171" s="803"/>
      <c r="H171" s="803"/>
      <c r="I171" s="803"/>
      <c r="J171" s="805">
        <v>3</v>
      </c>
      <c r="K171" s="805">
        <v>2</v>
      </c>
      <c r="L171" s="805">
        <v>1</v>
      </c>
      <c r="M171" s="805">
        <v>2</v>
      </c>
      <c r="N171" s="803">
        <f t="shared" si="16"/>
        <v>8</v>
      </c>
    </row>
    <row r="172" spans="1:14" ht="23.25">
      <c r="A172" s="802" t="s">
        <v>262</v>
      </c>
      <c r="B172" s="803"/>
      <c r="C172" s="803"/>
      <c r="D172" s="804"/>
      <c r="E172" s="803"/>
      <c r="F172" s="803"/>
      <c r="G172" s="803"/>
      <c r="H172" s="803"/>
      <c r="I172" s="803"/>
      <c r="J172" s="805">
        <v>2</v>
      </c>
      <c r="K172" s="805">
        <v>2</v>
      </c>
      <c r="L172" s="805">
        <v>1</v>
      </c>
      <c r="M172" s="805">
        <v>3</v>
      </c>
      <c r="N172" s="803">
        <f t="shared" si="16"/>
        <v>8</v>
      </c>
    </row>
    <row r="173" spans="1:14">
      <c r="A173" s="802" t="s">
        <v>272</v>
      </c>
      <c r="B173" s="803"/>
      <c r="C173" s="803"/>
      <c r="D173" s="804"/>
      <c r="E173" s="803"/>
      <c r="F173" s="803"/>
      <c r="G173" s="803"/>
      <c r="H173" s="803"/>
      <c r="I173" s="803"/>
      <c r="J173" s="805">
        <v>1</v>
      </c>
      <c r="K173" s="805">
        <v>1</v>
      </c>
      <c r="L173" s="805">
        <v>2</v>
      </c>
      <c r="M173" s="805">
        <v>4</v>
      </c>
      <c r="N173" s="803">
        <f t="shared" si="16"/>
        <v>8</v>
      </c>
    </row>
    <row r="174" spans="1:14" ht="23.25">
      <c r="A174" s="820" t="s">
        <v>413</v>
      </c>
      <c r="B174" s="803"/>
      <c r="C174" s="803"/>
      <c r="D174" s="804"/>
      <c r="E174" s="803"/>
      <c r="F174" s="803"/>
      <c r="G174" s="803"/>
      <c r="H174" s="803"/>
      <c r="I174" s="803"/>
      <c r="J174" s="805">
        <v>3</v>
      </c>
      <c r="K174" s="805">
        <v>1</v>
      </c>
      <c r="L174" s="805">
        <v>0</v>
      </c>
      <c r="M174" s="805">
        <v>3</v>
      </c>
      <c r="N174" s="803">
        <f t="shared" si="16"/>
        <v>7</v>
      </c>
    </row>
    <row r="175" spans="1:14">
      <c r="A175" s="802" t="s">
        <v>261</v>
      </c>
      <c r="B175" s="803"/>
      <c r="C175" s="803"/>
      <c r="D175" s="804"/>
      <c r="E175" s="803"/>
      <c r="F175" s="803"/>
      <c r="G175" s="803"/>
      <c r="H175" s="803"/>
      <c r="I175" s="803"/>
      <c r="J175" s="805">
        <v>2</v>
      </c>
      <c r="K175" s="805">
        <v>1</v>
      </c>
      <c r="L175" s="805">
        <v>0</v>
      </c>
      <c r="M175" s="805">
        <v>4</v>
      </c>
      <c r="N175" s="803">
        <f t="shared" si="16"/>
        <v>7</v>
      </c>
    </row>
    <row r="176" spans="1:14" ht="23.25">
      <c r="A176" s="802" t="s">
        <v>265</v>
      </c>
      <c r="B176" s="803"/>
      <c r="C176" s="803"/>
      <c r="D176" s="804"/>
      <c r="E176" s="803"/>
      <c r="F176" s="803"/>
      <c r="G176" s="803"/>
      <c r="H176" s="803"/>
      <c r="I176" s="803"/>
      <c r="J176" s="805">
        <v>1</v>
      </c>
      <c r="K176" s="805">
        <v>3</v>
      </c>
      <c r="L176" s="805">
        <v>0</v>
      </c>
      <c r="M176" s="805">
        <v>3</v>
      </c>
      <c r="N176" s="803">
        <f t="shared" si="16"/>
        <v>7</v>
      </c>
    </row>
    <row r="177" spans="1:15" ht="23.25">
      <c r="A177" s="802" t="s">
        <v>266</v>
      </c>
      <c r="B177" s="803"/>
      <c r="C177" s="803"/>
      <c r="D177" s="804"/>
      <c r="E177" s="803"/>
      <c r="F177" s="803"/>
      <c r="G177" s="803"/>
      <c r="H177" s="803"/>
      <c r="I177" s="803"/>
      <c r="J177" s="805">
        <v>2</v>
      </c>
      <c r="K177" s="805">
        <v>1</v>
      </c>
      <c r="L177" s="805">
        <v>0</v>
      </c>
      <c r="M177" s="805">
        <v>4</v>
      </c>
      <c r="N177" s="803">
        <f t="shared" si="16"/>
        <v>7</v>
      </c>
    </row>
    <row r="178" spans="1:15">
      <c r="A178" s="802" t="s">
        <v>277</v>
      </c>
      <c r="B178" s="803"/>
      <c r="C178" s="803"/>
      <c r="D178" s="804"/>
      <c r="E178" s="803"/>
      <c r="F178" s="803"/>
      <c r="G178" s="803"/>
      <c r="H178" s="803"/>
      <c r="I178" s="803"/>
      <c r="J178" s="805">
        <v>2</v>
      </c>
      <c r="K178" s="805">
        <v>2</v>
      </c>
      <c r="L178" s="805">
        <v>0</v>
      </c>
      <c r="M178" s="805">
        <v>3</v>
      </c>
      <c r="N178" s="803">
        <f t="shared" si="16"/>
        <v>7</v>
      </c>
    </row>
    <row r="179" spans="1:15">
      <c r="A179" s="821" t="s">
        <v>290</v>
      </c>
      <c r="B179" s="822"/>
      <c r="C179" s="803"/>
      <c r="D179" s="823"/>
      <c r="E179" s="822"/>
      <c r="F179" s="821"/>
      <c r="G179" s="821"/>
      <c r="H179" s="821"/>
      <c r="I179" s="821"/>
      <c r="J179" s="805">
        <v>1</v>
      </c>
      <c r="K179" s="805">
        <v>2</v>
      </c>
      <c r="L179" s="805">
        <v>0</v>
      </c>
      <c r="M179" s="805">
        <v>4</v>
      </c>
      <c r="N179" s="803">
        <f t="shared" si="16"/>
        <v>7</v>
      </c>
    </row>
    <row r="180" spans="1:15" ht="23.25">
      <c r="A180" s="802" t="s">
        <v>359</v>
      </c>
      <c r="B180" s="803"/>
      <c r="C180" s="803"/>
      <c r="D180" s="803"/>
      <c r="E180" s="803"/>
      <c r="F180" s="803"/>
      <c r="G180" s="803"/>
      <c r="H180" s="803"/>
      <c r="I180" s="803"/>
      <c r="J180" s="805">
        <v>1</v>
      </c>
      <c r="K180" s="803">
        <v>0</v>
      </c>
      <c r="L180" s="805">
        <v>5</v>
      </c>
      <c r="M180" s="803">
        <v>0</v>
      </c>
      <c r="N180" s="803">
        <f t="shared" si="16"/>
        <v>6</v>
      </c>
    </row>
    <row r="181" spans="1:15">
      <c r="A181" s="802" t="s">
        <v>268</v>
      </c>
      <c r="B181" s="803"/>
      <c r="C181" s="803"/>
      <c r="D181" s="804"/>
      <c r="E181" s="803"/>
      <c r="F181" s="803"/>
      <c r="G181" s="803"/>
      <c r="H181" s="803"/>
      <c r="I181" s="803"/>
      <c r="J181" s="805">
        <v>1</v>
      </c>
      <c r="K181" s="805">
        <v>2</v>
      </c>
      <c r="L181" s="805">
        <v>0</v>
      </c>
      <c r="M181" s="805">
        <v>3</v>
      </c>
      <c r="N181" s="803">
        <f t="shared" ref="N181:N194" si="17">SUM(B181:M181)</f>
        <v>6</v>
      </c>
    </row>
    <row r="182" spans="1:15">
      <c r="A182" s="802" t="s">
        <v>286</v>
      </c>
      <c r="B182" s="803"/>
      <c r="C182" s="803"/>
      <c r="D182" s="804"/>
      <c r="E182" s="803"/>
      <c r="F182" s="803"/>
      <c r="G182" s="803"/>
      <c r="H182" s="803"/>
      <c r="I182" s="803"/>
      <c r="J182" s="805">
        <v>2</v>
      </c>
      <c r="K182" s="805">
        <v>1</v>
      </c>
      <c r="L182" s="805">
        <v>0</v>
      </c>
      <c r="M182" s="805">
        <v>3</v>
      </c>
      <c r="N182" s="803">
        <f t="shared" si="17"/>
        <v>6</v>
      </c>
    </row>
    <row r="183" spans="1:15" ht="23.25">
      <c r="A183" s="820" t="s">
        <v>358</v>
      </c>
      <c r="B183" s="803"/>
      <c r="C183" s="803"/>
      <c r="D183" s="803"/>
      <c r="E183" s="803"/>
      <c r="F183" s="803"/>
      <c r="G183" s="803"/>
      <c r="H183" s="803"/>
      <c r="I183" s="803"/>
      <c r="J183" s="805">
        <v>3</v>
      </c>
      <c r="K183" s="803">
        <v>0</v>
      </c>
      <c r="L183" s="805">
        <v>2</v>
      </c>
      <c r="M183" s="803">
        <v>0</v>
      </c>
      <c r="N183" s="803">
        <f t="shared" si="17"/>
        <v>5</v>
      </c>
    </row>
    <row r="184" spans="1:15" ht="23.25">
      <c r="A184" s="820" t="s">
        <v>407</v>
      </c>
      <c r="B184" s="803"/>
      <c r="C184" s="803"/>
      <c r="D184" s="804"/>
      <c r="E184" s="803"/>
      <c r="F184" s="803"/>
      <c r="G184" s="803"/>
      <c r="H184" s="803"/>
      <c r="I184" s="803"/>
      <c r="J184" s="805">
        <v>3</v>
      </c>
      <c r="K184" s="805">
        <v>1</v>
      </c>
      <c r="L184" s="805">
        <v>0</v>
      </c>
      <c r="M184" s="805">
        <v>1</v>
      </c>
      <c r="N184" s="803">
        <f t="shared" si="17"/>
        <v>5</v>
      </c>
    </row>
    <row r="185" spans="1:15" ht="23.25">
      <c r="A185" s="802" t="s">
        <v>419</v>
      </c>
      <c r="B185" s="803"/>
      <c r="C185" s="803"/>
      <c r="D185" s="804"/>
      <c r="E185" s="803"/>
      <c r="F185" s="803"/>
      <c r="G185" s="803"/>
      <c r="H185" s="803"/>
      <c r="I185" s="803"/>
      <c r="J185" s="805">
        <v>1</v>
      </c>
      <c r="K185" s="805">
        <v>1</v>
      </c>
      <c r="L185" s="805">
        <v>0</v>
      </c>
      <c r="M185" s="805">
        <v>3</v>
      </c>
      <c r="N185" s="803">
        <f t="shared" si="17"/>
        <v>5</v>
      </c>
    </row>
    <row r="186" spans="1:15" ht="23.25">
      <c r="A186" s="802" t="s">
        <v>384</v>
      </c>
      <c r="B186" s="803"/>
      <c r="C186" s="803"/>
      <c r="D186" s="804"/>
      <c r="E186" s="803"/>
      <c r="F186" s="803"/>
      <c r="G186" s="803"/>
      <c r="H186" s="803"/>
      <c r="I186" s="803"/>
      <c r="J186" s="805">
        <v>2</v>
      </c>
      <c r="K186" s="805">
        <v>0</v>
      </c>
      <c r="L186" s="805">
        <v>0</v>
      </c>
      <c r="M186" s="805">
        <v>2</v>
      </c>
      <c r="N186" s="803">
        <f t="shared" si="17"/>
        <v>4</v>
      </c>
    </row>
    <row r="187" spans="1:15" ht="23.25">
      <c r="A187" s="802" t="s">
        <v>409</v>
      </c>
      <c r="B187" s="803"/>
      <c r="C187" s="803"/>
      <c r="D187" s="804"/>
      <c r="E187" s="803"/>
      <c r="F187" s="803"/>
      <c r="G187" s="803"/>
      <c r="H187" s="803"/>
      <c r="I187" s="803"/>
      <c r="J187" s="805">
        <v>4</v>
      </c>
      <c r="K187" s="805">
        <v>0</v>
      </c>
      <c r="L187" s="805">
        <v>0</v>
      </c>
      <c r="M187" s="805">
        <v>0</v>
      </c>
      <c r="N187" s="803">
        <f t="shared" si="17"/>
        <v>4</v>
      </c>
      <c r="O187" s="824"/>
    </row>
    <row r="188" spans="1:15">
      <c r="A188" s="825" t="s">
        <v>411</v>
      </c>
      <c r="B188" s="803"/>
      <c r="C188" s="803"/>
      <c r="D188" s="804"/>
      <c r="E188" s="803"/>
      <c r="F188" s="803"/>
      <c r="G188" s="803"/>
      <c r="H188" s="803"/>
      <c r="I188" s="803"/>
      <c r="J188" s="805">
        <v>3</v>
      </c>
      <c r="K188" s="805">
        <v>0</v>
      </c>
      <c r="L188" s="805">
        <v>0</v>
      </c>
      <c r="M188" s="805">
        <v>1</v>
      </c>
      <c r="N188" s="803">
        <f t="shared" si="17"/>
        <v>4</v>
      </c>
      <c r="O188" s="824"/>
    </row>
    <row r="189" spans="1:15" ht="23.25">
      <c r="A189" s="802" t="s">
        <v>366</v>
      </c>
      <c r="B189" s="803"/>
      <c r="C189" s="803"/>
      <c r="D189" s="804"/>
      <c r="E189" s="803"/>
      <c r="F189" s="803"/>
      <c r="G189" s="803"/>
      <c r="H189" s="803"/>
      <c r="I189" s="803"/>
      <c r="J189" s="805">
        <v>0</v>
      </c>
      <c r="K189" s="805">
        <v>1</v>
      </c>
      <c r="L189" s="805">
        <v>1</v>
      </c>
      <c r="M189" s="805">
        <v>1</v>
      </c>
      <c r="N189" s="803">
        <f t="shared" si="17"/>
        <v>3</v>
      </c>
      <c r="O189" s="824"/>
    </row>
    <row r="190" spans="1:15" ht="22.5">
      <c r="A190" s="805" t="s">
        <v>402</v>
      </c>
      <c r="B190" s="818"/>
      <c r="C190" s="803"/>
      <c r="D190" s="819"/>
      <c r="E190" s="818"/>
      <c r="F190" s="818"/>
      <c r="G190" s="818"/>
      <c r="H190" s="818"/>
      <c r="I190" s="818"/>
      <c r="J190" s="805">
        <v>1</v>
      </c>
      <c r="K190" s="805">
        <v>1</v>
      </c>
      <c r="L190" s="805">
        <v>0</v>
      </c>
      <c r="M190" s="805">
        <v>1</v>
      </c>
      <c r="N190" s="803">
        <f t="shared" si="17"/>
        <v>3</v>
      </c>
      <c r="O190" s="824"/>
    </row>
    <row r="191" spans="1:15" ht="34.5">
      <c r="A191" s="820" t="s">
        <v>414</v>
      </c>
      <c r="B191" s="803"/>
      <c r="C191" s="803"/>
      <c r="D191" s="804"/>
      <c r="E191" s="803"/>
      <c r="F191" s="803"/>
      <c r="G191" s="803"/>
      <c r="H191" s="803"/>
      <c r="I191" s="803"/>
      <c r="J191" s="805">
        <v>1</v>
      </c>
      <c r="K191" s="805">
        <v>1</v>
      </c>
      <c r="L191" s="805">
        <v>1</v>
      </c>
      <c r="M191" s="805">
        <v>0</v>
      </c>
      <c r="N191" s="803">
        <f t="shared" si="17"/>
        <v>3</v>
      </c>
      <c r="O191" s="824"/>
    </row>
    <row r="192" spans="1:15" ht="23.25">
      <c r="A192" s="802" t="s">
        <v>368</v>
      </c>
      <c r="B192" s="803"/>
      <c r="C192" s="803"/>
      <c r="D192" s="804"/>
      <c r="E192" s="803"/>
      <c r="F192" s="803"/>
      <c r="G192" s="803"/>
      <c r="H192" s="803"/>
      <c r="I192" s="803"/>
      <c r="J192" s="805">
        <v>0</v>
      </c>
      <c r="K192" s="805">
        <v>0</v>
      </c>
      <c r="L192" s="805">
        <v>1</v>
      </c>
      <c r="M192" s="805">
        <v>1</v>
      </c>
      <c r="N192" s="803">
        <f t="shared" si="17"/>
        <v>2</v>
      </c>
      <c r="O192" s="824"/>
    </row>
    <row r="193" spans="1:15" ht="23.25">
      <c r="A193" s="802" t="s">
        <v>400</v>
      </c>
      <c r="B193" s="803"/>
      <c r="C193" s="803"/>
      <c r="D193" s="804"/>
      <c r="E193" s="803"/>
      <c r="F193" s="803"/>
      <c r="G193" s="803"/>
      <c r="H193" s="803"/>
      <c r="I193" s="803"/>
      <c r="J193" s="805">
        <v>0</v>
      </c>
      <c r="K193" s="805">
        <v>0</v>
      </c>
      <c r="L193" s="805">
        <v>1</v>
      </c>
      <c r="M193" s="805">
        <v>1</v>
      </c>
      <c r="N193" s="803">
        <f t="shared" si="17"/>
        <v>2</v>
      </c>
      <c r="O193" s="824"/>
    </row>
    <row r="194" spans="1:15" ht="22.5">
      <c r="A194" s="805" t="s">
        <v>415</v>
      </c>
      <c r="B194" s="818"/>
      <c r="C194" s="803"/>
      <c r="D194" s="819"/>
      <c r="E194" s="818"/>
      <c r="F194" s="818"/>
      <c r="G194" s="818"/>
      <c r="H194" s="818"/>
      <c r="I194" s="818"/>
      <c r="J194" s="805">
        <v>0</v>
      </c>
      <c r="K194" s="803">
        <v>0</v>
      </c>
      <c r="L194" s="805">
        <v>0</v>
      </c>
      <c r="M194" s="805">
        <v>0</v>
      </c>
      <c r="N194" s="803">
        <f t="shared" si="17"/>
        <v>0</v>
      </c>
      <c r="O194" s="824"/>
    </row>
    <row r="195" spans="1:15">
      <c r="A195" s="253"/>
      <c r="B195" s="253"/>
      <c r="C195" s="826"/>
      <c r="D195" s="826"/>
      <c r="E195" s="253"/>
      <c r="F195" s="270"/>
      <c r="G195" s="827"/>
      <c r="H195" s="827"/>
      <c r="I195" s="828"/>
      <c r="J195" s="827"/>
      <c r="K195" s="827"/>
      <c r="L195" s="827"/>
      <c r="M195" s="829"/>
      <c r="N195" s="830"/>
      <c r="O195" s="824"/>
    </row>
    <row r="196" spans="1:15">
      <c r="G196" s="784"/>
      <c r="H196" s="784"/>
      <c r="I196" s="168"/>
      <c r="J196" s="784"/>
      <c r="K196" s="784"/>
      <c r="L196" s="784"/>
      <c r="M196" s="831"/>
      <c r="N196" s="832"/>
      <c r="O196" s="824"/>
    </row>
    <row r="197" spans="1:15">
      <c r="G197" s="784"/>
      <c r="H197" s="784"/>
      <c r="I197" s="168"/>
      <c r="J197" s="784"/>
      <c r="K197" s="784"/>
      <c r="L197" s="784"/>
      <c r="M197" s="831"/>
      <c r="N197" s="832"/>
      <c r="O197" s="824"/>
    </row>
    <row r="198" spans="1:15">
      <c r="G198" s="784"/>
      <c r="H198" s="784"/>
      <c r="I198" s="168"/>
      <c r="J198" s="784"/>
      <c r="K198" s="784"/>
      <c r="L198" s="784"/>
      <c r="M198" s="831"/>
      <c r="N198" s="832"/>
      <c r="O198" s="824"/>
    </row>
    <row r="199" spans="1:15">
      <c r="G199" s="784"/>
      <c r="H199" s="784"/>
      <c r="I199" s="168"/>
      <c r="J199" s="784"/>
      <c r="K199" s="784"/>
      <c r="L199" s="784"/>
      <c r="M199" s="831"/>
      <c r="N199" s="832"/>
      <c r="O199" s="824"/>
    </row>
    <row r="200" spans="1:15">
      <c r="G200" s="784"/>
      <c r="H200" s="784"/>
      <c r="I200" s="168"/>
      <c r="J200" s="784"/>
      <c r="K200" s="784"/>
      <c r="L200" s="784"/>
      <c r="M200" s="831"/>
      <c r="N200" s="832"/>
      <c r="O200" s="824"/>
    </row>
    <row r="201" spans="1:15">
      <c r="G201" s="784"/>
      <c r="H201" s="784"/>
      <c r="I201" s="168"/>
      <c r="J201" s="784"/>
      <c r="K201" s="784"/>
      <c r="L201" s="784"/>
      <c r="M201" s="831"/>
      <c r="N201" s="832"/>
      <c r="O201" s="824"/>
    </row>
  </sheetData>
  <mergeCells count="7">
    <mergeCell ref="S45:AE45"/>
    <mergeCell ref="A4:C4"/>
    <mergeCell ref="S21:AG21"/>
    <mergeCell ref="S23:AE23"/>
    <mergeCell ref="S26:AE26"/>
    <mergeCell ref="S31:AE31"/>
    <mergeCell ref="S37:AE37"/>
  </mergeCells>
  <conditionalFormatting sqref="A106:A114">
    <cfRule type="expression" dxfId="6" priority="7" stopIfTrue="1">
      <formula>AND(COUNTIF($A$106:$A$114, A106)&gt;1,NOT(ISBLANK(A106)))</formula>
    </cfRule>
  </conditionalFormatting>
  <conditionalFormatting sqref="A115:A116">
    <cfRule type="expression" dxfId="5" priority="3" stopIfTrue="1">
      <formula>AND(COUNTIF($A$115:$A$116, A115)&gt;1,NOT(ISBLANK(A115)))</formula>
    </cfRule>
  </conditionalFormatting>
  <conditionalFormatting sqref="A118:A194">
    <cfRule type="expression" dxfId="4" priority="5" stopIfTrue="1">
      <formula>AND(COUNTIF($A$118:$A$194, A118)&gt;1,NOT(ISBLANK(A118)))</formula>
    </cfRule>
  </conditionalFormatting>
  <conditionalFormatting sqref="A106:A114">
    <cfRule type="expression" dxfId="3" priority="6" stopIfTrue="1">
      <formula>AND(COUNTIF($A$23:$A$33, A106)+COUNTIF($A$35:$A$94, A106)&gt;1,NOT(ISBLANK(A106)))</formula>
    </cfRule>
  </conditionalFormatting>
  <conditionalFormatting sqref="A118:A128 A130:A189">
    <cfRule type="expression" dxfId="2" priority="4" stopIfTrue="1">
      <formula>AND(COUNTIF($A$23:$A$33, A118)+COUNTIF($A$35:$A$94, A118)&gt;1,NOT(ISBLANK(A118)))</formula>
    </cfRule>
  </conditionalFormatting>
  <conditionalFormatting sqref="A23:A33 A35:A94">
    <cfRule type="expression" dxfId="1" priority="1" stopIfTrue="1">
      <formula>AND(COUNTIF($A$23:$A$33, A23)+COUNTIF($A$35:$A$94, A23)&gt;1,NOT(ISBLANK(A23)))</formula>
    </cfRule>
  </conditionalFormatting>
  <conditionalFormatting sqref="A23:A99">
    <cfRule type="expression" dxfId="0" priority="2" stopIfTrue="1">
      <formula>AND(COUNTIF($A$23:$A$99, A23)&gt;1,NOT(ISBLANK(A23)))</formula>
    </cfRule>
  </conditionalFormatting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workbookViewId="0"/>
  </sheetViews>
  <sheetFormatPr defaultRowHeight="15"/>
  <cols>
    <col min="1" max="1" width="13.5703125" customWidth="1"/>
    <col min="2" max="2" width="12" bestFit="1" customWidth="1"/>
    <col min="3" max="3" width="10.42578125" bestFit="1" customWidth="1"/>
    <col min="4" max="4" width="15.140625" customWidth="1"/>
    <col min="5" max="5" width="7.5703125" bestFit="1" customWidth="1"/>
    <col min="6" max="6" width="7.7109375" bestFit="1" customWidth="1"/>
    <col min="7" max="7" width="7.140625" bestFit="1" customWidth="1"/>
    <col min="8" max="8" width="7.5703125" bestFit="1" customWidth="1"/>
    <col min="9" max="9" width="7.7109375" style="2" bestFit="1" customWidth="1"/>
    <col min="10" max="10" width="7.140625" style="2" bestFit="1" customWidth="1"/>
    <col min="11" max="11" width="7.5703125" style="3" bestFit="1" customWidth="1"/>
    <col min="12" max="12" width="7.5703125" bestFit="1" customWidth="1"/>
    <col min="13" max="13" width="7.140625" bestFit="1" customWidth="1"/>
    <col min="14" max="14" width="7.5703125" bestFit="1" customWidth="1"/>
    <col min="15" max="15" width="7.28515625" bestFit="1" customWidth="1"/>
    <col min="16" max="16" width="7.140625" bestFit="1" customWidth="1"/>
    <col min="17" max="17" width="7.5703125" bestFit="1" customWidth="1"/>
    <col min="18" max="18" width="8" bestFit="1" customWidth="1"/>
    <col min="19" max="19" width="7.5703125" customWidth="1"/>
    <col min="20" max="20" width="9.140625" customWidth="1"/>
  </cols>
  <sheetData>
    <row r="1" spans="1:11">
      <c r="A1" s="1" t="s">
        <v>0</v>
      </c>
    </row>
    <row r="2" spans="1:11">
      <c r="A2" s="1" t="s">
        <v>1</v>
      </c>
    </row>
    <row r="3" spans="1:11" ht="15.75" thickBot="1"/>
    <row r="4" spans="1:11" ht="15.75" thickBot="1">
      <c r="A4" s="4" t="s">
        <v>2</v>
      </c>
      <c r="B4" s="5" t="s">
        <v>3</v>
      </c>
      <c r="C4" s="5" t="s">
        <v>4</v>
      </c>
      <c r="D4" s="6"/>
      <c r="E4" s="6"/>
      <c r="F4" s="6"/>
      <c r="I4"/>
      <c r="J4"/>
    </row>
    <row r="5" spans="1:11">
      <c r="A5" s="7">
        <v>44927</v>
      </c>
      <c r="B5" s="8">
        <v>4396</v>
      </c>
      <c r="C5" s="9">
        <f>((B5-3527)/3527)*100</f>
        <v>24.638502977034307</v>
      </c>
      <c r="D5" s="10"/>
      <c r="E5" s="10"/>
      <c r="F5" s="10"/>
      <c r="I5"/>
      <c r="J5"/>
    </row>
    <row r="6" spans="1:11">
      <c r="A6" s="11">
        <v>44958</v>
      </c>
      <c r="B6" s="12">
        <v>4747</v>
      </c>
      <c r="C6" s="9">
        <f>((B6-4396)/4396)*100</f>
        <v>7.9845313921747039</v>
      </c>
      <c r="D6" s="10"/>
      <c r="E6" s="10"/>
      <c r="F6" s="10"/>
      <c r="H6" s="13"/>
      <c r="I6" s="10"/>
      <c r="J6" s="10"/>
      <c r="K6" s="14"/>
    </row>
    <row r="7" spans="1:11">
      <c r="A7" s="11">
        <v>44986</v>
      </c>
      <c r="B7" s="15">
        <v>5681</v>
      </c>
      <c r="C7" s="9">
        <f>((B7-B6)/B6)*100</f>
        <v>19.675584579734569</v>
      </c>
      <c r="D7" s="10"/>
      <c r="E7" s="10"/>
      <c r="F7" s="10"/>
      <c r="H7" s="13"/>
      <c r="I7" s="10"/>
      <c r="J7" s="10"/>
      <c r="K7" s="14"/>
    </row>
    <row r="8" spans="1:11">
      <c r="A8" s="11">
        <v>45017</v>
      </c>
      <c r="B8" s="15">
        <v>4816</v>
      </c>
      <c r="C8" s="9">
        <f>((B8-B7)/B7)*100</f>
        <v>-15.22619257173033</v>
      </c>
      <c r="D8" s="10"/>
      <c r="E8" s="10"/>
      <c r="F8" s="10"/>
    </row>
    <row r="9" spans="1:11">
      <c r="A9" s="11">
        <v>45047</v>
      </c>
      <c r="B9" s="15"/>
      <c r="C9" s="9"/>
      <c r="D9" s="10"/>
      <c r="E9" s="10"/>
      <c r="F9" s="10"/>
    </row>
    <row r="10" spans="1:11">
      <c r="A10" s="11">
        <v>45078</v>
      </c>
      <c r="B10" s="15"/>
      <c r="C10" s="9"/>
      <c r="D10" s="10"/>
      <c r="E10" s="10"/>
      <c r="F10" s="10"/>
    </row>
    <row r="11" spans="1:11">
      <c r="A11" s="11">
        <v>45108</v>
      </c>
      <c r="B11" s="15"/>
      <c r="C11" s="9"/>
      <c r="D11" s="10"/>
      <c r="E11" s="10"/>
      <c r="F11" s="10"/>
    </row>
    <row r="12" spans="1:11">
      <c r="A12" s="11">
        <v>45139</v>
      </c>
      <c r="B12" s="15"/>
      <c r="C12" s="9"/>
      <c r="D12" s="10"/>
      <c r="E12" s="10"/>
      <c r="F12" s="10"/>
    </row>
    <row r="13" spans="1:11">
      <c r="A13" s="11">
        <v>45170</v>
      </c>
      <c r="B13" s="15"/>
      <c r="C13" s="9"/>
      <c r="D13" s="10"/>
      <c r="E13" s="10"/>
      <c r="F13" s="10"/>
    </row>
    <row r="14" spans="1:11">
      <c r="A14" s="11">
        <v>45200</v>
      </c>
      <c r="B14" s="15"/>
      <c r="C14" s="9"/>
      <c r="D14" s="10"/>
      <c r="E14" s="10"/>
      <c r="F14" s="10"/>
      <c r="H14" s="16"/>
    </row>
    <row r="15" spans="1:11">
      <c r="A15" s="11">
        <v>45231</v>
      </c>
      <c r="B15" s="15"/>
      <c r="C15" s="9"/>
      <c r="D15" s="10"/>
      <c r="E15" s="10"/>
      <c r="F15" s="10"/>
    </row>
    <row r="16" spans="1:11" ht="15.75" thickBot="1">
      <c r="A16" s="17">
        <v>45261</v>
      </c>
      <c r="B16" s="18"/>
      <c r="C16" s="19"/>
      <c r="D16" s="10"/>
      <c r="E16" s="10"/>
      <c r="F16" s="10"/>
    </row>
    <row r="17" spans="1:19" ht="15.75" thickBot="1">
      <c r="A17" s="20" t="s">
        <v>5</v>
      </c>
      <c r="B17" s="21">
        <f>SUM(B5:B16)</f>
        <v>19640</v>
      </c>
    </row>
    <row r="18" spans="1:19" ht="30">
      <c r="A18" s="22" t="s">
        <v>6</v>
      </c>
      <c r="B18" s="23">
        <f>AVERAGE(B5:B16)</f>
        <v>4910</v>
      </c>
      <c r="D18" s="24" t="s">
        <v>7</v>
      </c>
      <c r="E18" s="25">
        <v>45261</v>
      </c>
      <c r="F18" s="26">
        <v>45231</v>
      </c>
      <c r="G18" s="26">
        <v>45200</v>
      </c>
      <c r="H18" s="26">
        <v>45170</v>
      </c>
      <c r="I18" s="26">
        <v>45139</v>
      </c>
      <c r="J18" s="26">
        <v>45108</v>
      </c>
      <c r="K18" s="26">
        <v>45078</v>
      </c>
      <c r="L18" s="27">
        <v>45047</v>
      </c>
      <c r="M18" s="25">
        <v>45017</v>
      </c>
      <c r="N18" s="25">
        <v>44986</v>
      </c>
      <c r="O18" s="25">
        <v>44958</v>
      </c>
      <c r="P18" s="28">
        <v>44927</v>
      </c>
      <c r="Q18" s="26" t="s">
        <v>5</v>
      </c>
      <c r="R18" s="29" t="s">
        <v>8</v>
      </c>
      <c r="S18" s="29" t="s">
        <v>6</v>
      </c>
    </row>
    <row r="19" spans="1:19">
      <c r="A19" s="861"/>
      <c r="B19" s="861"/>
      <c r="C19" s="861"/>
      <c r="D19" s="30" t="s">
        <v>9</v>
      </c>
      <c r="E19" s="31"/>
      <c r="F19" s="32"/>
      <c r="G19" s="33"/>
      <c r="H19" s="33"/>
      <c r="I19" s="33"/>
      <c r="J19" s="33"/>
      <c r="K19" s="34"/>
      <c r="L19" s="34"/>
      <c r="M19" s="35">
        <v>129</v>
      </c>
      <c r="N19" s="36">
        <v>164</v>
      </c>
      <c r="O19" s="35">
        <v>102</v>
      </c>
      <c r="P19" s="37">
        <v>139</v>
      </c>
      <c r="Q19" s="38">
        <f>SUM(E19:P19)</f>
        <v>534</v>
      </c>
      <c r="R19" s="39">
        <f>(Q19/Q24)*100</f>
        <v>2.718940936863544</v>
      </c>
      <c r="S19" s="40">
        <f t="shared" ref="S19:S24" si="0">AVERAGE(E19:P19)</f>
        <v>133.5</v>
      </c>
    </row>
    <row r="20" spans="1:19" ht="15" customHeight="1">
      <c r="A20" s="862" t="s">
        <v>10</v>
      </c>
      <c r="B20" s="862"/>
      <c r="C20" s="41"/>
      <c r="D20" s="42" t="s">
        <v>11</v>
      </c>
      <c r="E20" s="43"/>
      <c r="F20" s="44"/>
      <c r="G20" s="45"/>
      <c r="H20" s="46"/>
      <c r="I20" s="46"/>
      <c r="J20" s="46"/>
      <c r="K20" s="47"/>
      <c r="L20" s="47"/>
      <c r="M20" s="46">
        <v>70</v>
      </c>
      <c r="N20" s="36">
        <v>76</v>
      </c>
      <c r="O20" s="46">
        <v>55</v>
      </c>
      <c r="P20" s="48">
        <v>67</v>
      </c>
      <c r="Q20" s="49">
        <f>SUM(E20:P20)</f>
        <v>268</v>
      </c>
      <c r="R20" s="50">
        <f>(Q20/Q24)*100</f>
        <v>1.3645621181262728</v>
      </c>
      <c r="S20" s="51">
        <f t="shared" si="0"/>
        <v>67</v>
      </c>
    </row>
    <row r="21" spans="1:19">
      <c r="A21" s="862"/>
      <c r="B21" s="862"/>
      <c r="D21" s="42" t="s">
        <v>12</v>
      </c>
      <c r="E21" s="52"/>
      <c r="F21" s="44"/>
      <c r="G21" s="46"/>
      <c r="H21" s="46"/>
      <c r="I21" s="46"/>
      <c r="J21" s="46"/>
      <c r="K21" s="47"/>
      <c r="L21" s="47"/>
      <c r="M21" s="46">
        <v>4272</v>
      </c>
      <c r="N21" s="36">
        <v>5075</v>
      </c>
      <c r="O21" s="46">
        <v>4256</v>
      </c>
      <c r="P21" s="48">
        <v>3881</v>
      </c>
      <c r="Q21" s="49">
        <f>SUM(E21:P21)</f>
        <v>17484</v>
      </c>
      <c r="R21" s="50">
        <f>(Q21/Q24)*100</f>
        <v>89.0224032586558</v>
      </c>
      <c r="S21" s="51">
        <f t="shared" si="0"/>
        <v>4371</v>
      </c>
    </row>
    <row r="22" spans="1:19">
      <c r="D22" s="42" t="s">
        <v>13</v>
      </c>
      <c r="E22" s="52"/>
      <c r="F22" s="44"/>
      <c r="G22" s="46"/>
      <c r="H22" s="46"/>
      <c r="I22" s="46"/>
      <c r="J22" s="46"/>
      <c r="K22" s="47"/>
      <c r="L22" s="47"/>
      <c r="M22" s="46">
        <v>257</v>
      </c>
      <c r="N22" s="36">
        <v>292</v>
      </c>
      <c r="O22" s="46">
        <v>262</v>
      </c>
      <c r="P22" s="48">
        <v>253</v>
      </c>
      <c r="Q22" s="49">
        <f>SUM(E22:P22)</f>
        <v>1064</v>
      </c>
      <c r="R22" s="50">
        <f>(Q22/Q24)*100</f>
        <v>5.4175152749490838</v>
      </c>
      <c r="S22" s="51">
        <f t="shared" si="0"/>
        <v>266</v>
      </c>
    </row>
    <row r="23" spans="1:19" ht="15.75" thickBot="1">
      <c r="D23" s="42" t="s">
        <v>14</v>
      </c>
      <c r="E23" s="53"/>
      <c r="F23" s="44"/>
      <c r="G23" s="54"/>
      <c r="H23" s="55"/>
      <c r="I23" s="55"/>
      <c r="J23" s="55"/>
      <c r="K23" s="56"/>
      <c r="L23" s="56"/>
      <c r="M23" s="46">
        <v>88</v>
      </c>
      <c r="N23" s="36">
        <v>74</v>
      </c>
      <c r="O23" s="55">
        <v>72</v>
      </c>
      <c r="P23" s="57">
        <v>56</v>
      </c>
      <c r="Q23" s="58">
        <f>SUM(E23:P23)</f>
        <v>290</v>
      </c>
      <c r="R23" s="59">
        <f>(Q23/Q24)*100</f>
        <v>1.4765784114052953</v>
      </c>
      <c r="S23" s="60">
        <f t="shared" si="0"/>
        <v>72.5</v>
      </c>
    </row>
    <row r="24" spans="1:19" ht="15.75" thickBot="1">
      <c r="D24" s="61" t="s">
        <v>15</v>
      </c>
      <c r="E24" s="62"/>
      <c r="F24" s="62"/>
      <c r="G24" s="62"/>
      <c r="H24" s="62"/>
      <c r="I24" s="62"/>
      <c r="J24" s="62"/>
      <c r="K24" s="62"/>
      <c r="L24" s="63"/>
      <c r="M24" s="62">
        <f t="shared" ref="M24:R24" si="1">SUM(M19:M23)</f>
        <v>4816</v>
      </c>
      <c r="N24" s="64">
        <f t="shared" si="1"/>
        <v>5681</v>
      </c>
      <c r="O24" s="62">
        <f t="shared" si="1"/>
        <v>4747</v>
      </c>
      <c r="P24" s="64">
        <f t="shared" si="1"/>
        <v>4396</v>
      </c>
      <c r="Q24" s="65">
        <f t="shared" si="1"/>
        <v>19640</v>
      </c>
      <c r="R24" s="64">
        <f t="shared" si="1"/>
        <v>100</v>
      </c>
      <c r="S24" s="66">
        <f t="shared" si="0"/>
        <v>4910</v>
      </c>
    </row>
    <row r="31" spans="1:19">
      <c r="Q31" s="3"/>
    </row>
    <row r="33" spans="13:13">
      <c r="M33" s="3"/>
    </row>
  </sheetData>
  <mergeCells count="2">
    <mergeCell ref="A19:C19"/>
    <mergeCell ref="A20:B21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C1" workbookViewId="0"/>
  </sheetViews>
  <sheetFormatPr defaultRowHeight="15"/>
  <cols>
    <col min="1" max="1" width="55.7109375" hidden="1" customWidth="1"/>
    <col min="2" max="2" width="19.85546875" hidden="1" customWidth="1"/>
    <col min="3" max="3" width="9.140625" customWidth="1"/>
  </cols>
  <sheetData>
    <row r="1" spans="1:2">
      <c r="A1" s="177" t="s">
        <v>0</v>
      </c>
    </row>
    <row r="2" spans="1:2">
      <c r="A2" s="1" t="s">
        <v>1</v>
      </c>
    </row>
    <row r="3" spans="1:2">
      <c r="A3" s="174"/>
    </row>
    <row r="4" spans="1:2">
      <c r="A4" s="833" t="s">
        <v>433</v>
      </c>
      <c r="B4" s="834" t="s">
        <v>434</v>
      </c>
    </row>
    <row r="5" spans="1:2" ht="15.75" thickBot="1">
      <c r="A5" s="835" t="s">
        <v>435</v>
      </c>
      <c r="B5" s="836">
        <v>135</v>
      </c>
    </row>
    <row r="6" spans="1:2" ht="45">
      <c r="A6" s="835" t="s">
        <v>436</v>
      </c>
      <c r="B6" s="836">
        <v>58</v>
      </c>
    </row>
    <row r="7" spans="1:2" ht="45">
      <c r="A7" s="837" t="s">
        <v>437</v>
      </c>
      <c r="B7" s="836">
        <v>281</v>
      </c>
    </row>
    <row r="8" spans="1:2" ht="15.75" thickBot="1">
      <c r="A8" s="835" t="s">
        <v>438</v>
      </c>
      <c r="B8" s="836">
        <v>106</v>
      </c>
    </row>
    <row r="9" spans="1:2" ht="15.75" thickBot="1">
      <c r="A9" s="835" t="s">
        <v>439</v>
      </c>
      <c r="B9" s="836">
        <v>4</v>
      </c>
    </row>
    <row r="10" spans="1:2" ht="15.75" thickBot="1">
      <c r="A10" s="835" t="s">
        <v>440</v>
      </c>
      <c r="B10" s="836">
        <v>257</v>
      </c>
    </row>
    <row r="11" spans="1:2" ht="15.75" thickBot="1">
      <c r="A11" s="835" t="s">
        <v>441</v>
      </c>
      <c r="B11" s="836">
        <v>72</v>
      </c>
    </row>
    <row r="12" spans="1:2" ht="30">
      <c r="A12" s="838" t="s">
        <v>442</v>
      </c>
      <c r="B12" s="836">
        <v>42</v>
      </c>
    </row>
    <row r="13" spans="1:2">
      <c r="A13" s="839" t="s">
        <v>15</v>
      </c>
      <c r="B13" s="840">
        <f>SUM(B5:B12)</f>
        <v>955</v>
      </c>
    </row>
    <row r="16" spans="1:2">
      <c r="A16" s="174"/>
    </row>
    <row r="17" spans="1:1">
      <c r="A17" s="174"/>
    </row>
    <row r="18" spans="1:1">
      <c r="A18" s="174"/>
    </row>
    <row r="19" spans="1:1">
      <c r="A19" s="174"/>
    </row>
  </sheetData>
  <pageMargins left="0.511811024" right="0.511811024" top="0.78740157500000008" bottom="0.78740157500000008" header="0.31496062000000008" footer="0.3149606200000000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/>
  <cols>
    <col min="1" max="1" width="28.7109375" style="176" customWidth="1"/>
    <col min="2" max="2" width="35.28515625" customWidth="1"/>
    <col min="3" max="3" width="11.42578125" bestFit="1" customWidth="1"/>
    <col min="4" max="4" width="9.140625" customWidth="1"/>
  </cols>
  <sheetData>
    <row r="1" spans="1:20">
      <c r="A1" s="177" t="s">
        <v>0</v>
      </c>
      <c r="D1" s="841"/>
      <c r="E1" s="841"/>
      <c r="F1" s="841"/>
      <c r="G1" s="841"/>
      <c r="H1" s="841"/>
      <c r="I1" s="841"/>
      <c r="J1" s="841"/>
      <c r="K1" s="841"/>
      <c r="L1" s="841"/>
      <c r="M1" s="841"/>
      <c r="N1" s="841"/>
      <c r="O1" s="841"/>
      <c r="P1" s="841"/>
      <c r="Q1" s="841"/>
      <c r="R1" s="841"/>
      <c r="S1" s="841"/>
      <c r="T1" s="841"/>
    </row>
    <row r="2" spans="1:20">
      <c r="A2" s="1" t="s">
        <v>1</v>
      </c>
      <c r="D2" s="841"/>
      <c r="E2" s="841"/>
      <c r="F2" s="841"/>
      <c r="G2" s="841"/>
      <c r="H2" s="841"/>
      <c r="I2" s="841"/>
      <c r="J2" s="841"/>
      <c r="K2" s="841"/>
      <c r="L2" s="841"/>
      <c r="M2" s="841"/>
      <c r="N2" s="841"/>
      <c r="O2" s="841"/>
      <c r="P2" s="841"/>
      <c r="Q2" s="841"/>
      <c r="R2" s="841"/>
      <c r="S2" s="841"/>
      <c r="T2" s="841"/>
    </row>
    <row r="3" spans="1:20" ht="9.75" customHeight="1" thickBot="1">
      <c r="D3" s="841"/>
      <c r="E3" s="841"/>
      <c r="F3" s="841"/>
      <c r="G3" s="841"/>
      <c r="H3" s="841"/>
      <c r="I3" s="841"/>
      <c r="J3" s="841"/>
      <c r="K3" s="841"/>
      <c r="L3" s="841"/>
      <c r="M3" s="841"/>
      <c r="N3" s="841"/>
      <c r="O3" s="841"/>
      <c r="P3" s="841"/>
      <c r="Q3" s="841"/>
      <c r="R3" s="841"/>
      <c r="S3" s="841"/>
      <c r="T3" s="841"/>
    </row>
    <row r="4" spans="1:20" ht="15.75" thickBot="1">
      <c r="A4" s="842" t="s">
        <v>443</v>
      </c>
      <c r="B4" s="843" t="s">
        <v>444</v>
      </c>
      <c r="C4" s="844" t="s">
        <v>434</v>
      </c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1"/>
      <c r="P4" s="841"/>
      <c r="Q4" s="841"/>
      <c r="R4" s="841"/>
      <c r="S4" s="841"/>
      <c r="T4" s="841"/>
    </row>
    <row r="5" spans="1:20">
      <c r="A5" s="845" t="s">
        <v>149</v>
      </c>
      <c r="B5" s="846" t="s">
        <v>439</v>
      </c>
      <c r="C5" s="847">
        <v>0</v>
      </c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1"/>
      <c r="P5" s="841"/>
      <c r="Q5" s="841"/>
      <c r="R5" s="841"/>
      <c r="S5" s="841"/>
      <c r="T5" s="841"/>
    </row>
    <row r="6" spans="1:20">
      <c r="A6" s="848" t="s">
        <v>445</v>
      </c>
      <c r="B6" s="849" t="s">
        <v>438</v>
      </c>
      <c r="C6" s="850">
        <v>5</v>
      </c>
      <c r="D6" s="841"/>
      <c r="E6" s="841"/>
      <c r="F6" s="841"/>
      <c r="G6" s="841"/>
      <c r="H6" s="841"/>
      <c r="I6" s="841"/>
      <c r="J6" s="841"/>
      <c r="K6" s="841"/>
      <c r="L6" s="841"/>
      <c r="M6" s="841"/>
      <c r="N6" s="841"/>
      <c r="O6" s="841"/>
      <c r="P6" s="841"/>
      <c r="Q6" s="841"/>
      <c r="R6" s="841"/>
      <c r="S6" s="841"/>
      <c r="T6" s="841"/>
    </row>
    <row r="7" spans="1:20">
      <c r="A7" s="851" t="s">
        <v>182</v>
      </c>
      <c r="B7" s="852" t="s">
        <v>440</v>
      </c>
      <c r="C7" s="853">
        <v>0</v>
      </c>
      <c r="D7" s="841"/>
      <c r="E7" s="841"/>
      <c r="F7" s="841"/>
      <c r="G7" s="841"/>
      <c r="H7" s="841"/>
      <c r="I7" s="841"/>
      <c r="J7" s="841"/>
      <c r="K7" s="841"/>
      <c r="L7" s="841"/>
      <c r="M7" s="841"/>
      <c r="N7" s="841"/>
      <c r="O7" s="841"/>
      <c r="P7" s="841"/>
      <c r="Q7" s="841"/>
      <c r="R7" s="841"/>
      <c r="S7" s="841"/>
      <c r="T7" s="841"/>
    </row>
    <row r="8" spans="1:20">
      <c r="A8" s="848" t="s">
        <v>441</v>
      </c>
      <c r="B8" s="849" t="s">
        <v>441</v>
      </c>
      <c r="C8" s="850">
        <v>5</v>
      </c>
      <c r="D8" s="841"/>
      <c r="E8" s="841"/>
      <c r="F8" s="841"/>
      <c r="G8" s="841"/>
      <c r="H8" s="841"/>
      <c r="I8" s="841"/>
      <c r="J8" s="841"/>
      <c r="K8" s="841"/>
      <c r="L8" s="841"/>
      <c r="M8" s="841"/>
      <c r="N8" s="841"/>
      <c r="O8" s="841"/>
      <c r="P8" s="841"/>
      <c r="Q8" s="841"/>
      <c r="R8" s="841"/>
      <c r="S8" s="841"/>
      <c r="T8" s="841"/>
    </row>
    <row r="9" spans="1:20" ht="45">
      <c r="A9" s="854" t="s">
        <v>338</v>
      </c>
      <c r="B9" s="855" t="s">
        <v>442</v>
      </c>
      <c r="C9" s="856">
        <v>0</v>
      </c>
      <c r="D9" s="841"/>
      <c r="E9" s="841"/>
      <c r="F9" s="841"/>
      <c r="G9" s="841"/>
      <c r="H9" s="841"/>
      <c r="I9" s="841"/>
      <c r="J9" s="841"/>
      <c r="K9" s="841"/>
      <c r="L9" s="841"/>
      <c r="M9" s="841"/>
      <c r="N9" s="841"/>
      <c r="O9" s="841"/>
      <c r="P9" s="841"/>
      <c r="Q9" s="841"/>
      <c r="R9" s="841"/>
      <c r="S9" s="841"/>
      <c r="T9" s="841"/>
    </row>
    <row r="10" spans="1:20" ht="15.75" thickBot="1">
      <c r="A10" s="857"/>
      <c r="B10" s="858" t="s">
        <v>15</v>
      </c>
      <c r="C10" s="859">
        <f>SUM(C5:C9)</f>
        <v>10</v>
      </c>
      <c r="D10" s="841"/>
      <c r="E10" s="841"/>
      <c r="F10" s="841"/>
      <c r="G10" s="841"/>
      <c r="H10" s="841"/>
      <c r="I10" s="841"/>
      <c r="J10" s="841"/>
      <c r="K10" s="841"/>
      <c r="L10" s="841"/>
      <c r="M10" s="841"/>
      <c r="N10" s="841"/>
      <c r="O10" s="841"/>
      <c r="P10" s="841"/>
      <c r="Q10" s="841"/>
      <c r="R10" s="841"/>
      <c r="S10" s="841"/>
      <c r="T10" s="841"/>
    </row>
    <row r="11" spans="1:20">
      <c r="A11" s="860"/>
      <c r="B11" s="841"/>
      <c r="C11" s="841"/>
      <c r="D11" s="841"/>
      <c r="E11" s="841"/>
      <c r="F11" s="841"/>
      <c r="G11" s="841"/>
      <c r="H11" s="841"/>
      <c r="I11" s="841"/>
      <c r="J11" s="841"/>
      <c r="K11" s="841"/>
      <c r="L11" s="841"/>
      <c r="M11" s="841"/>
      <c r="N11" s="841"/>
      <c r="O11" s="841"/>
      <c r="P11" s="841"/>
      <c r="Q11" s="841"/>
      <c r="R11" s="841"/>
      <c r="S11" s="841"/>
      <c r="T11" s="841"/>
    </row>
    <row r="12" spans="1:20">
      <c r="A12" s="860"/>
      <c r="B12" s="841"/>
      <c r="C12" s="841"/>
      <c r="D12" s="841"/>
      <c r="E12" s="841"/>
      <c r="F12" s="841"/>
      <c r="G12" s="841"/>
      <c r="H12" s="841"/>
      <c r="I12" s="841"/>
      <c r="J12" s="841"/>
      <c r="K12" s="841"/>
      <c r="L12" s="841"/>
      <c r="M12" s="841"/>
      <c r="N12" s="841"/>
      <c r="O12" s="841"/>
      <c r="P12" s="841"/>
      <c r="Q12" s="841"/>
      <c r="R12" s="841"/>
      <c r="S12" s="841"/>
      <c r="T12" s="841"/>
    </row>
    <row r="13" spans="1:20">
      <c r="A13" s="860"/>
      <c r="B13" s="841"/>
      <c r="C13" s="841"/>
      <c r="D13" s="841"/>
      <c r="E13" s="841"/>
      <c r="F13" s="841"/>
      <c r="G13" s="841"/>
      <c r="H13" s="841"/>
      <c r="I13" s="841"/>
      <c r="J13" s="841"/>
      <c r="K13" s="841"/>
      <c r="L13" s="841"/>
      <c r="M13" s="841"/>
      <c r="N13" s="841"/>
      <c r="O13" s="841"/>
      <c r="P13" s="841"/>
      <c r="Q13" s="841"/>
      <c r="R13" s="841"/>
    </row>
    <row r="14" spans="1:20">
      <c r="A14" s="860"/>
      <c r="B14" s="841"/>
      <c r="C14" s="841"/>
      <c r="D14" s="841"/>
      <c r="E14" s="841"/>
      <c r="F14" s="841"/>
      <c r="G14" s="841"/>
      <c r="H14" s="841"/>
      <c r="I14" s="841"/>
      <c r="J14" s="841"/>
      <c r="K14" s="841"/>
      <c r="L14" s="841"/>
      <c r="M14" s="841"/>
      <c r="N14" s="841"/>
      <c r="O14" s="841"/>
      <c r="P14" s="841"/>
      <c r="Q14" s="841"/>
      <c r="R14" s="841"/>
    </row>
    <row r="15" spans="1:20">
      <c r="A15" s="860"/>
      <c r="B15" s="841"/>
      <c r="C15" s="841"/>
      <c r="D15" s="841"/>
      <c r="E15" s="841"/>
      <c r="F15" s="841"/>
      <c r="G15" s="841"/>
      <c r="H15" s="841"/>
      <c r="I15" s="841"/>
      <c r="J15" s="841"/>
      <c r="K15" s="841"/>
      <c r="L15" s="841"/>
      <c r="M15" s="841"/>
      <c r="N15" s="841"/>
      <c r="O15" s="841"/>
      <c r="P15" s="841"/>
      <c r="Q15" s="841"/>
      <c r="R15" s="841"/>
    </row>
    <row r="16" spans="1:20">
      <c r="A16" s="860"/>
      <c r="B16" s="841"/>
      <c r="C16" s="841"/>
      <c r="D16" s="841"/>
      <c r="E16" s="841"/>
      <c r="F16" s="841"/>
      <c r="G16" s="841"/>
      <c r="H16" s="841"/>
      <c r="I16" s="841"/>
      <c r="J16" s="841"/>
      <c r="K16" s="841"/>
      <c r="L16" s="841"/>
      <c r="M16" s="841"/>
      <c r="N16" s="841"/>
      <c r="O16" s="841"/>
      <c r="P16" s="841"/>
      <c r="Q16" s="841"/>
      <c r="R16" s="841"/>
    </row>
    <row r="17" spans="1:18">
      <c r="A17" s="860"/>
      <c r="B17" s="841"/>
      <c r="C17" s="841"/>
      <c r="D17" s="841"/>
      <c r="E17" s="841"/>
      <c r="F17" s="841"/>
      <c r="G17" s="841"/>
      <c r="H17" s="841"/>
      <c r="I17" s="841"/>
      <c r="J17" s="841"/>
      <c r="K17" s="841"/>
      <c r="L17" s="841"/>
      <c r="M17" s="841"/>
      <c r="N17" s="841"/>
      <c r="O17" s="841"/>
      <c r="P17" s="841"/>
      <c r="Q17" s="841"/>
      <c r="R17" s="841"/>
    </row>
    <row r="18" spans="1:18">
      <c r="A18" s="860"/>
      <c r="B18" s="841"/>
      <c r="C18" s="841"/>
      <c r="D18" s="841"/>
      <c r="E18" s="841"/>
      <c r="F18" s="841"/>
      <c r="G18" s="841"/>
      <c r="H18" s="841"/>
      <c r="I18" s="841"/>
      <c r="J18" s="841"/>
      <c r="K18" s="841"/>
      <c r="L18" s="841"/>
      <c r="M18" s="841"/>
      <c r="N18" s="841"/>
      <c r="O18" s="841"/>
      <c r="P18" s="841"/>
      <c r="Q18" s="841"/>
      <c r="R18" s="841"/>
    </row>
    <row r="19" spans="1:18">
      <c r="A19" s="860"/>
      <c r="B19" s="841"/>
      <c r="C19" s="841"/>
      <c r="D19" s="841"/>
      <c r="E19" s="841"/>
      <c r="F19" s="841"/>
      <c r="G19" s="841"/>
      <c r="H19" s="841"/>
      <c r="I19" s="841"/>
      <c r="J19" s="841"/>
      <c r="K19" s="841"/>
      <c r="L19" s="841"/>
      <c r="M19" s="841"/>
      <c r="N19" s="841"/>
      <c r="O19" s="841"/>
      <c r="P19" s="841"/>
      <c r="Q19" s="841"/>
      <c r="R19" s="841"/>
    </row>
    <row r="20" spans="1:18">
      <c r="A20" s="860"/>
      <c r="B20" s="841"/>
      <c r="C20" s="841"/>
      <c r="D20" s="841"/>
      <c r="E20" s="841"/>
      <c r="F20" s="841"/>
      <c r="G20" s="841"/>
      <c r="H20" s="841"/>
      <c r="I20" s="841"/>
      <c r="J20" s="841"/>
      <c r="K20" s="841"/>
      <c r="L20" s="841"/>
      <c r="M20" s="841"/>
      <c r="N20" s="841"/>
      <c r="O20" s="841"/>
      <c r="P20" s="841"/>
      <c r="Q20" s="841"/>
      <c r="R20" s="841"/>
    </row>
    <row r="21" spans="1:18">
      <c r="A21" s="860"/>
      <c r="B21" s="841"/>
      <c r="C21" s="841"/>
      <c r="D21" s="841"/>
      <c r="E21" s="841"/>
      <c r="F21" s="841"/>
      <c r="G21" s="841"/>
      <c r="H21" s="841"/>
      <c r="I21" s="841"/>
      <c r="J21" s="841"/>
      <c r="K21" s="841"/>
      <c r="L21" s="841"/>
      <c r="M21" s="841"/>
      <c r="N21" s="841"/>
      <c r="O21" s="841"/>
      <c r="P21" s="841"/>
      <c r="Q21" s="841"/>
      <c r="R21" s="841"/>
    </row>
    <row r="22" spans="1:18">
      <c r="A22" s="860"/>
      <c r="B22" s="841"/>
      <c r="C22" s="841"/>
      <c r="D22" s="841"/>
      <c r="E22" s="841"/>
      <c r="F22" s="841"/>
      <c r="G22" s="841"/>
      <c r="H22" s="841"/>
      <c r="I22" s="841"/>
      <c r="J22" s="841"/>
      <c r="K22" s="841"/>
      <c r="L22" s="841"/>
      <c r="M22" s="841"/>
      <c r="N22" s="841"/>
      <c r="O22" s="841"/>
      <c r="P22" s="841"/>
      <c r="Q22" s="841"/>
      <c r="R22" s="841"/>
    </row>
    <row r="23" spans="1:18">
      <c r="A23" s="860"/>
      <c r="B23" s="841"/>
      <c r="C23" s="841"/>
      <c r="D23" s="841"/>
      <c r="E23" s="841"/>
      <c r="F23" s="841"/>
      <c r="G23" s="841"/>
      <c r="H23" s="841"/>
      <c r="I23" s="841"/>
      <c r="J23" s="841"/>
      <c r="K23" s="841"/>
      <c r="L23" s="841"/>
      <c r="M23" s="841"/>
      <c r="N23" s="841"/>
      <c r="O23" s="841"/>
      <c r="P23" s="841"/>
      <c r="Q23" s="841"/>
      <c r="R23" s="841"/>
    </row>
    <row r="24" spans="1:18">
      <c r="A24" s="860"/>
      <c r="B24" s="841"/>
      <c r="C24" s="841"/>
      <c r="D24" s="841"/>
      <c r="E24" s="841"/>
      <c r="F24" s="841"/>
      <c r="G24" s="841"/>
      <c r="H24" s="841"/>
      <c r="I24" s="841"/>
      <c r="J24" s="841"/>
      <c r="K24" s="841"/>
      <c r="L24" s="841"/>
      <c r="M24" s="841"/>
      <c r="N24" s="841"/>
      <c r="O24" s="841"/>
      <c r="P24" s="841"/>
      <c r="Q24" s="841"/>
      <c r="R24" s="841"/>
    </row>
    <row r="25" spans="1:18">
      <c r="A25" s="860"/>
      <c r="B25" s="841"/>
      <c r="C25" s="841"/>
      <c r="D25" s="841"/>
      <c r="E25" s="841"/>
      <c r="F25" s="841"/>
      <c r="G25" s="841"/>
      <c r="H25" s="841"/>
      <c r="I25" s="841"/>
      <c r="J25" s="841"/>
      <c r="K25" s="841"/>
      <c r="L25" s="841"/>
      <c r="M25" s="841"/>
      <c r="N25" s="841"/>
      <c r="O25" s="841"/>
      <c r="P25" s="841"/>
      <c r="Q25" s="841"/>
      <c r="R25" s="841"/>
    </row>
    <row r="26" spans="1:18">
      <c r="A26" s="860"/>
      <c r="B26" s="841"/>
      <c r="C26" s="841"/>
      <c r="D26" s="841"/>
      <c r="E26" s="841"/>
      <c r="F26" s="841"/>
      <c r="G26" s="841"/>
      <c r="H26" s="841"/>
      <c r="I26" s="841"/>
      <c r="J26" s="841"/>
      <c r="K26" s="841"/>
      <c r="L26" s="841"/>
      <c r="M26" s="841"/>
      <c r="N26" s="841"/>
      <c r="O26" s="841"/>
      <c r="P26" s="841"/>
      <c r="Q26" s="841"/>
      <c r="R26" s="841"/>
    </row>
    <row r="27" spans="1:18">
      <c r="A27" s="860"/>
      <c r="B27" s="841"/>
      <c r="C27" s="841"/>
      <c r="D27" s="841"/>
      <c r="E27" s="841"/>
      <c r="F27" s="841"/>
      <c r="G27" s="841"/>
      <c r="H27" s="841"/>
      <c r="I27" s="841"/>
      <c r="J27" s="841"/>
      <c r="K27" s="841"/>
      <c r="L27" s="841"/>
      <c r="M27" s="841"/>
      <c r="N27" s="841"/>
      <c r="O27" s="841"/>
      <c r="P27" s="841"/>
      <c r="Q27" s="841"/>
      <c r="R27" s="841"/>
    </row>
    <row r="28" spans="1:18">
      <c r="A28" s="860"/>
      <c r="B28" s="841"/>
      <c r="C28" s="841"/>
      <c r="D28" s="841"/>
      <c r="E28" s="841"/>
      <c r="F28" s="841"/>
      <c r="G28" s="841"/>
      <c r="H28" s="841"/>
      <c r="I28" s="841"/>
      <c r="J28" s="841"/>
      <c r="K28" s="841"/>
      <c r="L28" s="841"/>
      <c r="M28" s="841"/>
      <c r="N28" s="841"/>
      <c r="O28" s="841"/>
      <c r="P28" s="841"/>
      <c r="Q28" s="841"/>
      <c r="R28" s="841"/>
    </row>
    <row r="29" spans="1:18">
      <c r="A29" s="860"/>
      <c r="B29" s="841"/>
      <c r="C29" s="841"/>
      <c r="D29" s="841"/>
      <c r="E29" s="841"/>
      <c r="F29" s="841"/>
      <c r="G29" s="841"/>
      <c r="H29" s="841"/>
      <c r="I29" s="841"/>
      <c r="J29" s="841"/>
      <c r="K29" s="841"/>
      <c r="L29" s="841"/>
      <c r="M29" s="841"/>
      <c r="N29" s="841"/>
      <c r="O29" s="841"/>
      <c r="P29" s="841"/>
      <c r="Q29" s="841"/>
      <c r="R29" s="841"/>
    </row>
    <row r="30" spans="1:18">
      <c r="A30" s="860"/>
      <c r="B30" s="841"/>
      <c r="C30" s="841"/>
      <c r="D30" s="841"/>
      <c r="E30" s="841"/>
      <c r="F30" s="841"/>
      <c r="G30" s="841"/>
      <c r="H30" s="841"/>
      <c r="I30" s="841"/>
      <c r="J30" s="841"/>
      <c r="K30" s="841"/>
      <c r="L30" s="841"/>
      <c r="M30" s="841"/>
      <c r="N30" s="841"/>
      <c r="O30" s="841"/>
      <c r="P30" s="841"/>
      <c r="Q30" s="841"/>
      <c r="R30" s="841"/>
    </row>
    <row r="31" spans="1:18">
      <c r="A31" s="860"/>
      <c r="B31" s="841"/>
      <c r="C31" s="841"/>
      <c r="D31" s="841"/>
      <c r="E31" s="841"/>
      <c r="F31" s="841"/>
      <c r="G31" s="841"/>
      <c r="H31" s="841"/>
      <c r="I31" s="841"/>
      <c r="J31" s="841"/>
      <c r="K31" s="841"/>
      <c r="L31" s="841"/>
      <c r="M31" s="841"/>
      <c r="N31" s="841"/>
      <c r="O31" s="841"/>
      <c r="P31" s="841"/>
      <c r="Q31" s="841"/>
      <c r="R31" s="841"/>
    </row>
    <row r="32" spans="1:18">
      <c r="A32" s="860"/>
      <c r="B32" s="841"/>
      <c r="C32" s="841"/>
      <c r="D32" s="841"/>
      <c r="E32" s="841"/>
      <c r="F32" s="841"/>
      <c r="G32" s="841"/>
      <c r="H32" s="841"/>
      <c r="I32" s="841"/>
      <c r="J32" s="841"/>
      <c r="K32" s="841"/>
      <c r="L32" s="841"/>
      <c r="M32" s="841"/>
      <c r="N32" s="841"/>
      <c r="O32" s="841"/>
      <c r="P32" s="841"/>
      <c r="Q32" s="841"/>
      <c r="R32" s="841"/>
    </row>
    <row r="33" spans="1:18">
      <c r="A33" s="860"/>
      <c r="B33" s="841"/>
      <c r="C33" s="841"/>
      <c r="D33" s="841"/>
      <c r="E33" s="841"/>
      <c r="F33" s="841"/>
      <c r="G33" s="841"/>
      <c r="H33" s="841"/>
      <c r="I33" s="841"/>
      <c r="J33" s="841"/>
      <c r="K33" s="841"/>
      <c r="L33" s="841"/>
      <c r="M33" s="841"/>
      <c r="N33" s="841"/>
      <c r="O33" s="841"/>
      <c r="P33" s="841"/>
      <c r="Q33" s="841"/>
      <c r="R33" s="841"/>
    </row>
    <row r="34" spans="1:18">
      <c r="A34" s="860"/>
      <c r="B34" s="841"/>
      <c r="C34" s="841"/>
      <c r="D34" s="841"/>
      <c r="E34" s="841"/>
      <c r="F34" s="841"/>
      <c r="G34" s="841"/>
      <c r="H34" s="841"/>
      <c r="I34" s="841"/>
      <c r="J34" s="841"/>
      <c r="K34" s="841"/>
      <c r="L34" s="841"/>
      <c r="M34" s="841"/>
      <c r="N34" s="841"/>
      <c r="O34" s="841"/>
      <c r="P34" s="841"/>
      <c r="Q34" s="841"/>
      <c r="R34" s="841"/>
    </row>
    <row r="35" spans="1:18">
      <c r="A35" s="860"/>
      <c r="B35" s="841"/>
      <c r="C35" s="841"/>
      <c r="D35" s="841"/>
      <c r="E35" s="841"/>
      <c r="F35" s="841"/>
      <c r="G35" s="841"/>
      <c r="H35" s="841"/>
      <c r="I35" s="841"/>
      <c r="J35" s="841"/>
      <c r="K35" s="841"/>
      <c r="L35" s="841"/>
      <c r="M35" s="841"/>
      <c r="N35" s="841"/>
      <c r="O35" s="841"/>
      <c r="P35" s="841"/>
      <c r="Q35" s="841"/>
      <c r="R35" s="84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workbookViewId="0"/>
  </sheetViews>
  <sheetFormatPr defaultRowHeight="15"/>
  <cols>
    <col min="1" max="1" width="66.5703125" customWidth="1"/>
    <col min="2" max="2" width="7.5703125" bestFit="1" customWidth="1"/>
    <col min="3" max="3" width="7.7109375" bestFit="1" customWidth="1"/>
    <col min="4" max="4" width="7.140625" bestFit="1" customWidth="1"/>
    <col min="5" max="5" width="7" bestFit="1" customWidth="1"/>
    <col min="6" max="6" width="7.5703125" style="2" bestFit="1" customWidth="1"/>
    <col min="7" max="7" width="6.28515625" bestFit="1" customWidth="1"/>
    <col min="8" max="8" width="7" bestFit="1" customWidth="1"/>
    <col min="9" max="9" width="7.85546875" customWidth="1"/>
    <col min="10" max="10" width="7.140625" bestFit="1" customWidth="1"/>
    <col min="11" max="11" width="7.5703125" bestFit="1" customWidth="1"/>
    <col min="12" max="12" width="7.140625" bestFit="1" customWidth="1"/>
    <col min="13" max="13" width="6.85546875" bestFit="1" customWidth="1"/>
    <col min="14" max="14" width="7.28515625" bestFit="1" customWidth="1"/>
    <col min="15" max="15" width="7.140625" bestFit="1" customWidth="1"/>
    <col min="16" max="16" width="8" bestFit="1" customWidth="1"/>
    <col min="17" max="17" width="10.85546875" customWidth="1"/>
    <col min="18" max="20" width="9.140625" customWidth="1"/>
    <col min="21" max="21" width="22" bestFit="1" customWidth="1"/>
    <col min="22" max="22" width="11" bestFit="1" customWidth="1"/>
    <col min="23" max="23" width="6.85546875" bestFit="1" customWidth="1"/>
    <col min="24" max="24" width="9.140625" customWidth="1"/>
  </cols>
  <sheetData>
    <row r="1" spans="1:32">
      <c r="A1" s="1" t="s">
        <v>0</v>
      </c>
      <c r="B1" s="1"/>
      <c r="C1" s="1"/>
    </row>
    <row r="2" spans="1:32">
      <c r="A2" s="1" t="s">
        <v>1</v>
      </c>
      <c r="B2" s="1"/>
      <c r="C2" s="1"/>
    </row>
    <row r="3" spans="1:32" ht="15.75" thickBot="1"/>
    <row r="4" spans="1:32" ht="50.25" customHeight="1" thickBot="1">
      <c r="A4" s="67" t="s">
        <v>16</v>
      </c>
      <c r="B4" s="27">
        <v>45261</v>
      </c>
      <c r="C4" s="25">
        <v>45231</v>
      </c>
      <c r="D4" s="68">
        <v>45200</v>
      </c>
      <c r="E4" s="26">
        <v>45170</v>
      </c>
      <c r="F4" s="26">
        <v>45139</v>
      </c>
      <c r="G4" s="26">
        <v>44743</v>
      </c>
      <c r="H4" s="26">
        <v>45078</v>
      </c>
      <c r="I4" s="27">
        <v>45047</v>
      </c>
      <c r="J4" s="25">
        <v>45017</v>
      </c>
      <c r="K4" s="25">
        <v>44986</v>
      </c>
      <c r="L4" s="25">
        <v>44958</v>
      </c>
      <c r="M4" s="68">
        <v>44927</v>
      </c>
      <c r="N4" s="26" t="s">
        <v>5</v>
      </c>
      <c r="O4" s="69" t="s">
        <v>6</v>
      </c>
      <c r="P4" s="69" t="s">
        <v>8</v>
      </c>
      <c r="Q4" s="70" t="s">
        <v>17</v>
      </c>
    </row>
    <row r="5" spans="1:32" s="80" customFormat="1" ht="15.75" thickBot="1">
      <c r="A5" s="71" t="s">
        <v>18</v>
      </c>
      <c r="B5" s="72"/>
      <c r="C5" s="35"/>
      <c r="D5" s="73"/>
      <c r="E5" s="73"/>
      <c r="F5" s="73"/>
      <c r="G5" s="73"/>
      <c r="H5" s="73"/>
      <c r="I5" s="74"/>
      <c r="J5" s="35">
        <v>19</v>
      </c>
      <c r="K5" s="47">
        <v>9</v>
      </c>
      <c r="L5" s="35">
        <v>12</v>
      </c>
      <c r="M5" s="75">
        <v>5</v>
      </c>
      <c r="N5" s="76">
        <f t="shared" ref="N5:N10" si="0">SUM(B5:M5)</f>
        <v>45</v>
      </c>
      <c r="O5" s="77">
        <f t="shared" ref="O5:O11" si="1">AVERAGE(B5:M5)</f>
        <v>11.25</v>
      </c>
      <c r="P5" s="78">
        <f t="shared" ref="P5:P11" si="2">N5/N$11*100</f>
        <v>0.22912423625254583</v>
      </c>
      <c r="Q5" s="79">
        <f t="shared" ref="Q5:Q11" si="3">(J5*100)/$J$11</f>
        <v>0.39451827242524917</v>
      </c>
    </row>
    <row r="6" spans="1:32" s="80" customFormat="1" ht="15.75" thickBot="1">
      <c r="A6" s="81" t="s">
        <v>19</v>
      </c>
      <c r="B6" s="82"/>
      <c r="C6" s="46"/>
      <c r="D6" s="83"/>
      <c r="E6" s="83"/>
      <c r="F6" s="83"/>
      <c r="G6" s="83"/>
      <c r="H6" s="83"/>
      <c r="I6" s="84"/>
      <c r="J6" s="46">
        <v>1875</v>
      </c>
      <c r="K6" s="47">
        <v>1921</v>
      </c>
      <c r="L6" s="46">
        <v>1612</v>
      </c>
      <c r="M6" s="85">
        <v>1490</v>
      </c>
      <c r="N6" s="76">
        <f t="shared" si="0"/>
        <v>6898</v>
      </c>
      <c r="O6" s="77">
        <f t="shared" si="1"/>
        <v>1724.5</v>
      </c>
      <c r="P6" s="78">
        <f t="shared" si="2"/>
        <v>35.122199592668025</v>
      </c>
      <c r="Q6" s="79">
        <f t="shared" si="3"/>
        <v>38.932724252491695</v>
      </c>
    </row>
    <row r="7" spans="1:32" s="80" customFormat="1" ht="15.75" thickBot="1">
      <c r="A7" s="81" t="s">
        <v>20</v>
      </c>
      <c r="B7" s="82"/>
      <c r="C7" s="46"/>
      <c r="D7" s="83"/>
      <c r="E7" s="83"/>
      <c r="F7" s="83"/>
      <c r="G7" s="83"/>
      <c r="H7" s="83"/>
      <c r="I7" s="84"/>
      <c r="J7" s="46">
        <v>778</v>
      </c>
      <c r="K7" s="47">
        <v>895</v>
      </c>
      <c r="L7" s="46">
        <v>799</v>
      </c>
      <c r="M7" s="85">
        <v>787</v>
      </c>
      <c r="N7" s="76">
        <f t="shared" si="0"/>
        <v>3259</v>
      </c>
      <c r="O7" s="77">
        <f t="shared" si="1"/>
        <v>814.75</v>
      </c>
      <c r="P7" s="78">
        <f t="shared" si="2"/>
        <v>16.593686354378821</v>
      </c>
      <c r="Q7" s="79">
        <f t="shared" si="3"/>
        <v>16.154485049833887</v>
      </c>
    </row>
    <row r="8" spans="1:32" s="80" customFormat="1" ht="15.75" thickBot="1">
      <c r="A8" s="81" t="s">
        <v>21</v>
      </c>
      <c r="B8" s="82"/>
      <c r="C8" s="46"/>
      <c r="D8" s="83"/>
      <c r="E8" s="83"/>
      <c r="F8" s="83"/>
      <c r="G8" s="83"/>
      <c r="H8" s="83"/>
      <c r="I8" s="84"/>
      <c r="J8" s="46">
        <v>57</v>
      </c>
      <c r="K8" s="47">
        <v>28</v>
      </c>
      <c r="L8" s="46">
        <v>13</v>
      </c>
      <c r="M8" s="85">
        <v>11</v>
      </c>
      <c r="N8" s="76">
        <f t="shared" si="0"/>
        <v>109</v>
      </c>
      <c r="O8" s="77">
        <f t="shared" si="1"/>
        <v>27.25</v>
      </c>
      <c r="P8" s="78">
        <f t="shared" si="2"/>
        <v>0.55498981670061098</v>
      </c>
      <c r="Q8" s="79">
        <f t="shared" si="3"/>
        <v>1.1835548172757475</v>
      </c>
      <c r="R8" s="86"/>
    </row>
    <row r="9" spans="1:32" s="80" customFormat="1" ht="15.75" thickBot="1">
      <c r="A9" s="81" t="s">
        <v>22</v>
      </c>
      <c r="B9" s="82"/>
      <c r="C9" s="46"/>
      <c r="D9" s="83"/>
      <c r="E9" s="83"/>
      <c r="F9" s="83"/>
      <c r="G9" s="83"/>
      <c r="H9" s="83"/>
      <c r="I9" s="84"/>
      <c r="J9" s="46">
        <v>2001</v>
      </c>
      <c r="K9" s="47">
        <v>2696</v>
      </c>
      <c r="L9" s="46">
        <v>2195</v>
      </c>
      <c r="M9" s="85">
        <v>1997</v>
      </c>
      <c r="N9" s="76">
        <f t="shared" si="0"/>
        <v>8889</v>
      </c>
      <c r="O9" s="77">
        <f t="shared" si="1"/>
        <v>2222.25</v>
      </c>
      <c r="P9" s="78">
        <f t="shared" si="2"/>
        <v>45.259674134419555</v>
      </c>
      <c r="Q9" s="79">
        <f t="shared" si="3"/>
        <v>41.549003322259139</v>
      </c>
      <c r="R9" s="86"/>
    </row>
    <row r="10" spans="1:32" s="80" customFormat="1" ht="15.75" thickBot="1">
      <c r="A10" s="87" t="s">
        <v>23</v>
      </c>
      <c r="B10" s="88"/>
      <c r="C10" s="55"/>
      <c r="D10" s="89"/>
      <c r="E10" s="89"/>
      <c r="F10" s="89"/>
      <c r="G10" s="89"/>
      <c r="H10" s="89"/>
      <c r="I10" s="90"/>
      <c r="J10" s="46">
        <v>86</v>
      </c>
      <c r="K10" s="47">
        <v>132</v>
      </c>
      <c r="L10" s="55">
        <v>116</v>
      </c>
      <c r="M10" s="91">
        <v>106</v>
      </c>
      <c r="N10" s="76">
        <f t="shared" si="0"/>
        <v>440</v>
      </c>
      <c r="O10" s="77">
        <f t="shared" si="1"/>
        <v>110</v>
      </c>
      <c r="P10" s="78">
        <f t="shared" si="2"/>
        <v>2.2403258655804481</v>
      </c>
      <c r="Q10" s="79">
        <f t="shared" si="3"/>
        <v>1.7857142857142858</v>
      </c>
      <c r="R10" s="86"/>
      <c r="S10" s="92"/>
    </row>
    <row r="11" spans="1:32" ht="15.75">
      <c r="A11" s="93" t="s">
        <v>24</v>
      </c>
      <c r="B11" s="94"/>
      <c r="C11" s="95"/>
      <c r="D11" s="95"/>
      <c r="E11" s="95"/>
      <c r="F11" s="95"/>
      <c r="G11" s="95"/>
      <c r="H11" s="95"/>
      <c r="I11" s="95"/>
      <c r="J11" s="95">
        <f>SUM(J5:J10)</f>
        <v>4816</v>
      </c>
      <c r="K11" s="95">
        <f>SUM(K5:K10)</f>
        <v>5681</v>
      </c>
      <c r="L11" s="95">
        <f>SUM(L5:L10)</f>
        <v>4747</v>
      </c>
      <c r="M11" s="96">
        <f>SUM(M5:M10)</f>
        <v>4396</v>
      </c>
      <c r="N11" s="95">
        <f>SUM(N5:N10)</f>
        <v>19640</v>
      </c>
      <c r="O11" s="97">
        <f t="shared" si="1"/>
        <v>4910</v>
      </c>
      <c r="P11" s="98">
        <f t="shared" si="2"/>
        <v>100</v>
      </c>
      <c r="Q11" s="99">
        <f t="shared" si="3"/>
        <v>100</v>
      </c>
      <c r="R11" s="100"/>
      <c r="S11" s="101"/>
      <c r="AD11" s="102"/>
      <c r="AE11" s="2"/>
      <c r="AF11" s="102"/>
    </row>
    <row r="12" spans="1:32">
      <c r="M12" s="103"/>
      <c r="N12" s="101"/>
      <c r="U12" s="102"/>
      <c r="V12" s="2"/>
      <c r="W12" s="102"/>
    </row>
    <row r="13" spans="1:32">
      <c r="A13" s="863"/>
      <c r="B13" s="863"/>
      <c r="C13" s="863"/>
      <c r="D13" s="863"/>
      <c r="E13" s="86"/>
      <c r="I13" s="101"/>
      <c r="J13" s="101"/>
      <c r="U13" s="102"/>
      <c r="V13" s="2"/>
      <c r="W13" s="102"/>
    </row>
    <row r="14" spans="1:32">
      <c r="A14" s="863"/>
      <c r="B14" s="863"/>
      <c r="C14" s="863"/>
      <c r="D14" s="863"/>
      <c r="I14" s="101"/>
      <c r="U14" s="102"/>
      <c r="V14" s="2"/>
      <c r="W14" s="102"/>
    </row>
    <row r="15" spans="1:32">
      <c r="A15" s="863"/>
      <c r="B15" s="863"/>
      <c r="C15" s="863"/>
      <c r="D15" s="863"/>
      <c r="U15" s="104"/>
      <c r="V15" s="2"/>
      <c r="W15" s="105"/>
    </row>
    <row r="19" spans="1:5">
      <c r="A19" s="80"/>
      <c r="B19" s="80"/>
      <c r="C19" s="80"/>
      <c r="D19" s="80"/>
      <c r="E19" s="80"/>
    </row>
    <row r="20" spans="1:5">
      <c r="A20" s="106"/>
      <c r="B20" s="106"/>
      <c r="C20" s="106"/>
      <c r="D20" s="6"/>
      <c r="E20" s="80"/>
    </row>
    <row r="21" spans="1:5">
      <c r="A21" s="107"/>
      <c r="B21" s="107"/>
      <c r="C21" s="107"/>
      <c r="D21" s="108"/>
      <c r="E21" s="80"/>
    </row>
    <row r="22" spans="1:5">
      <c r="A22" s="107"/>
      <c r="B22" s="107"/>
      <c r="C22" s="107"/>
      <c r="D22" s="108"/>
      <c r="E22" s="80"/>
    </row>
    <row r="23" spans="1:5">
      <c r="A23" s="107"/>
      <c r="B23" s="107"/>
      <c r="C23" s="107"/>
      <c r="D23" s="108"/>
      <c r="E23" s="80"/>
    </row>
    <row r="24" spans="1:5">
      <c r="A24" s="107"/>
      <c r="B24" s="107"/>
      <c r="C24" s="107"/>
      <c r="D24" s="108"/>
      <c r="E24" s="80"/>
    </row>
    <row r="25" spans="1:5">
      <c r="A25" s="104"/>
      <c r="B25" s="104"/>
      <c r="C25" s="104"/>
      <c r="D25" s="108"/>
      <c r="E25" s="80"/>
    </row>
    <row r="26" spans="1:5">
      <c r="A26" s="80"/>
      <c r="B26" s="80"/>
      <c r="C26" s="80"/>
      <c r="D26" s="80"/>
      <c r="E26" s="109"/>
    </row>
    <row r="27" spans="1:5">
      <c r="A27" s="80"/>
      <c r="B27" s="80"/>
      <c r="C27" s="80"/>
      <c r="D27" s="80"/>
      <c r="E27" s="80"/>
    </row>
  </sheetData>
  <mergeCells count="1">
    <mergeCell ref="A13:D15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7"/>
  <sheetViews>
    <sheetView workbookViewId="0"/>
  </sheetViews>
  <sheetFormatPr defaultRowHeight="15"/>
  <cols>
    <col min="1" max="1" width="68" style="80" customWidth="1"/>
    <col min="2" max="2" width="7.5703125" style="113" bestFit="1" customWidth="1"/>
    <col min="3" max="3" width="7.7109375" style="113" bestFit="1" customWidth="1"/>
    <col min="4" max="4" width="7.140625" style="113" bestFit="1" customWidth="1"/>
    <col min="5" max="5" width="7" style="113" bestFit="1" customWidth="1"/>
    <col min="6" max="6" width="7.5703125" style="113" bestFit="1" customWidth="1"/>
    <col min="7" max="7" width="6.28515625" style="113" bestFit="1" customWidth="1"/>
    <col min="8" max="8" width="7" style="113" bestFit="1" customWidth="1"/>
    <col min="9" max="9" width="7.28515625" style="113" bestFit="1" customWidth="1"/>
    <col min="10" max="10" width="7.140625" style="113" bestFit="1" customWidth="1"/>
    <col min="11" max="11" width="7.5703125" style="113" bestFit="1" customWidth="1"/>
    <col min="12" max="12" width="7.140625" style="111" bestFit="1" customWidth="1"/>
    <col min="13" max="13" width="6.85546875" style="111" bestFit="1" customWidth="1"/>
    <col min="14" max="14" width="6.140625" style="111" bestFit="1" customWidth="1"/>
    <col min="15" max="15" width="8.85546875" style="111" customWidth="1"/>
    <col min="16" max="16" width="8.5703125" style="112" bestFit="1" customWidth="1"/>
    <col min="17" max="17" width="9.140625" customWidth="1"/>
  </cols>
  <sheetData>
    <row r="1" spans="1:16">
      <c r="A1" s="106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spans="1:16">
      <c r="A2" s="106" t="s">
        <v>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16" ht="15.75" thickBot="1"/>
    <row r="4" spans="1:16" ht="15.75" thickBot="1">
      <c r="A4" s="114" t="s">
        <v>25</v>
      </c>
      <c r="B4" s="115">
        <v>45261</v>
      </c>
      <c r="C4" s="116">
        <v>45231</v>
      </c>
      <c r="D4" s="117">
        <v>45200</v>
      </c>
      <c r="E4" s="116">
        <v>45170</v>
      </c>
      <c r="F4" s="116">
        <v>45139</v>
      </c>
      <c r="G4" s="116">
        <v>45108</v>
      </c>
      <c r="H4" s="116">
        <v>45078</v>
      </c>
      <c r="I4" s="118">
        <v>45047</v>
      </c>
      <c r="J4" s="116">
        <v>45017</v>
      </c>
      <c r="K4" s="115">
        <v>44986</v>
      </c>
      <c r="L4" s="25">
        <v>44958</v>
      </c>
      <c r="M4" s="119">
        <v>44927</v>
      </c>
      <c r="N4" s="25" t="s">
        <v>5</v>
      </c>
      <c r="O4" s="120" t="s">
        <v>6</v>
      </c>
      <c r="P4" s="98" t="s">
        <v>26</v>
      </c>
    </row>
    <row r="5" spans="1:16" s="131" customFormat="1">
      <c r="A5" s="121" t="s">
        <v>27</v>
      </c>
      <c r="B5" s="122"/>
      <c r="C5" s="123"/>
      <c r="D5" s="124"/>
      <c r="E5" s="125"/>
      <c r="F5" s="125"/>
      <c r="G5" s="125"/>
      <c r="H5" s="125"/>
      <c r="I5" s="125"/>
      <c r="J5" s="125">
        <v>0</v>
      </c>
      <c r="K5" s="126">
        <v>0</v>
      </c>
      <c r="L5" s="127">
        <v>0</v>
      </c>
      <c r="M5" s="126">
        <v>1</v>
      </c>
      <c r="N5" s="128">
        <f t="shared" ref="N5:N36" si="0">SUM(B5:M5)</f>
        <v>1</v>
      </c>
      <c r="O5" s="129">
        <f t="shared" ref="O5:O36" si="1">AVERAGE(B5:M5)</f>
        <v>0.25</v>
      </c>
      <c r="P5" s="130">
        <f t="shared" ref="P5:P36" si="2">(N5/$N$187)*100</f>
        <v>5.2339579189783318E-3</v>
      </c>
    </row>
    <row r="6" spans="1:16" s="131" customFormat="1">
      <c r="A6" s="132" t="s">
        <v>28</v>
      </c>
      <c r="B6" s="133"/>
      <c r="C6" s="134"/>
      <c r="D6" s="135"/>
      <c r="E6" s="136"/>
      <c r="F6" s="136"/>
      <c r="G6" s="136"/>
      <c r="H6" s="125"/>
      <c r="I6" s="125"/>
      <c r="J6" s="125">
        <v>0</v>
      </c>
      <c r="K6" s="126">
        <v>1</v>
      </c>
      <c r="L6" s="126">
        <v>0</v>
      </c>
      <c r="M6" s="126">
        <v>0</v>
      </c>
      <c r="N6" s="137">
        <f t="shared" si="0"/>
        <v>1</v>
      </c>
      <c r="O6" s="138">
        <f t="shared" si="1"/>
        <v>0.25</v>
      </c>
      <c r="P6" s="130">
        <f t="shared" si="2"/>
        <v>5.2339579189783318E-3</v>
      </c>
    </row>
    <row r="7" spans="1:16" s="131" customFormat="1">
      <c r="A7" s="132" t="s">
        <v>29</v>
      </c>
      <c r="B7" s="133"/>
      <c r="C7" s="134"/>
      <c r="D7" s="135"/>
      <c r="E7" s="136"/>
      <c r="F7" s="136"/>
      <c r="G7" s="136"/>
      <c r="H7" s="136"/>
      <c r="I7" s="136"/>
      <c r="J7" s="136">
        <v>4</v>
      </c>
      <c r="K7" s="126">
        <v>3</v>
      </c>
      <c r="L7" s="126">
        <v>2</v>
      </c>
      <c r="M7" s="126">
        <v>4</v>
      </c>
      <c r="N7" s="137">
        <f t="shared" si="0"/>
        <v>13</v>
      </c>
      <c r="O7" s="138">
        <f t="shared" si="1"/>
        <v>3.25</v>
      </c>
      <c r="P7" s="130">
        <f t="shared" si="2"/>
        <v>6.8041452946718303E-2</v>
      </c>
    </row>
    <row r="8" spans="1:16" s="131" customFormat="1">
      <c r="A8" s="132" t="s">
        <v>30</v>
      </c>
      <c r="B8" s="133"/>
      <c r="C8" s="134"/>
      <c r="D8" s="135"/>
      <c r="E8" s="136"/>
      <c r="F8" s="136"/>
      <c r="G8" s="136"/>
      <c r="H8" s="136"/>
      <c r="I8" s="136"/>
      <c r="J8" s="136">
        <v>0</v>
      </c>
      <c r="K8" s="126">
        <v>0</v>
      </c>
      <c r="L8" s="126">
        <v>1</v>
      </c>
      <c r="M8" s="126">
        <v>2</v>
      </c>
      <c r="N8" s="137">
        <f t="shared" si="0"/>
        <v>3</v>
      </c>
      <c r="O8" s="138">
        <f t="shared" si="1"/>
        <v>0.75</v>
      </c>
      <c r="P8" s="130">
        <f t="shared" si="2"/>
        <v>1.5701873756934995E-2</v>
      </c>
    </row>
    <row r="9" spans="1:16" s="131" customFormat="1">
      <c r="A9" s="139" t="s">
        <v>31</v>
      </c>
      <c r="B9" s="133"/>
      <c r="C9" s="134"/>
      <c r="D9" s="135"/>
      <c r="E9" s="136"/>
      <c r="F9" s="136"/>
      <c r="G9" s="136"/>
      <c r="H9" s="136"/>
      <c r="I9" s="136"/>
      <c r="J9" s="136">
        <v>2</v>
      </c>
      <c r="K9" s="126">
        <v>11</v>
      </c>
      <c r="L9" s="126">
        <v>3</v>
      </c>
      <c r="M9" s="126">
        <v>1</v>
      </c>
      <c r="N9" s="137">
        <f t="shared" si="0"/>
        <v>17</v>
      </c>
      <c r="O9" s="138">
        <f t="shared" si="1"/>
        <v>4.25</v>
      </c>
      <c r="P9" s="130">
        <f t="shared" si="2"/>
        <v>8.8977284622631644E-2</v>
      </c>
    </row>
    <row r="10" spans="1:16" s="131" customFormat="1">
      <c r="A10" s="132" t="s">
        <v>32</v>
      </c>
      <c r="B10" s="133"/>
      <c r="C10" s="134"/>
      <c r="D10" s="135"/>
      <c r="E10" s="136"/>
      <c r="F10" s="136"/>
      <c r="G10" s="136"/>
      <c r="H10" s="136"/>
      <c r="I10" s="136"/>
      <c r="J10" s="136">
        <v>0</v>
      </c>
      <c r="K10" s="140">
        <v>0</v>
      </c>
      <c r="L10" s="126">
        <v>0</v>
      </c>
      <c r="M10" s="126">
        <v>0</v>
      </c>
      <c r="N10" s="137">
        <f t="shared" si="0"/>
        <v>0</v>
      </c>
      <c r="O10" s="138">
        <f t="shared" si="1"/>
        <v>0</v>
      </c>
      <c r="P10" s="130">
        <f t="shared" si="2"/>
        <v>0</v>
      </c>
    </row>
    <row r="11" spans="1:16" s="131" customFormat="1">
      <c r="A11" s="132" t="s">
        <v>33</v>
      </c>
      <c r="B11" s="133"/>
      <c r="C11" s="134"/>
      <c r="D11" s="135"/>
      <c r="E11" s="136"/>
      <c r="F11" s="136"/>
      <c r="G11" s="136"/>
      <c r="H11" s="136"/>
      <c r="I11" s="136"/>
      <c r="J11" s="136">
        <v>0</v>
      </c>
      <c r="K11" s="126">
        <v>2</v>
      </c>
      <c r="L11" s="126">
        <v>0</v>
      </c>
      <c r="M11" s="126">
        <v>0</v>
      </c>
      <c r="N11" s="137">
        <f t="shared" si="0"/>
        <v>2</v>
      </c>
      <c r="O11" s="138">
        <f t="shared" si="1"/>
        <v>0.5</v>
      </c>
      <c r="P11" s="130">
        <f t="shared" si="2"/>
        <v>1.0467915837956664E-2</v>
      </c>
    </row>
    <row r="12" spans="1:16" s="131" customFormat="1">
      <c r="A12" s="132" t="s">
        <v>34</v>
      </c>
      <c r="B12" s="133"/>
      <c r="C12" s="134"/>
      <c r="D12" s="135"/>
      <c r="E12" s="136"/>
      <c r="F12" s="136"/>
      <c r="G12" s="136"/>
      <c r="H12" s="136"/>
      <c r="I12" s="136"/>
      <c r="J12" s="136">
        <v>0</v>
      </c>
      <c r="K12" s="126">
        <v>3</v>
      </c>
      <c r="L12" s="126">
        <v>0</v>
      </c>
      <c r="M12" s="126">
        <v>1</v>
      </c>
      <c r="N12" s="137">
        <f t="shared" si="0"/>
        <v>4</v>
      </c>
      <c r="O12" s="138">
        <f t="shared" si="1"/>
        <v>1</v>
      </c>
      <c r="P12" s="130">
        <f t="shared" si="2"/>
        <v>2.0935831675913327E-2</v>
      </c>
    </row>
    <row r="13" spans="1:16">
      <c r="A13" s="139" t="s">
        <v>35</v>
      </c>
      <c r="B13" s="141"/>
      <c r="C13" s="134"/>
      <c r="D13" s="142"/>
      <c r="E13" s="143"/>
      <c r="F13" s="143"/>
      <c r="G13" s="136"/>
      <c r="H13" s="136"/>
      <c r="I13" s="136"/>
      <c r="J13" s="143">
        <v>8</v>
      </c>
      <c r="K13" s="126">
        <v>10</v>
      </c>
      <c r="L13" s="126">
        <v>8</v>
      </c>
      <c r="M13" s="126">
        <v>9</v>
      </c>
      <c r="N13" s="137">
        <f t="shared" si="0"/>
        <v>35</v>
      </c>
      <c r="O13" s="138">
        <f t="shared" si="1"/>
        <v>8.75</v>
      </c>
      <c r="P13" s="130">
        <f t="shared" si="2"/>
        <v>0.18318852716424158</v>
      </c>
    </row>
    <row r="14" spans="1:16">
      <c r="A14" s="144" t="s">
        <v>36</v>
      </c>
      <c r="B14" s="141"/>
      <c r="C14" s="134"/>
      <c r="D14" s="142"/>
      <c r="E14" s="143"/>
      <c r="F14" s="143"/>
      <c r="G14" s="136"/>
      <c r="H14" s="136"/>
      <c r="I14" s="136"/>
      <c r="J14" s="143">
        <v>17</v>
      </c>
      <c r="K14" s="126">
        <v>25</v>
      </c>
      <c r="L14" s="126">
        <v>19</v>
      </c>
      <c r="M14" s="126">
        <v>15</v>
      </c>
      <c r="N14" s="137">
        <f t="shared" si="0"/>
        <v>76</v>
      </c>
      <c r="O14" s="138">
        <f t="shared" si="1"/>
        <v>19</v>
      </c>
      <c r="P14" s="130">
        <f t="shared" si="2"/>
        <v>0.3977808018423532</v>
      </c>
    </row>
    <row r="15" spans="1:16">
      <c r="A15" s="144" t="s">
        <v>37</v>
      </c>
      <c r="B15" s="141"/>
      <c r="C15" s="134"/>
      <c r="D15" s="142"/>
      <c r="E15" s="143"/>
      <c r="F15" s="143"/>
      <c r="G15" s="136"/>
      <c r="H15" s="136"/>
      <c r="I15" s="136"/>
      <c r="J15" s="143">
        <v>0</v>
      </c>
      <c r="K15" s="140">
        <v>0</v>
      </c>
      <c r="L15" s="126">
        <v>0</v>
      </c>
      <c r="M15" s="126">
        <v>0</v>
      </c>
      <c r="N15" s="137">
        <f t="shared" si="0"/>
        <v>0</v>
      </c>
      <c r="O15" s="138">
        <f t="shared" si="1"/>
        <v>0</v>
      </c>
      <c r="P15" s="130">
        <f t="shared" si="2"/>
        <v>0</v>
      </c>
    </row>
    <row r="16" spans="1:16">
      <c r="A16" s="144" t="s">
        <v>38</v>
      </c>
      <c r="B16" s="141"/>
      <c r="C16" s="134"/>
      <c r="D16" s="142"/>
      <c r="E16" s="143"/>
      <c r="F16" s="143"/>
      <c r="G16" s="136"/>
      <c r="H16" s="136"/>
      <c r="I16" s="136"/>
      <c r="J16" s="143">
        <v>3</v>
      </c>
      <c r="K16" s="126">
        <v>1</v>
      </c>
      <c r="L16" s="126">
        <v>6</v>
      </c>
      <c r="M16" s="126">
        <v>4</v>
      </c>
      <c r="N16" s="137">
        <f t="shared" si="0"/>
        <v>14</v>
      </c>
      <c r="O16" s="138">
        <f t="shared" si="1"/>
        <v>3.5</v>
      </c>
      <c r="P16" s="130">
        <f t="shared" si="2"/>
        <v>7.3275410865696639E-2</v>
      </c>
    </row>
    <row r="17" spans="1:16">
      <c r="A17" s="144" t="s">
        <v>39</v>
      </c>
      <c r="B17" s="141"/>
      <c r="C17" s="134"/>
      <c r="D17" s="142"/>
      <c r="E17" s="143"/>
      <c r="F17" s="143"/>
      <c r="G17" s="136"/>
      <c r="H17" s="136"/>
      <c r="I17" s="136"/>
      <c r="J17" s="143">
        <v>2</v>
      </c>
      <c r="K17" s="126">
        <v>1</v>
      </c>
      <c r="L17" s="126">
        <v>5</v>
      </c>
      <c r="M17" s="126">
        <v>3</v>
      </c>
      <c r="N17" s="137">
        <f t="shared" si="0"/>
        <v>11</v>
      </c>
      <c r="O17" s="138">
        <f t="shared" si="1"/>
        <v>2.75</v>
      </c>
      <c r="P17" s="130">
        <f t="shared" si="2"/>
        <v>5.7573537108761647E-2</v>
      </c>
    </row>
    <row r="18" spans="1:16">
      <c r="A18" s="144" t="s">
        <v>40</v>
      </c>
      <c r="B18" s="141"/>
      <c r="C18" s="134"/>
      <c r="D18" s="142"/>
      <c r="E18" s="143"/>
      <c r="F18" s="143"/>
      <c r="G18" s="136"/>
      <c r="H18" s="136"/>
      <c r="I18" s="136"/>
      <c r="J18" s="143">
        <v>1</v>
      </c>
      <c r="K18" s="126">
        <v>1</v>
      </c>
      <c r="L18" s="126">
        <v>2</v>
      </c>
      <c r="M18" s="126">
        <v>0</v>
      </c>
      <c r="N18" s="137">
        <f t="shared" si="0"/>
        <v>4</v>
      </c>
      <c r="O18" s="138">
        <f t="shared" si="1"/>
        <v>1</v>
      </c>
      <c r="P18" s="130">
        <f t="shared" si="2"/>
        <v>2.0935831675913327E-2</v>
      </c>
    </row>
    <row r="19" spans="1:16">
      <c r="A19" s="144" t="s">
        <v>41</v>
      </c>
      <c r="B19" s="141"/>
      <c r="C19" s="134"/>
      <c r="D19" s="142"/>
      <c r="E19" s="143"/>
      <c r="F19" s="143"/>
      <c r="G19" s="136"/>
      <c r="H19" s="136"/>
      <c r="I19" s="136"/>
      <c r="J19" s="143">
        <v>0</v>
      </c>
      <c r="K19" s="140">
        <v>0</v>
      </c>
      <c r="L19" s="126">
        <v>0</v>
      </c>
      <c r="M19" s="126">
        <v>0</v>
      </c>
      <c r="N19" s="137">
        <f t="shared" si="0"/>
        <v>0</v>
      </c>
      <c r="O19" s="138">
        <f t="shared" si="1"/>
        <v>0</v>
      </c>
      <c r="P19" s="130">
        <f t="shared" si="2"/>
        <v>0</v>
      </c>
    </row>
    <row r="20" spans="1:16">
      <c r="A20" s="144" t="s">
        <v>42</v>
      </c>
      <c r="B20" s="141"/>
      <c r="C20" s="134"/>
      <c r="D20" s="142"/>
      <c r="E20" s="143"/>
      <c r="F20" s="143"/>
      <c r="G20" s="136"/>
      <c r="H20" s="136"/>
      <c r="I20" s="136"/>
      <c r="J20" s="143">
        <v>0</v>
      </c>
      <c r="K20" s="140">
        <v>0</v>
      </c>
      <c r="L20" s="126">
        <v>0</v>
      </c>
      <c r="M20" s="126">
        <v>0</v>
      </c>
      <c r="N20" s="137">
        <f t="shared" si="0"/>
        <v>0</v>
      </c>
      <c r="O20" s="138">
        <f t="shared" si="1"/>
        <v>0</v>
      </c>
      <c r="P20" s="130">
        <f t="shared" si="2"/>
        <v>0</v>
      </c>
    </row>
    <row r="21" spans="1:16">
      <c r="A21" s="144" t="s">
        <v>43</v>
      </c>
      <c r="B21" s="141"/>
      <c r="C21" s="134"/>
      <c r="D21" s="142"/>
      <c r="E21" s="143"/>
      <c r="F21" s="143"/>
      <c r="G21" s="136"/>
      <c r="H21" s="136"/>
      <c r="I21" s="136"/>
      <c r="J21" s="143">
        <v>12</v>
      </c>
      <c r="K21" s="126">
        <v>11</v>
      </c>
      <c r="L21" s="126">
        <v>13</v>
      </c>
      <c r="M21" s="126">
        <v>11</v>
      </c>
      <c r="N21" s="137">
        <f t="shared" si="0"/>
        <v>47</v>
      </c>
      <c r="O21" s="138">
        <f t="shared" si="1"/>
        <v>11.75</v>
      </c>
      <c r="P21" s="130">
        <f t="shared" si="2"/>
        <v>0.24599602219198155</v>
      </c>
    </row>
    <row r="22" spans="1:16">
      <c r="A22" s="144" t="s">
        <v>44</v>
      </c>
      <c r="B22" s="141"/>
      <c r="C22" s="134"/>
      <c r="D22" s="142"/>
      <c r="E22" s="143"/>
      <c r="F22" s="143"/>
      <c r="G22" s="136"/>
      <c r="H22" s="136"/>
      <c r="I22" s="136"/>
      <c r="J22" s="143">
        <v>231</v>
      </c>
      <c r="K22" s="126">
        <v>270</v>
      </c>
      <c r="L22" s="126">
        <v>265</v>
      </c>
      <c r="M22" s="126">
        <v>301</v>
      </c>
      <c r="N22" s="137">
        <f t="shared" si="0"/>
        <v>1067</v>
      </c>
      <c r="O22" s="138">
        <f t="shared" si="1"/>
        <v>266.75</v>
      </c>
      <c r="P22" s="130">
        <f t="shared" si="2"/>
        <v>5.5846330995498796</v>
      </c>
    </row>
    <row r="23" spans="1:16">
      <c r="A23" s="144" t="s">
        <v>45</v>
      </c>
      <c r="B23" s="141"/>
      <c r="C23" s="134"/>
      <c r="D23" s="142"/>
      <c r="E23" s="143"/>
      <c r="F23" s="143"/>
      <c r="G23" s="136"/>
      <c r="H23" s="136"/>
      <c r="I23" s="136"/>
      <c r="J23" s="143">
        <v>0</v>
      </c>
      <c r="K23" s="140">
        <v>0</v>
      </c>
      <c r="L23" s="126">
        <v>0</v>
      </c>
      <c r="M23" s="140">
        <v>0</v>
      </c>
      <c r="N23" s="137">
        <f t="shared" si="0"/>
        <v>0</v>
      </c>
      <c r="O23" s="138">
        <f t="shared" si="1"/>
        <v>0</v>
      </c>
      <c r="P23" s="130">
        <f t="shared" si="2"/>
        <v>0</v>
      </c>
    </row>
    <row r="24" spans="1:16">
      <c r="A24" s="144" t="s">
        <v>46</v>
      </c>
      <c r="B24" s="141"/>
      <c r="C24" s="134"/>
      <c r="D24" s="142"/>
      <c r="E24" s="143"/>
      <c r="F24" s="143"/>
      <c r="G24" s="136"/>
      <c r="H24" s="136"/>
      <c r="I24" s="136"/>
      <c r="J24" s="143">
        <v>0</v>
      </c>
      <c r="K24" s="126">
        <v>1</v>
      </c>
      <c r="L24" s="126">
        <v>0</v>
      </c>
      <c r="M24" s="140">
        <v>0</v>
      </c>
      <c r="N24" s="137">
        <f t="shared" si="0"/>
        <v>1</v>
      </c>
      <c r="O24" s="138">
        <f t="shared" si="1"/>
        <v>0.25</v>
      </c>
      <c r="P24" s="130">
        <f t="shared" si="2"/>
        <v>5.2339579189783318E-3</v>
      </c>
    </row>
    <row r="25" spans="1:16">
      <c r="A25" s="144" t="s">
        <v>47</v>
      </c>
      <c r="B25" s="141"/>
      <c r="C25" s="134"/>
      <c r="D25" s="142"/>
      <c r="E25" s="143"/>
      <c r="F25" s="143"/>
      <c r="G25" s="136"/>
      <c r="H25" s="136"/>
      <c r="I25" s="136"/>
      <c r="J25" s="143">
        <v>6</v>
      </c>
      <c r="K25" s="126">
        <v>8</v>
      </c>
      <c r="L25" s="126">
        <v>2</v>
      </c>
      <c r="M25" s="140">
        <v>2</v>
      </c>
      <c r="N25" s="137">
        <f t="shared" si="0"/>
        <v>18</v>
      </c>
      <c r="O25" s="138">
        <f t="shared" si="1"/>
        <v>4.5</v>
      </c>
      <c r="P25" s="130">
        <f t="shared" si="2"/>
        <v>9.4211242541609966E-2</v>
      </c>
    </row>
    <row r="26" spans="1:16">
      <c r="A26" s="139" t="s">
        <v>48</v>
      </c>
      <c r="B26" s="141"/>
      <c r="C26" s="134"/>
      <c r="D26" s="142"/>
      <c r="E26" s="143"/>
      <c r="F26" s="143"/>
      <c r="G26" s="136"/>
      <c r="H26" s="136"/>
      <c r="I26" s="136"/>
      <c r="J26" s="143">
        <v>21</v>
      </c>
      <c r="K26" s="126">
        <v>37</v>
      </c>
      <c r="L26" s="126">
        <v>11</v>
      </c>
      <c r="M26" s="126">
        <v>11</v>
      </c>
      <c r="N26" s="137">
        <f t="shared" si="0"/>
        <v>80</v>
      </c>
      <c r="O26" s="138">
        <f t="shared" si="1"/>
        <v>20</v>
      </c>
      <c r="P26" s="130">
        <f t="shared" si="2"/>
        <v>0.41871663351826655</v>
      </c>
    </row>
    <row r="27" spans="1:16">
      <c r="A27" s="139" t="s">
        <v>49</v>
      </c>
      <c r="B27" s="141"/>
      <c r="C27" s="134"/>
      <c r="D27" s="142"/>
      <c r="E27" s="143"/>
      <c r="F27" s="143"/>
      <c r="G27" s="136"/>
      <c r="H27" s="136"/>
      <c r="I27" s="136"/>
      <c r="J27" s="143">
        <v>5</v>
      </c>
      <c r="K27" s="126">
        <v>5</v>
      </c>
      <c r="L27" s="126">
        <v>0</v>
      </c>
      <c r="M27" s="126">
        <v>4</v>
      </c>
      <c r="N27" s="137">
        <f t="shared" si="0"/>
        <v>14</v>
      </c>
      <c r="O27" s="138">
        <f t="shared" si="1"/>
        <v>3.5</v>
      </c>
      <c r="P27" s="130">
        <f t="shared" si="2"/>
        <v>7.3275410865696639E-2</v>
      </c>
    </row>
    <row r="28" spans="1:16">
      <c r="A28" s="144" t="s">
        <v>50</v>
      </c>
      <c r="B28" s="141"/>
      <c r="C28" s="134"/>
      <c r="D28" s="142"/>
      <c r="E28" s="143"/>
      <c r="F28" s="143"/>
      <c r="G28" s="136"/>
      <c r="H28" s="136"/>
      <c r="I28" s="136"/>
      <c r="J28" s="143">
        <v>2</v>
      </c>
      <c r="K28" s="126">
        <v>3</v>
      </c>
      <c r="L28" s="126">
        <v>2</v>
      </c>
      <c r="M28" s="126">
        <v>0</v>
      </c>
      <c r="N28" s="137">
        <f t="shared" si="0"/>
        <v>7</v>
      </c>
      <c r="O28" s="138">
        <f t="shared" si="1"/>
        <v>1.75</v>
      </c>
      <c r="P28" s="130">
        <f t="shared" si="2"/>
        <v>3.6637705432848319E-2</v>
      </c>
    </row>
    <row r="29" spans="1:16">
      <c r="A29" s="144" t="s">
        <v>51</v>
      </c>
      <c r="B29" s="141"/>
      <c r="C29" s="134"/>
      <c r="D29" s="142"/>
      <c r="E29" s="143"/>
      <c r="F29" s="143"/>
      <c r="G29" s="136"/>
      <c r="H29" s="136"/>
      <c r="I29" s="136"/>
      <c r="J29" s="143">
        <v>0</v>
      </c>
      <c r="K29" s="126">
        <v>3</v>
      </c>
      <c r="L29" s="126">
        <v>0</v>
      </c>
      <c r="M29" s="126">
        <v>4</v>
      </c>
      <c r="N29" s="137">
        <f t="shared" si="0"/>
        <v>7</v>
      </c>
      <c r="O29" s="138">
        <f t="shared" si="1"/>
        <v>1.75</v>
      </c>
      <c r="P29" s="130">
        <f t="shared" si="2"/>
        <v>3.6637705432848319E-2</v>
      </c>
    </row>
    <row r="30" spans="1:16">
      <c r="A30" s="139" t="s">
        <v>52</v>
      </c>
      <c r="B30" s="141"/>
      <c r="C30" s="134"/>
      <c r="D30" s="142"/>
      <c r="E30" s="143"/>
      <c r="F30" s="143"/>
      <c r="G30" s="136"/>
      <c r="H30" s="136"/>
      <c r="I30" s="136"/>
      <c r="J30" s="143">
        <v>3</v>
      </c>
      <c r="K30" s="126">
        <v>2</v>
      </c>
      <c r="L30" s="126">
        <v>4</v>
      </c>
      <c r="M30" s="126">
        <v>1</v>
      </c>
      <c r="N30" s="137">
        <f t="shared" si="0"/>
        <v>10</v>
      </c>
      <c r="O30" s="138">
        <f t="shared" si="1"/>
        <v>2.5</v>
      </c>
      <c r="P30" s="130">
        <f t="shared" si="2"/>
        <v>5.2339579189783318E-2</v>
      </c>
    </row>
    <row r="31" spans="1:16">
      <c r="A31" s="144" t="s">
        <v>53</v>
      </c>
      <c r="B31" s="141"/>
      <c r="C31" s="134"/>
      <c r="D31" s="142"/>
      <c r="E31" s="143"/>
      <c r="F31" s="143"/>
      <c r="G31" s="136"/>
      <c r="H31" s="136"/>
      <c r="I31" s="136"/>
      <c r="J31" s="143">
        <v>2</v>
      </c>
      <c r="K31" s="126">
        <v>1</v>
      </c>
      <c r="L31" s="126">
        <v>2</v>
      </c>
      <c r="M31" s="126">
        <v>0</v>
      </c>
      <c r="N31" s="137">
        <f t="shared" si="0"/>
        <v>5</v>
      </c>
      <c r="O31" s="138">
        <f t="shared" si="1"/>
        <v>1.25</v>
      </c>
      <c r="P31" s="130">
        <f t="shared" si="2"/>
        <v>2.6169789594891659E-2</v>
      </c>
    </row>
    <row r="32" spans="1:16">
      <c r="A32" s="144" t="s">
        <v>54</v>
      </c>
      <c r="B32" s="141"/>
      <c r="C32" s="134"/>
      <c r="D32" s="142"/>
      <c r="E32" s="143"/>
      <c r="F32" s="143"/>
      <c r="G32" s="136"/>
      <c r="H32" s="136"/>
      <c r="I32" s="136"/>
      <c r="J32" s="143">
        <v>58</v>
      </c>
      <c r="K32" s="126">
        <v>88</v>
      </c>
      <c r="L32" s="126">
        <v>77</v>
      </c>
      <c r="M32" s="126">
        <v>56</v>
      </c>
      <c r="N32" s="137">
        <f t="shared" si="0"/>
        <v>279</v>
      </c>
      <c r="O32" s="138">
        <f t="shared" si="1"/>
        <v>69.75</v>
      </c>
      <c r="P32" s="130">
        <f t="shared" si="2"/>
        <v>1.4602742593949545</v>
      </c>
    </row>
    <row r="33" spans="1:16">
      <c r="A33" s="144" t="s">
        <v>55</v>
      </c>
      <c r="B33" s="141"/>
      <c r="C33" s="134"/>
      <c r="D33" s="142"/>
      <c r="E33" s="143"/>
      <c r="F33" s="143"/>
      <c r="G33" s="136"/>
      <c r="H33" s="136"/>
      <c r="I33" s="136"/>
      <c r="J33" s="143">
        <v>0</v>
      </c>
      <c r="K33" s="140">
        <v>0</v>
      </c>
      <c r="L33" s="126">
        <v>0</v>
      </c>
      <c r="M33" s="126">
        <v>0</v>
      </c>
      <c r="N33" s="137">
        <f t="shared" si="0"/>
        <v>0</v>
      </c>
      <c r="O33" s="138">
        <f t="shared" si="1"/>
        <v>0</v>
      </c>
      <c r="P33" s="130">
        <f t="shared" si="2"/>
        <v>0</v>
      </c>
    </row>
    <row r="34" spans="1:16">
      <c r="A34" s="144" t="s">
        <v>56</v>
      </c>
      <c r="B34" s="141"/>
      <c r="C34" s="134"/>
      <c r="D34" s="142"/>
      <c r="E34" s="143"/>
      <c r="F34" s="143"/>
      <c r="G34" s="136"/>
      <c r="H34" s="136"/>
      <c r="I34" s="136"/>
      <c r="J34" s="143">
        <v>0</v>
      </c>
      <c r="K34" s="140">
        <v>0</v>
      </c>
      <c r="L34" s="126">
        <v>0</v>
      </c>
      <c r="M34" s="126">
        <v>0</v>
      </c>
      <c r="N34" s="137">
        <f t="shared" si="0"/>
        <v>0</v>
      </c>
      <c r="O34" s="138">
        <f t="shared" si="1"/>
        <v>0</v>
      </c>
      <c r="P34" s="130">
        <f t="shared" si="2"/>
        <v>0</v>
      </c>
    </row>
    <row r="35" spans="1:16">
      <c r="A35" s="144" t="s">
        <v>57</v>
      </c>
      <c r="B35" s="141"/>
      <c r="C35" s="134"/>
      <c r="D35" s="142"/>
      <c r="E35" s="143"/>
      <c r="F35" s="143"/>
      <c r="G35" s="136"/>
      <c r="H35" s="136"/>
      <c r="I35" s="136"/>
      <c r="J35" s="143">
        <v>379</v>
      </c>
      <c r="K35" s="126">
        <v>313</v>
      </c>
      <c r="L35" s="126">
        <v>290</v>
      </c>
      <c r="M35" s="126">
        <v>263</v>
      </c>
      <c r="N35" s="137">
        <f t="shared" si="0"/>
        <v>1245</v>
      </c>
      <c r="O35" s="138">
        <f t="shared" si="1"/>
        <v>311.25</v>
      </c>
      <c r="P35" s="130">
        <f t="shared" si="2"/>
        <v>6.5162776091280223</v>
      </c>
    </row>
    <row r="36" spans="1:16">
      <c r="A36" s="144" t="s">
        <v>58</v>
      </c>
      <c r="B36" s="141"/>
      <c r="C36" s="134"/>
      <c r="D36" s="142"/>
      <c r="E36" s="143"/>
      <c r="F36" s="143"/>
      <c r="G36" s="136"/>
      <c r="H36" s="136"/>
      <c r="I36" s="136"/>
      <c r="J36" s="143">
        <v>0</v>
      </c>
      <c r="K36" s="140">
        <v>0</v>
      </c>
      <c r="L36" s="126">
        <v>0</v>
      </c>
      <c r="M36" s="126">
        <v>0</v>
      </c>
      <c r="N36" s="137">
        <f t="shared" si="0"/>
        <v>0</v>
      </c>
      <c r="O36" s="138">
        <f t="shared" si="1"/>
        <v>0</v>
      </c>
      <c r="P36" s="130">
        <f t="shared" si="2"/>
        <v>0</v>
      </c>
    </row>
    <row r="37" spans="1:16">
      <c r="A37" s="144" t="s">
        <v>59</v>
      </c>
      <c r="B37" s="141"/>
      <c r="C37" s="134"/>
      <c r="D37" s="142"/>
      <c r="E37" s="143"/>
      <c r="F37" s="143"/>
      <c r="G37" s="136"/>
      <c r="H37" s="136"/>
      <c r="I37" s="136"/>
      <c r="J37" s="143">
        <v>981</v>
      </c>
      <c r="K37" s="126">
        <v>844</v>
      </c>
      <c r="L37" s="126">
        <v>484</v>
      </c>
      <c r="M37" s="126">
        <v>501</v>
      </c>
      <c r="N37" s="137">
        <f t="shared" ref="N37:N68" si="3">SUM(B37:M37)</f>
        <v>2810</v>
      </c>
      <c r="O37" s="138">
        <f t="shared" ref="O37:O68" si="4">AVERAGE(B37:M37)</f>
        <v>702.5</v>
      </c>
      <c r="P37" s="130">
        <f t="shared" ref="P37:P68" si="5">(N37/$N$187)*100</f>
        <v>14.707421752329111</v>
      </c>
    </row>
    <row r="38" spans="1:16">
      <c r="A38" s="144" t="s">
        <v>60</v>
      </c>
      <c r="B38" s="141"/>
      <c r="C38" s="134"/>
      <c r="D38" s="142"/>
      <c r="E38" s="143"/>
      <c r="F38" s="143"/>
      <c r="G38" s="136"/>
      <c r="H38" s="136"/>
      <c r="I38" s="136"/>
      <c r="J38" s="143">
        <v>9</v>
      </c>
      <c r="K38" s="126">
        <v>9</v>
      </c>
      <c r="L38" s="126">
        <v>3</v>
      </c>
      <c r="M38" s="126">
        <v>1</v>
      </c>
      <c r="N38" s="137">
        <f t="shared" si="3"/>
        <v>22</v>
      </c>
      <c r="O38" s="138">
        <f t="shared" si="4"/>
        <v>5.5</v>
      </c>
      <c r="P38" s="130">
        <f t="shared" si="5"/>
        <v>0.11514707421752329</v>
      </c>
    </row>
    <row r="39" spans="1:16">
      <c r="A39" s="144" t="s">
        <v>61</v>
      </c>
      <c r="B39" s="141"/>
      <c r="C39" s="134"/>
      <c r="D39" s="142"/>
      <c r="E39" s="143"/>
      <c r="F39" s="143"/>
      <c r="G39" s="136"/>
      <c r="H39" s="136"/>
      <c r="I39" s="136"/>
      <c r="J39" s="143">
        <v>116</v>
      </c>
      <c r="K39" s="126">
        <v>157</v>
      </c>
      <c r="L39" s="126">
        <v>139</v>
      </c>
      <c r="M39" s="126">
        <v>91</v>
      </c>
      <c r="N39" s="137">
        <f t="shared" si="3"/>
        <v>503</v>
      </c>
      <c r="O39" s="138">
        <f t="shared" si="4"/>
        <v>125.75</v>
      </c>
      <c r="P39" s="130">
        <f t="shared" si="5"/>
        <v>2.6326808332461007</v>
      </c>
    </row>
    <row r="40" spans="1:16">
      <c r="A40" s="144" t="s">
        <v>62</v>
      </c>
      <c r="B40" s="141"/>
      <c r="C40" s="134"/>
      <c r="D40" s="142"/>
      <c r="E40" s="143"/>
      <c r="F40" s="143"/>
      <c r="G40" s="136"/>
      <c r="H40" s="136"/>
      <c r="I40" s="136"/>
      <c r="J40" s="143">
        <v>139</v>
      </c>
      <c r="K40" s="126">
        <v>155</v>
      </c>
      <c r="L40" s="126">
        <v>123</v>
      </c>
      <c r="M40" s="126">
        <v>81</v>
      </c>
      <c r="N40" s="137">
        <f t="shared" si="3"/>
        <v>498</v>
      </c>
      <c r="O40" s="138">
        <f t="shared" si="4"/>
        <v>124.5</v>
      </c>
      <c r="P40" s="130">
        <f t="shared" si="5"/>
        <v>2.6065110436512091</v>
      </c>
    </row>
    <row r="41" spans="1:16">
      <c r="A41" s="144" t="s">
        <v>63</v>
      </c>
      <c r="B41" s="141"/>
      <c r="C41" s="134"/>
      <c r="D41" s="142"/>
      <c r="E41" s="143"/>
      <c r="F41" s="143"/>
      <c r="G41" s="136"/>
      <c r="H41" s="136"/>
      <c r="I41" s="136"/>
      <c r="J41" s="143">
        <v>0</v>
      </c>
      <c r="K41" s="126">
        <v>1</v>
      </c>
      <c r="L41" s="126">
        <v>0</v>
      </c>
      <c r="M41" s="126">
        <v>0</v>
      </c>
      <c r="N41" s="137">
        <f t="shared" si="3"/>
        <v>1</v>
      </c>
      <c r="O41" s="138">
        <f t="shared" si="4"/>
        <v>0.25</v>
      </c>
      <c r="P41" s="130">
        <f t="shared" si="5"/>
        <v>5.2339579189783318E-3</v>
      </c>
    </row>
    <row r="42" spans="1:16">
      <c r="A42" s="144" t="s">
        <v>64</v>
      </c>
      <c r="B42" s="141"/>
      <c r="C42" s="134"/>
      <c r="D42" s="142"/>
      <c r="E42" s="143"/>
      <c r="F42" s="143"/>
      <c r="G42" s="136"/>
      <c r="H42" s="136"/>
      <c r="I42" s="136"/>
      <c r="J42" s="143">
        <v>2</v>
      </c>
      <c r="K42" s="126">
        <v>4</v>
      </c>
      <c r="L42" s="126">
        <v>3</v>
      </c>
      <c r="M42" s="126">
        <v>5</v>
      </c>
      <c r="N42" s="137">
        <f t="shared" si="3"/>
        <v>14</v>
      </c>
      <c r="O42" s="138">
        <f t="shared" si="4"/>
        <v>3.5</v>
      </c>
      <c r="P42" s="130">
        <f t="shared" si="5"/>
        <v>7.3275410865696639E-2</v>
      </c>
    </row>
    <row r="43" spans="1:16">
      <c r="A43" s="139" t="s">
        <v>65</v>
      </c>
      <c r="B43" s="141"/>
      <c r="C43" s="134"/>
      <c r="D43" s="142"/>
      <c r="E43" s="143"/>
      <c r="F43" s="143"/>
      <c r="G43" s="136"/>
      <c r="H43" s="136"/>
      <c r="I43" s="136"/>
      <c r="J43" s="143">
        <v>0</v>
      </c>
      <c r="K43" s="126">
        <v>1</v>
      </c>
      <c r="L43" s="126">
        <v>1</v>
      </c>
      <c r="M43" s="126">
        <v>0</v>
      </c>
      <c r="N43" s="137">
        <f t="shared" si="3"/>
        <v>2</v>
      </c>
      <c r="O43" s="138">
        <f t="shared" si="4"/>
        <v>0.5</v>
      </c>
      <c r="P43" s="130">
        <f t="shared" si="5"/>
        <v>1.0467915837956664E-2</v>
      </c>
    </row>
    <row r="44" spans="1:16">
      <c r="A44" s="144" t="s">
        <v>66</v>
      </c>
      <c r="B44" s="141"/>
      <c r="C44" s="134"/>
      <c r="D44" s="142"/>
      <c r="E44" s="143"/>
      <c r="F44" s="143"/>
      <c r="G44" s="136"/>
      <c r="H44" s="136"/>
      <c r="I44" s="136"/>
      <c r="J44" s="143">
        <v>10</v>
      </c>
      <c r="K44" s="126">
        <v>11</v>
      </c>
      <c r="L44" s="126">
        <v>18</v>
      </c>
      <c r="M44" s="126">
        <v>28</v>
      </c>
      <c r="N44" s="137">
        <f t="shared" si="3"/>
        <v>67</v>
      </c>
      <c r="O44" s="138">
        <f t="shared" si="4"/>
        <v>16.75</v>
      </c>
      <c r="P44" s="130">
        <f t="shared" si="5"/>
        <v>0.35067518057154817</v>
      </c>
    </row>
    <row r="45" spans="1:16">
      <c r="A45" s="144" t="s">
        <v>67</v>
      </c>
      <c r="B45" s="141"/>
      <c r="C45" s="134"/>
      <c r="D45" s="142"/>
      <c r="E45" s="143"/>
      <c r="F45" s="143"/>
      <c r="G45" s="136"/>
      <c r="H45" s="136"/>
      <c r="I45" s="136"/>
      <c r="J45" s="143">
        <v>4</v>
      </c>
      <c r="K45" s="126">
        <v>3</v>
      </c>
      <c r="L45" s="126">
        <v>0</v>
      </c>
      <c r="M45" s="126">
        <v>4</v>
      </c>
      <c r="N45" s="137">
        <f t="shared" si="3"/>
        <v>11</v>
      </c>
      <c r="O45" s="138">
        <f t="shared" si="4"/>
        <v>2.75</v>
      </c>
      <c r="P45" s="130">
        <f t="shared" si="5"/>
        <v>5.7573537108761647E-2</v>
      </c>
    </row>
    <row r="46" spans="1:16">
      <c r="A46" s="144" t="s">
        <v>68</v>
      </c>
      <c r="B46" s="141"/>
      <c r="C46" s="134"/>
      <c r="D46" s="142"/>
      <c r="E46" s="143"/>
      <c r="F46" s="143"/>
      <c r="G46" s="136"/>
      <c r="H46" s="136"/>
      <c r="I46" s="136"/>
      <c r="J46" s="143">
        <v>2</v>
      </c>
      <c r="K46" s="126">
        <v>2</v>
      </c>
      <c r="L46" s="126">
        <v>8</v>
      </c>
      <c r="M46" s="126">
        <v>4</v>
      </c>
      <c r="N46" s="137">
        <f t="shared" si="3"/>
        <v>16</v>
      </c>
      <c r="O46" s="138">
        <f t="shared" si="4"/>
        <v>4</v>
      </c>
      <c r="P46" s="130">
        <f t="shared" si="5"/>
        <v>8.3743326703653309E-2</v>
      </c>
    </row>
    <row r="47" spans="1:16">
      <c r="A47" s="144" t="s">
        <v>69</v>
      </c>
      <c r="B47" s="141"/>
      <c r="C47" s="134"/>
      <c r="D47" s="142"/>
      <c r="E47" s="143"/>
      <c r="F47" s="143"/>
      <c r="G47" s="136"/>
      <c r="H47" s="136"/>
      <c r="I47" s="136"/>
      <c r="J47" s="143">
        <v>4</v>
      </c>
      <c r="K47" s="126">
        <v>5</v>
      </c>
      <c r="L47" s="126">
        <v>5</v>
      </c>
      <c r="M47" s="126">
        <v>3</v>
      </c>
      <c r="N47" s="137">
        <f t="shared" si="3"/>
        <v>17</v>
      </c>
      <c r="O47" s="138">
        <f t="shared" si="4"/>
        <v>4.25</v>
      </c>
      <c r="P47" s="130">
        <f t="shared" si="5"/>
        <v>8.8977284622631644E-2</v>
      </c>
    </row>
    <row r="48" spans="1:16">
      <c r="A48" s="144" t="s">
        <v>70</v>
      </c>
      <c r="B48" s="141"/>
      <c r="C48" s="134"/>
      <c r="D48" s="142"/>
      <c r="E48" s="143"/>
      <c r="F48" s="143"/>
      <c r="G48" s="136"/>
      <c r="H48" s="136"/>
      <c r="I48" s="136"/>
      <c r="J48" s="143">
        <v>18</v>
      </c>
      <c r="K48" s="126">
        <v>14</v>
      </c>
      <c r="L48" s="126">
        <v>20</v>
      </c>
      <c r="M48" s="126">
        <v>26</v>
      </c>
      <c r="N48" s="137">
        <f t="shared" si="3"/>
        <v>78</v>
      </c>
      <c r="O48" s="138">
        <f t="shared" si="4"/>
        <v>19.5</v>
      </c>
      <c r="P48" s="130">
        <f t="shared" si="5"/>
        <v>0.40824871768030985</v>
      </c>
    </row>
    <row r="49" spans="1:16">
      <c r="A49" s="144" t="s">
        <v>71</v>
      </c>
      <c r="B49" s="141"/>
      <c r="C49" s="134"/>
      <c r="D49" s="142"/>
      <c r="E49" s="143"/>
      <c r="F49" s="143"/>
      <c r="G49" s="136"/>
      <c r="H49" s="136"/>
      <c r="I49" s="136"/>
      <c r="J49" s="143">
        <v>11</v>
      </c>
      <c r="K49" s="126">
        <v>31</v>
      </c>
      <c r="L49" s="126">
        <v>16</v>
      </c>
      <c r="M49" s="126">
        <v>13</v>
      </c>
      <c r="N49" s="137">
        <f t="shared" si="3"/>
        <v>71</v>
      </c>
      <c r="O49" s="138">
        <f t="shared" si="4"/>
        <v>17.75</v>
      </c>
      <c r="P49" s="130">
        <f t="shared" si="5"/>
        <v>0.37161101224746151</v>
      </c>
    </row>
    <row r="50" spans="1:16">
      <c r="A50" s="144" t="s">
        <v>72</v>
      </c>
      <c r="B50" s="141"/>
      <c r="C50" s="134"/>
      <c r="D50" s="142"/>
      <c r="E50" s="143"/>
      <c r="F50" s="143"/>
      <c r="G50" s="136"/>
      <c r="H50" s="136"/>
      <c r="I50" s="136"/>
      <c r="J50" s="143">
        <v>0</v>
      </c>
      <c r="K50" s="140">
        <v>0</v>
      </c>
      <c r="L50" s="126">
        <v>0</v>
      </c>
      <c r="M50" s="126">
        <v>0</v>
      </c>
      <c r="N50" s="137">
        <f t="shared" si="3"/>
        <v>0</v>
      </c>
      <c r="O50" s="138">
        <f t="shared" si="4"/>
        <v>0</v>
      </c>
      <c r="P50" s="130">
        <f t="shared" si="5"/>
        <v>0</v>
      </c>
    </row>
    <row r="51" spans="1:16">
      <c r="A51" s="144" t="s">
        <v>73</v>
      </c>
      <c r="B51" s="141"/>
      <c r="C51" s="134"/>
      <c r="D51" s="142"/>
      <c r="E51" s="143"/>
      <c r="F51" s="143"/>
      <c r="G51" s="136"/>
      <c r="H51" s="136"/>
      <c r="I51" s="136"/>
      <c r="J51" s="143">
        <v>7</v>
      </c>
      <c r="K51" s="126">
        <v>10</v>
      </c>
      <c r="L51" s="126">
        <v>4</v>
      </c>
      <c r="M51" s="126">
        <v>7</v>
      </c>
      <c r="N51" s="137">
        <f t="shared" si="3"/>
        <v>28</v>
      </c>
      <c r="O51" s="138">
        <f t="shared" si="4"/>
        <v>7</v>
      </c>
      <c r="P51" s="130">
        <f t="shared" si="5"/>
        <v>0.14655082173139328</v>
      </c>
    </row>
    <row r="52" spans="1:16">
      <c r="A52" s="144" t="s">
        <v>74</v>
      </c>
      <c r="B52" s="141"/>
      <c r="C52" s="134"/>
      <c r="D52" s="142"/>
      <c r="E52" s="143"/>
      <c r="F52" s="143"/>
      <c r="G52" s="136"/>
      <c r="H52" s="136"/>
      <c r="I52" s="136"/>
      <c r="J52" s="143">
        <v>0</v>
      </c>
      <c r="K52" s="140">
        <v>0</v>
      </c>
      <c r="L52" s="126">
        <v>3</v>
      </c>
      <c r="M52" s="126">
        <v>1</v>
      </c>
      <c r="N52" s="137">
        <f t="shared" si="3"/>
        <v>4</v>
      </c>
      <c r="O52" s="138">
        <f t="shared" si="4"/>
        <v>1</v>
      </c>
      <c r="P52" s="130">
        <f t="shared" si="5"/>
        <v>2.0935831675913327E-2</v>
      </c>
    </row>
    <row r="53" spans="1:16">
      <c r="A53" s="144" t="s">
        <v>75</v>
      </c>
      <c r="B53" s="141"/>
      <c r="C53" s="134"/>
      <c r="D53" s="142"/>
      <c r="E53" s="143"/>
      <c r="F53" s="143"/>
      <c r="G53" s="136"/>
      <c r="H53" s="136"/>
      <c r="I53" s="136"/>
      <c r="J53" s="143">
        <v>14</v>
      </c>
      <c r="K53" s="126">
        <v>9</v>
      </c>
      <c r="L53" s="126">
        <v>11</v>
      </c>
      <c r="M53" s="126">
        <v>20</v>
      </c>
      <c r="N53" s="137">
        <f t="shared" si="3"/>
        <v>54</v>
      </c>
      <c r="O53" s="138">
        <f t="shared" si="4"/>
        <v>13.5</v>
      </c>
      <c r="P53" s="130">
        <f t="shared" si="5"/>
        <v>0.28263372762482991</v>
      </c>
    </row>
    <row r="54" spans="1:16">
      <c r="A54" s="144" t="s">
        <v>76</v>
      </c>
      <c r="B54" s="141"/>
      <c r="C54" s="134"/>
      <c r="D54" s="142"/>
      <c r="E54" s="143"/>
      <c r="F54" s="143"/>
      <c r="G54" s="136"/>
      <c r="H54" s="136"/>
      <c r="I54" s="136"/>
      <c r="J54" s="143">
        <v>12</v>
      </c>
      <c r="K54" s="126">
        <v>12</v>
      </c>
      <c r="L54" s="126">
        <v>14</v>
      </c>
      <c r="M54" s="126">
        <v>9</v>
      </c>
      <c r="N54" s="137">
        <f t="shared" si="3"/>
        <v>47</v>
      </c>
      <c r="O54" s="138">
        <f t="shared" si="4"/>
        <v>11.75</v>
      </c>
      <c r="P54" s="130">
        <f t="shared" si="5"/>
        <v>0.24599602219198155</v>
      </c>
    </row>
    <row r="55" spans="1:16">
      <c r="A55" s="144" t="s">
        <v>77</v>
      </c>
      <c r="B55" s="141"/>
      <c r="C55" s="134"/>
      <c r="D55" s="142"/>
      <c r="E55" s="143"/>
      <c r="F55" s="143"/>
      <c r="G55" s="136"/>
      <c r="H55" s="136"/>
      <c r="I55" s="136"/>
      <c r="J55" s="143">
        <v>1</v>
      </c>
      <c r="K55" s="140">
        <v>0</v>
      </c>
      <c r="L55" s="126">
        <v>1</v>
      </c>
      <c r="M55" s="126">
        <v>3</v>
      </c>
      <c r="N55" s="137">
        <f t="shared" si="3"/>
        <v>5</v>
      </c>
      <c r="O55" s="138">
        <f t="shared" si="4"/>
        <v>1.25</v>
      </c>
      <c r="P55" s="130">
        <f t="shared" si="5"/>
        <v>2.6169789594891659E-2</v>
      </c>
    </row>
    <row r="56" spans="1:16">
      <c r="A56" s="144" t="s">
        <v>78</v>
      </c>
      <c r="B56" s="141"/>
      <c r="C56" s="134"/>
      <c r="D56" s="142"/>
      <c r="E56" s="143"/>
      <c r="F56" s="143"/>
      <c r="G56" s="136"/>
      <c r="H56" s="136"/>
      <c r="I56" s="136"/>
      <c r="J56" s="143">
        <v>2</v>
      </c>
      <c r="K56" s="140">
        <v>0</v>
      </c>
      <c r="L56" s="126">
        <v>1</v>
      </c>
      <c r="M56" s="126">
        <v>2</v>
      </c>
      <c r="N56" s="137">
        <f t="shared" si="3"/>
        <v>5</v>
      </c>
      <c r="O56" s="138">
        <f t="shared" si="4"/>
        <v>1.25</v>
      </c>
      <c r="P56" s="130">
        <f t="shared" si="5"/>
        <v>2.6169789594891659E-2</v>
      </c>
    </row>
    <row r="57" spans="1:16">
      <c r="A57" s="144" t="s">
        <v>79</v>
      </c>
      <c r="B57" s="141"/>
      <c r="C57" s="134"/>
      <c r="D57" s="142"/>
      <c r="E57" s="143"/>
      <c r="F57" s="143"/>
      <c r="G57" s="136"/>
      <c r="H57" s="136"/>
      <c r="I57" s="136"/>
      <c r="J57" s="143">
        <v>0</v>
      </c>
      <c r="K57" s="140">
        <v>0</v>
      </c>
      <c r="L57" s="126">
        <v>0</v>
      </c>
      <c r="M57" s="126">
        <v>0</v>
      </c>
      <c r="N57" s="137">
        <f t="shared" si="3"/>
        <v>0</v>
      </c>
      <c r="O57" s="138">
        <f t="shared" si="4"/>
        <v>0</v>
      </c>
      <c r="P57" s="130">
        <f t="shared" si="5"/>
        <v>0</v>
      </c>
    </row>
    <row r="58" spans="1:16">
      <c r="A58" s="144" t="s">
        <v>80</v>
      </c>
      <c r="B58" s="141"/>
      <c r="C58" s="134"/>
      <c r="D58" s="142"/>
      <c r="E58" s="143"/>
      <c r="F58" s="143"/>
      <c r="G58" s="136"/>
      <c r="H58" s="136"/>
      <c r="I58" s="136"/>
      <c r="J58" s="143">
        <v>1</v>
      </c>
      <c r="K58" s="126">
        <v>2</v>
      </c>
      <c r="L58" s="126">
        <v>2</v>
      </c>
      <c r="M58" s="126">
        <v>0</v>
      </c>
      <c r="N58" s="137">
        <f t="shared" si="3"/>
        <v>5</v>
      </c>
      <c r="O58" s="138">
        <f t="shared" si="4"/>
        <v>1.25</v>
      </c>
      <c r="P58" s="130">
        <f t="shared" si="5"/>
        <v>2.6169789594891659E-2</v>
      </c>
    </row>
    <row r="59" spans="1:16">
      <c r="A59" s="144" t="s">
        <v>81</v>
      </c>
      <c r="B59" s="141"/>
      <c r="C59" s="134"/>
      <c r="D59" s="142"/>
      <c r="E59" s="143"/>
      <c r="F59" s="143"/>
      <c r="G59" s="136"/>
      <c r="H59" s="136"/>
      <c r="I59" s="136"/>
      <c r="J59" s="143">
        <v>0</v>
      </c>
      <c r="K59" s="140">
        <v>0</v>
      </c>
      <c r="L59" s="126">
        <v>0</v>
      </c>
      <c r="M59" s="126">
        <v>0</v>
      </c>
      <c r="N59" s="137">
        <f t="shared" si="3"/>
        <v>0</v>
      </c>
      <c r="O59" s="138">
        <f t="shared" si="4"/>
        <v>0</v>
      </c>
      <c r="P59" s="130">
        <f t="shared" si="5"/>
        <v>0</v>
      </c>
    </row>
    <row r="60" spans="1:16">
      <c r="A60" s="144" t="s">
        <v>82</v>
      </c>
      <c r="B60" s="141"/>
      <c r="C60" s="134"/>
      <c r="D60" s="142"/>
      <c r="E60" s="143"/>
      <c r="F60" s="143"/>
      <c r="G60" s="136"/>
      <c r="H60" s="136"/>
      <c r="I60" s="136"/>
      <c r="J60" s="143">
        <v>8</v>
      </c>
      <c r="K60" s="126">
        <v>7</v>
      </c>
      <c r="L60" s="126">
        <v>4</v>
      </c>
      <c r="M60" s="126">
        <v>7</v>
      </c>
      <c r="N60" s="137">
        <f t="shared" si="3"/>
        <v>26</v>
      </c>
      <c r="O60" s="138">
        <f t="shared" si="4"/>
        <v>6.5</v>
      </c>
      <c r="P60" s="130">
        <f t="shared" si="5"/>
        <v>0.13608290589343661</v>
      </c>
    </row>
    <row r="61" spans="1:16">
      <c r="A61" s="144" t="s">
        <v>83</v>
      </c>
      <c r="B61" s="141"/>
      <c r="C61" s="134"/>
      <c r="D61" s="142"/>
      <c r="E61" s="143"/>
      <c r="F61" s="143"/>
      <c r="G61" s="136"/>
      <c r="H61" s="136"/>
      <c r="I61" s="136"/>
      <c r="J61" s="143">
        <v>0</v>
      </c>
      <c r="K61" s="126">
        <v>2</v>
      </c>
      <c r="L61" s="126">
        <v>3</v>
      </c>
      <c r="M61" s="126">
        <v>2</v>
      </c>
      <c r="N61" s="137">
        <f t="shared" si="3"/>
        <v>7</v>
      </c>
      <c r="O61" s="138">
        <f t="shared" si="4"/>
        <v>1.75</v>
      </c>
      <c r="P61" s="130">
        <f t="shared" si="5"/>
        <v>3.6637705432848319E-2</v>
      </c>
    </row>
    <row r="62" spans="1:16">
      <c r="A62" s="144" t="s">
        <v>84</v>
      </c>
      <c r="B62" s="141"/>
      <c r="C62" s="134"/>
      <c r="D62" s="142"/>
      <c r="E62" s="143"/>
      <c r="F62" s="143"/>
      <c r="G62" s="136"/>
      <c r="H62" s="136"/>
      <c r="I62" s="136"/>
      <c r="J62" s="143">
        <v>37</v>
      </c>
      <c r="K62" s="126">
        <v>32</v>
      </c>
      <c r="L62" s="126">
        <v>51</v>
      </c>
      <c r="M62" s="126">
        <v>30</v>
      </c>
      <c r="N62" s="137">
        <f t="shared" si="3"/>
        <v>150</v>
      </c>
      <c r="O62" s="138">
        <f t="shared" si="4"/>
        <v>37.5</v>
      </c>
      <c r="P62" s="130">
        <f t="shared" si="5"/>
        <v>0.78509368784674982</v>
      </c>
    </row>
    <row r="63" spans="1:16">
      <c r="A63" s="144" t="s">
        <v>85</v>
      </c>
      <c r="B63" s="141"/>
      <c r="C63" s="134"/>
      <c r="D63" s="142"/>
      <c r="E63" s="143"/>
      <c r="F63" s="143"/>
      <c r="G63" s="136"/>
      <c r="H63" s="136"/>
      <c r="I63" s="136"/>
      <c r="J63" s="143">
        <v>2</v>
      </c>
      <c r="K63" s="126">
        <v>3</v>
      </c>
      <c r="L63" s="126">
        <v>2</v>
      </c>
      <c r="M63" s="126">
        <v>0</v>
      </c>
      <c r="N63" s="137">
        <f t="shared" si="3"/>
        <v>7</v>
      </c>
      <c r="O63" s="138">
        <f t="shared" si="4"/>
        <v>1.75</v>
      </c>
      <c r="P63" s="130">
        <f t="shared" si="5"/>
        <v>3.6637705432848319E-2</v>
      </c>
    </row>
    <row r="64" spans="1:16">
      <c r="A64" s="144" t="s">
        <v>86</v>
      </c>
      <c r="B64" s="141"/>
      <c r="C64" s="134"/>
      <c r="D64" s="142"/>
      <c r="E64" s="143"/>
      <c r="F64" s="143"/>
      <c r="G64" s="136"/>
      <c r="H64" s="136"/>
      <c r="I64" s="136"/>
      <c r="J64" s="143">
        <v>0</v>
      </c>
      <c r="K64" s="140">
        <v>0</v>
      </c>
      <c r="L64" s="126">
        <v>0</v>
      </c>
      <c r="M64" s="126">
        <v>0</v>
      </c>
      <c r="N64" s="137">
        <f t="shared" si="3"/>
        <v>0</v>
      </c>
      <c r="O64" s="138">
        <f t="shared" si="4"/>
        <v>0</v>
      </c>
      <c r="P64" s="130">
        <f t="shared" si="5"/>
        <v>0</v>
      </c>
    </row>
    <row r="65" spans="1:16">
      <c r="A65" s="144" t="s">
        <v>87</v>
      </c>
      <c r="B65" s="141"/>
      <c r="C65" s="134"/>
      <c r="D65" s="142"/>
      <c r="E65" s="143"/>
      <c r="F65" s="143"/>
      <c r="G65" s="136"/>
      <c r="H65" s="136"/>
      <c r="I65" s="136"/>
      <c r="J65" s="143">
        <v>5</v>
      </c>
      <c r="K65" s="126">
        <v>4</v>
      </c>
      <c r="L65" s="126">
        <v>9</v>
      </c>
      <c r="M65" s="126">
        <v>8</v>
      </c>
      <c r="N65" s="137">
        <f t="shared" si="3"/>
        <v>26</v>
      </c>
      <c r="O65" s="138">
        <f t="shared" si="4"/>
        <v>6.5</v>
      </c>
      <c r="P65" s="130">
        <f t="shared" si="5"/>
        <v>0.13608290589343661</v>
      </c>
    </row>
    <row r="66" spans="1:16">
      <c r="A66" s="144" t="s">
        <v>88</v>
      </c>
      <c r="B66" s="141"/>
      <c r="C66" s="134"/>
      <c r="D66" s="142"/>
      <c r="E66" s="143"/>
      <c r="F66" s="143"/>
      <c r="G66" s="136"/>
      <c r="H66" s="136"/>
      <c r="I66" s="136"/>
      <c r="J66" s="143">
        <v>4</v>
      </c>
      <c r="K66" s="126">
        <v>4</v>
      </c>
      <c r="L66" s="126">
        <v>0</v>
      </c>
      <c r="M66" s="126">
        <v>0</v>
      </c>
      <c r="N66" s="137">
        <f t="shared" si="3"/>
        <v>8</v>
      </c>
      <c r="O66" s="138">
        <f t="shared" si="4"/>
        <v>2</v>
      </c>
      <c r="P66" s="130">
        <f t="shared" si="5"/>
        <v>4.1871663351826655E-2</v>
      </c>
    </row>
    <row r="67" spans="1:16">
      <c r="A67" s="144" t="s">
        <v>89</v>
      </c>
      <c r="B67" s="141"/>
      <c r="C67" s="134"/>
      <c r="D67" s="142"/>
      <c r="E67" s="143"/>
      <c r="F67" s="143"/>
      <c r="G67" s="136"/>
      <c r="H67" s="136"/>
      <c r="I67" s="136"/>
      <c r="J67" s="143">
        <v>11</v>
      </c>
      <c r="K67" s="126">
        <v>29</v>
      </c>
      <c r="L67" s="126">
        <v>30</v>
      </c>
      <c r="M67" s="126">
        <v>27</v>
      </c>
      <c r="N67" s="137">
        <f t="shared" si="3"/>
        <v>97</v>
      </c>
      <c r="O67" s="138">
        <f t="shared" si="4"/>
        <v>24.25</v>
      </c>
      <c r="P67" s="130">
        <f t="shared" si="5"/>
        <v>0.50769391814089815</v>
      </c>
    </row>
    <row r="68" spans="1:16">
      <c r="A68" s="144" t="s">
        <v>90</v>
      </c>
      <c r="B68" s="141"/>
      <c r="C68" s="134"/>
      <c r="D68" s="142"/>
      <c r="E68" s="143"/>
      <c r="F68" s="143"/>
      <c r="G68" s="136"/>
      <c r="H68" s="136"/>
      <c r="I68" s="136"/>
      <c r="J68" s="143">
        <v>6</v>
      </c>
      <c r="K68" s="126">
        <v>11</v>
      </c>
      <c r="L68" s="126">
        <v>5</v>
      </c>
      <c r="M68" s="126">
        <v>3</v>
      </c>
      <c r="N68" s="137">
        <f t="shared" si="3"/>
        <v>25</v>
      </c>
      <c r="O68" s="138">
        <f t="shared" si="4"/>
        <v>6.25</v>
      </c>
      <c r="P68" s="130">
        <f t="shared" si="5"/>
        <v>0.13084894797445829</v>
      </c>
    </row>
    <row r="69" spans="1:16">
      <c r="A69" s="139" t="s">
        <v>91</v>
      </c>
      <c r="B69" s="141"/>
      <c r="C69" s="134"/>
      <c r="D69" s="142"/>
      <c r="E69" s="143"/>
      <c r="F69" s="143"/>
      <c r="G69" s="136"/>
      <c r="H69" s="136"/>
      <c r="I69" s="136"/>
      <c r="J69" s="143">
        <v>24</v>
      </c>
      <c r="K69" s="126">
        <v>42</v>
      </c>
      <c r="L69" s="126">
        <v>25</v>
      </c>
      <c r="M69" s="126">
        <v>30</v>
      </c>
      <c r="N69" s="137">
        <f t="shared" ref="N69:N100" si="6">SUM(B69:M69)</f>
        <v>121</v>
      </c>
      <c r="O69" s="138">
        <f t="shared" ref="O69:O100" si="7">AVERAGE(B69:M69)</f>
        <v>30.25</v>
      </c>
      <c r="P69" s="130">
        <f t="shared" ref="P69:P100" si="8">(N69/$N$187)*100</f>
        <v>0.63330890819637808</v>
      </c>
    </row>
    <row r="70" spans="1:16">
      <c r="A70" s="144" t="s">
        <v>92</v>
      </c>
      <c r="B70" s="141"/>
      <c r="C70" s="134"/>
      <c r="D70" s="142"/>
      <c r="E70" s="143"/>
      <c r="F70" s="143"/>
      <c r="G70" s="136"/>
      <c r="H70" s="136"/>
      <c r="I70" s="136"/>
      <c r="J70" s="143">
        <v>10</v>
      </c>
      <c r="K70" s="126">
        <v>15</v>
      </c>
      <c r="L70" s="126">
        <v>15</v>
      </c>
      <c r="M70" s="126">
        <v>19</v>
      </c>
      <c r="N70" s="137">
        <f t="shared" si="6"/>
        <v>59</v>
      </c>
      <c r="O70" s="138">
        <f t="shared" si="7"/>
        <v>14.75</v>
      </c>
      <c r="P70" s="130">
        <f t="shared" si="8"/>
        <v>0.30880351721972155</v>
      </c>
    </row>
    <row r="71" spans="1:16">
      <c r="A71" s="144" t="s">
        <v>93</v>
      </c>
      <c r="B71" s="141"/>
      <c r="C71" s="134"/>
      <c r="D71" s="142"/>
      <c r="E71" s="143"/>
      <c r="F71" s="143"/>
      <c r="G71" s="136"/>
      <c r="H71" s="136"/>
      <c r="I71" s="136"/>
      <c r="J71" s="143">
        <v>0</v>
      </c>
      <c r="K71" s="126">
        <v>1</v>
      </c>
      <c r="L71" s="126">
        <v>2</v>
      </c>
      <c r="M71" s="126">
        <v>7</v>
      </c>
      <c r="N71" s="137">
        <f t="shared" si="6"/>
        <v>10</v>
      </c>
      <c r="O71" s="138">
        <f t="shared" si="7"/>
        <v>2.5</v>
      </c>
      <c r="P71" s="130">
        <f t="shared" si="8"/>
        <v>5.2339579189783318E-2</v>
      </c>
    </row>
    <row r="72" spans="1:16">
      <c r="A72" s="139" t="s">
        <v>94</v>
      </c>
      <c r="B72" s="141"/>
      <c r="C72" s="134"/>
      <c r="D72" s="142"/>
      <c r="E72" s="143"/>
      <c r="F72" s="143"/>
      <c r="G72" s="136"/>
      <c r="H72" s="136"/>
      <c r="I72" s="136"/>
      <c r="J72" s="143">
        <v>0</v>
      </c>
      <c r="K72" s="140">
        <v>0</v>
      </c>
      <c r="L72" s="126">
        <v>1</v>
      </c>
      <c r="M72" s="126">
        <v>5</v>
      </c>
      <c r="N72" s="137">
        <f t="shared" si="6"/>
        <v>6</v>
      </c>
      <c r="O72" s="138">
        <f t="shared" si="7"/>
        <v>1.5</v>
      </c>
      <c r="P72" s="130">
        <f t="shared" si="8"/>
        <v>3.1403747513869991E-2</v>
      </c>
    </row>
    <row r="73" spans="1:16">
      <c r="A73" s="139" t="s">
        <v>95</v>
      </c>
      <c r="B73" s="141"/>
      <c r="C73" s="134"/>
      <c r="D73" s="142"/>
      <c r="E73" s="143"/>
      <c r="F73" s="143"/>
      <c r="G73" s="136"/>
      <c r="H73" s="136"/>
      <c r="I73" s="136"/>
      <c r="J73" s="143">
        <v>1</v>
      </c>
      <c r="K73" s="126">
        <v>7</v>
      </c>
      <c r="L73" s="126">
        <v>8</v>
      </c>
      <c r="M73" s="126">
        <v>21</v>
      </c>
      <c r="N73" s="137">
        <f t="shared" si="6"/>
        <v>37</v>
      </c>
      <c r="O73" s="138">
        <f t="shared" si="7"/>
        <v>9.25</v>
      </c>
      <c r="P73" s="130">
        <f t="shared" si="8"/>
        <v>0.19365644300219825</v>
      </c>
    </row>
    <row r="74" spans="1:16">
      <c r="A74" s="144" t="s">
        <v>96</v>
      </c>
      <c r="B74" s="141"/>
      <c r="C74" s="134"/>
      <c r="D74" s="142"/>
      <c r="E74" s="143"/>
      <c r="F74" s="143"/>
      <c r="G74" s="136"/>
      <c r="H74" s="136"/>
      <c r="I74" s="136"/>
      <c r="J74" s="143">
        <v>130</v>
      </c>
      <c r="K74" s="126">
        <v>176</v>
      </c>
      <c r="L74" s="126">
        <v>135</v>
      </c>
      <c r="M74" s="126">
        <v>118</v>
      </c>
      <c r="N74" s="137">
        <f t="shared" si="6"/>
        <v>559</v>
      </c>
      <c r="O74" s="138">
        <f t="shared" si="7"/>
        <v>139.75</v>
      </c>
      <c r="P74" s="130">
        <f t="shared" si="8"/>
        <v>2.9257824767088874</v>
      </c>
    </row>
    <row r="75" spans="1:16">
      <c r="A75" s="144" t="s">
        <v>97</v>
      </c>
      <c r="B75" s="141"/>
      <c r="C75" s="134"/>
      <c r="D75" s="142"/>
      <c r="E75" s="143"/>
      <c r="F75" s="143"/>
      <c r="G75" s="136"/>
      <c r="H75" s="136"/>
      <c r="I75" s="136"/>
      <c r="J75" s="143">
        <v>1</v>
      </c>
      <c r="K75" s="140">
        <v>0</v>
      </c>
      <c r="L75" s="126">
        <v>1</v>
      </c>
      <c r="M75" s="126">
        <v>1</v>
      </c>
      <c r="N75" s="137">
        <f t="shared" si="6"/>
        <v>3</v>
      </c>
      <c r="O75" s="138">
        <f t="shared" si="7"/>
        <v>0.75</v>
      </c>
      <c r="P75" s="130">
        <f t="shared" si="8"/>
        <v>1.5701873756934995E-2</v>
      </c>
    </row>
    <row r="76" spans="1:16">
      <c r="A76" s="144" t="s">
        <v>98</v>
      </c>
      <c r="B76" s="141"/>
      <c r="C76" s="134"/>
      <c r="D76" s="142"/>
      <c r="E76" s="143"/>
      <c r="F76" s="143"/>
      <c r="G76" s="136"/>
      <c r="H76" s="136"/>
      <c r="I76" s="136"/>
      <c r="J76" s="143">
        <v>0</v>
      </c>
      <c r="K76" s="140">
        <v>0</v>
      </c>
      <c r="L76" s="126">
        <v>0</v>
      </c>
      <c r="M76" s="126">
        <v>0</v>
      </c>
      <c r="N76" s="137">
        <f t="shared" si="6"/>
        <v>0</v>
      </c>
      <c r="O76" s="138">
        <f t="shared" si="7"/>
        <v>0</v>
      </c>
      <c r="P76" s="130">
        <f t="shared" si="8"/>
        <v>0</v>
      </c>
    </row>
    <row r="77" spans="1:16">
      <c r="A77" s="144" t="s">
        <v>11</v>
      </c>
      <c r="B77" s="141"/>
      <c r="C77" s="145"/>
      <c r="D77" s="142"/>
      <c r="E77" s="143"/>
      <c r="F77" s="143"/>
      <c r="G77" s="136"/>
      <c r="H77" s="136"/>
      <c r="I77" s="136"/>
      <c r="J77" s="143">
        <v>70</v>
      </c>
      <c r="K77" s="140">
        <v>76</v>
      </c>
      <c r="L77" s="126">
        <v>55</v>
      </c>
      <c r="M77" s="126">
        <v>67</v>
      </c>
      <c r="N77" s="137">
        <f t="shared" si="6"/>
        <v>268</v>
      </c>
      <c r="O77" s="138">
        <f t="shared" si="7"/>
        <v>67</v>
      </c>
      <c r="P77" s="130">
        <f t="shared" si="8"/>
        <v>1.4027007222861927</v>
      </c>
    </row>
    <row r="78" spans="1:16">
      <c r="A78" s="144" t="s">
        <v>99</v>
      </c>
      <c r="B78" s="141"/>
      <c r="C78" s="145"/>
      <c r="D78" s="142"/>
      <c r="E78" s="143"/>
      <c r="F78" s="143"/>
      <c r="G78" s="136"/>
      <c r="H78" s="136"/>
      <c r="I78" s="136"/>
      <c r="J78" s="143">
        <v>1</v>
      </c>
      <c r="K78" s="140">
        <v>1</v>
      </c>
      <c r="L78" s="126">
        <v>0</v>
      </c>
      <c r="M78" s="126">
        <v>2</v>
      </c>
      <c r="N78" s="137">
        <f t="shared" si="6"/>
        <v>4</v>
      </c>
      <c r="O78" s="138">
        <f t="shared" si="7"/>
        <v>1</v>
      </c>
      <c r="P78" s="130">
        <f t="shared" si="8"/>
        <v>2.0935831675913327E-2</v>
      </c>
    </row>
    <row r="79" spans="1:16">
      <c r="A79" s="144" t="s">
        <v>100</v>
      </c>
      <c r="B79" s="141"/>
      <c r="C79" s="134"/>
      <c r="D79" s="142"/>
      <c r="E79" s="143"/>
      <c r="F79" s="143"/>
      <c r="G79" s="136"/>
      <c r="H79" s="136"/>
      <c r="I79" s="136"/>
      <c r="J79" s="143">
        <v>2</v>
      </c>
      <c r="K79" s="140">
        <v>5</v>
      </c>
      <c r="L79" s="126">
        <v>0</v>
      </c>
      <c r="M79" s="126">
        <v>0</v>
      </c>
      <c r="N79" s="137">
        <f t="shared" si="6"/>
        <v>7</v>
      </c>
      <c r="O79" s="138">
        <f t="shared" si="7"/>
        <v>1.75</v>
      </c>
      <c r="P79" s="130">
        <f t="shared" si="8"/>
        <v>3.6637705432848319E-2</v>
      </c>
    </row>
    <row r="80" spans="1:16">
      <c r="A80" s="144" t="s">
        <v>101</v>
      </c>
      <c r="B80" s="141"/>
      <c r="C80" s="134"/>
      <c r="D80" s="142"/>
      <c r="E80" s="143"/>
      <c r="F80" s="143"/>
      <c r="G80" s="136"/>
      <c r="H80" s="136"/>
      <c r="I80" s="136"/>
      <c r="J80" s="143">
        <v>101</v>
      </c>
      <c r="K80" s="140">
        <v>164</v>
      </c>
      <c r="L80" s="126">
        <v>93</v>
      </c>
      <c r="M80" s="126">
        <v>113</v>
      </c>
      <c r="N80" s="137">
        <f t="shared" si="6"/>
        <v>471</v>
      </c>
      <c r="O80" s="138">
        <f t="shared" si="7"/>
        <v>117.75</v>
      </c>
      <c r="P80" s="130">
        <f t="shared" si="8"/>
        <v>2.4651941798387944</v>
      </c>
    </row>
    <row r="81" spans="1:16">
      <c r="A81" s="144" t="s">
        <v>102</v>
      </c>
      <c r="B81" s="141"/>
      <c r="C81" s="134"/>
      <c r="D81" s="142"/>
      <c r="E81" s="143"/>
      <c r="F81" s="143"/>
      <c r="G81" s="136"/>
      <c r="H81" s="136"/>
      <c r="I81" s="136"/>
      <c r="J81" s="143">
        <v>44</v>
      </c>
      <c r="K81" s="140">
        <v>49</v>
      </c>
      <c r="L81" s="126">
        <v>47</v>
      </c>
      <c r="M81" s="126">
        <v>103</v>
      </c>
      <c r="N81" s="137">
        <f t="shared" si="6"/>
        <v>243</v>
      </c>
      <c r="O81" s="138">
        <f t="shared" si="7"/>
        <v>60.75</v>
      </c>
      <c r="P81" s="130">
        <f t="shared" si="8"/>
        <v>1.2718517743117346</v>
      </c>
    </row>
    <row r="82" spans="1:16">
      <c r="A82" s="144" t="s">
        <v>103</v>
      </c>
      <c r="B82" s="141"/>
      <c r="C82" s="134"/>
      <c r="D82" s="142"/>
      <c r="E82" s="143"/>
      <c r="F82" s="143"/>
      <c r="G82" s="136"/>
      <c r="H82" s="136"/>
      <c r="I82" s="136"/>
      <c r="J82" s="143">
        <v>0</v>
      </c>
      <c r="K82" s="140">
        <v>0</v>
      </c>
      <c r="L82" s="126">
        <v>0</v>
      </c>
      <c r="M82" s="126">
        <v>0</v>
      </c>
      <c r="N82" s="137">
        <f t="shared" si="6"/>
        <v>0</v>
      </c>
      <c r="O82" s="138">
        <f t="shared" si="7"/>
        <v>0</v>
      </c>
      <c r="P82" s="130">
        <f t="shared" si="8"/>
        <v>0</v>
      </c>
    </row>
    <row r="83" spans="1:16">
      <c r="A83" s="144" t="s">
        <v>104</v>
      </c>
      <c r="B83" s="141"/>
      <c r="C83" s="134"/>
      <c r="D83" s="142"/>
      <c r="E83" s="143"/>
      <c r="F83" s="143"/>
      <c r="G83" s="136"/>
      <c r="H83" s="136"/>
      <c r="I83" s="136"/>
      <c r="J83" s="143">
        <v>2</v>
      </c>
      <c r="K83" s="140">
        <v>3</v>
      </c>
      <c r="L83" s="126">
        <v>9</v>
      </c>
      <c r="M83" s="126">
        <v>1</v>
      </c>
      <c r="N83" s="137">
        <f t="shared" si="6"/>
        <v>15</v>
      </c>
      <c r="O83" s="138">
        <f t="shared" si="7"/>
        <v>3.75</v>
      </c>
      <c r="P83" s="130">
        <f t="shared" si="8"/>
        <v>7.850936878467496E-2</v>
      </c>
    </row>
    <row r="84" spans="1:16">
      <c r="A84" s="144" t="s">
        <v>105</v>
      </c>
      <c r="B84" s="141"/>
      <c r="C84" s="134"/>
      <c r="D84" s="142"/>
      <c r="E84" s="143"/>
      <c r="F84" s="143"/>
      <c r="G84" s="136"/>
      <c r="H84" s="136"/>
      <c r="I84" s="136"/>
      <c r="J84" s="143">
        <v>9</v>
      </c>
      <c r="K84" s="140">
        <v>1</v>
      </c>
      <c r="L84" s="126">
        <v>8</v>
      </c>
      <c r="M84" s="126">
        <v>6</v>
      </c>
      <c r="N84" s="137">
        <f t="shared" si="6"/>
        <v>24</v>
      </c>
      <c r="O84" s="138">
        <f t="shared" si="7"/>
        <v>6</v>
      </c>
      <c r="P84" s="130">
        <f t="shared" si="8"/>
        <v>0.12561499005547996</v>
      </c>
    </row>
    <row r="85" spans="1:16">
      <c r="A85" s="144" t="s">
        <v>106</v>
      </c>
      <c r="B85" s="141"/>
      <c r="C85" s="134"/>
      <c r="D85" s="142"/>
      <c r="E85" s="143"/>
      <c r="F85" s="143"/>
      <c r="G85" s="136"/>
      <c r="H85" s="136"/>
      <c r="I85" s="136"/>
      <c r="J85" s="143">
        <v>11</v>
      </c>
      <c r="K85" s="140">
        <v>12</v>
      </c>
      <c r="L85" s="126">
        <v>8</v>
      </c>
      <c r="M85" s="126">
        <v>12</v>
      </c>
      <c r="N85" s="137">
        <f t="shared" si="6"/>
        <v>43</v>
      </c>
      <c r="O85" s="138">
        <f t="shared" si="7"/>
        <v>10.75</v>
      </c>
      <c r="P85" s="130">
        <f t="shared" si="8"/>
        <v>0.22506019051606826</v>
      </c>
    </row>
    <row r="86" spans="1:16">
      <c r="A86" s="144" t="s">
        <v>107</v>
      </c>
      <c r="B86" s="141"/>
      <c r="C86" s="134"/>
      <c r="D86" s="142"/>
      <c r="E86" s="143"/>
      <c r="F86" s="143"/>
      <c r="G86" s="136"/>
      <c r="H86" s="136"/>
      <c r="I86" s="136"/>
      <c r="J86" s="143">
        <v>2</v>
      </c>
      <c r="K86" s="140">
        <v>0</v>
      </c>
      <c r="L86" s="126">
        <v>2</v>
      </c>
      <c r="M86" s="126">
        <v>0</v>
      </c>
      <c r="N86" s="137">
        <f t="shared" si="6"/>
        <v>4</v>
      </c>
      <c r="O86" s="138">
        <f t="shared" si="7"/>
        <v>1</v>
      </c>
      <c r="P86" s="130">
        <f t="shared" si="8"/>
        <v>2.0935831675913327E-2</v>
      </c>
    </row>
    <row r="87" spans="1:16">
      <c r="A87" s="144" t="s">
        <v>108</v>
      </c>
      <c r="B87" s="141"/>
      <c r="C87" s="134"/>
      <c r="D87" s="142"/>
      <c r="E87" s="143"/>
      <c r="F87" s="143"/>
      <c r="G87" s="136"/>
      <c r="H87" s="136"/>
      <c r="I87" s="136"/>
      <c r="J87" s="143">
        <v>10</v>
      </c>
      <c r="K87" s="126">
        <v>14</v>
      </c>
      <c r="L87" s="126">
        <v>8</v>
      </c>
      <c r="M87" s="126">
        <v>11</v>
      </c>
      <c r="N87" s="137">
        <f t="shared" si="6"/>
        <v>43</v>
      </c>
      <c r="O87" s="138">
        <f t="shared" si="7"/>
        <v>10.75</v>
      </c>
      <c r="P87" s="130">
        <f t="shared" si="8"/>
        <v>0.22506019051606826</v>
      </c>
    </row>
    <row r="88" spans="1:16">
      <c r="A88" s="144" t="s">
        <v>109</v>
      </c>
      <c r="B88" s="141"/>
      <c r="C88" s="134"/>
      <c r="D88" s="142"/>
      <c r="E88" s="143"/>
      <c r="F88" s="143"/>
      <c r="G88" s="136"/>
      <c r="H88" s="136"/>
      <c r="I88" s="136"/>
      <c r="J88" s="143">
        <v>0</v>
      </c>
      <c r="K88" s="140">
        <v>0</v>
      </c>
      <c r="L88" s="126">
        <v>0</v>
      </c>
      <c r="M88" s="126">
        <v>0</v>
      </c>
      <c r="N88" s="137">
        <f t="shared" si="6"/>
        <v>0</v>
      </c>
      <c r="O88" s="138">
        <f t="shared" si="7"/>
        <v>0</v>
      </c>
      <c r="P88" s="130">
        <f t="shared" si="8"/>
        <v>0</v>
      </c>
    </row>
    <row r="89" spans="1:16">
      <c r="A89" s="144" t="s">
        <v>110</v>
      </c>
      <c r="B89" s="141"/>
      <c r="C89" s="134"/>
      <c r="D89" s="142"/>
      <c r="E89" s="143"/>
      <c r="F89" s="143"/>
      <c r="G89" s="136"/>
      <c r="H89" s="136"/>
      <c r="I89" s="136"/>
      <c r="J89" s="143">
        <v>116</v>
      </c>
      <c r="K89" s="126">
        <v>119</v>
      </c>
      <c r="L89" s="126">
        <v>104</v>
      </c>
      <c r="M89" s="126">
        <v>88</v>
      </c>
      <c r="N89" s="137">
        <f t="shared" si="6"/>
        <v>427</v>
      </c>
      <c r="O89" s="138">
        <f t="shared" si="7"/>
        <v>106.75</v>
      </c>
      <c r="P89" s="130">
        <f t="shared" si="8"/>
        <v>2.2349000314037473</v>
      </c>
    </row>
    <row r="90" spans="1:16">
      <c r="A90" s="144" t="s">
        <v>111</v>
      </c>
      <c r="B90" s="141"/>
      <c r="C90" s="134"/>
      <c r="D90" s="142"/>
      <c r="E90" s="143"/>
      <c r="F90" s="143"/>
      <c r="G90" s="136"/>
      <c r="H90" s="136"/>
      <c r="I90" s="136"/>
      <c r="J90" s="143">
        <v>1</v>
      </c>
      <c r="K90" s="126">
        <v>2</v>
      </c>
      <c r="L90" s="126">
        <v>3</v>
      </c>
      <c r="M90" s="126">
        <v>1</v>
      </c>
      <c r="N90" s="137">
        <f t="shared" si="6"/>
        <v>7</v>
      </c>
      <c r="O90" s="138">
        <f t="shared" si="7"/>
        <v>1.75</v>
      </c>
      <c r="P90" s="130">
        <f t="shared" si="8"/>
        <v>3.6637705432848319E-2</v>
      </c>
    </row>
    <row r="91" spans="1:16">
      <c r="A91" s="139" t="s">
        <v>112</v>
      </c>
      <c r="B91" s="141"/>
      <c r="C91" s="134"/>
      <c r="D91" s="142"/>
      <c r="E91" s="143"/>
      <c r="F91" s="143"/>
      <c r="G91" s="136"/>
      <c r="H91" s="136"/>
      <c r="I91" s="136"/>
      <c r="J91" s="143">
        <v>38</v>
      </c>
      <c r="K91" s="126">
        <v>26</v>
      </c>
      <c r="L91" s="126">
        <v>17</v>
      </c>
      <c r="M91" s="126">
        <v>13</v>
      </c>
      <c r="N91" s="137">
        <f t="shared" si="6"/>
        <v>94</v>
      </c>
      <c r="O91" s="138">
        <f t="shared" si="7"/>
        <v>23.5</v>
      </c>
      <c r="P91" s="130">
        <f t="shared" si="8"/>
        <v>0.4919920443839631</v>
      </c>
    </row>
    <row r="92" spans="1:16">
      <c r="A92" s="144" t="s">
        <v>113</v>
      </c>
      <c r="B92" s="141"/>
      <c r="C92" s="134"/>
      <c r="D92" s="142"/>
      <c r="E92" s="143"/>
      <c r="F92" s="143"/>
      <c r="G92" s="136"/>
      <c r="H92" s="136"/>
      <c r="I92" s="136"/>
      <c r="J92" s="143">
        <v>1</v>
      </c>
      <c r="K92" s="126">
        <v>6</v>
      </c>
      <c r="L92" s="126">
        <v>4</v>
      </c>
      <c r="M92" s="126">
        <v>2</v>
      </c>
      <c r="N92" s="137">
        <f t="shared" si="6"/>
        <v>13</v>
      </c>
      <c r="O92" s="138">
        <f t="shared" si="7"/>
        <v>3.25</v>
      </c>
      <c r="P92" s="130">
        <f t="shared" si="8"/>
        <v>6.8041452946718303E-2</v>
      </c>
    </row>
    <row r="93" spans="1:16">
      <c r="A93" s="144" t="s">
        <v>114</v>
      </c>
      <c r="B93" s="141"/>
      <c r="C93" s="134"/>
      <c r="D93" s="142"/>
      <c r="E93" s="143"/>
      <c r="F93" s="143"/>
      <c r="G93" s="136"/>
      <c r="H93" s="136"/>
      <c r="I93" s="136"/>
      <c r="J93" s="143">
        <v>0</v>
      </c>
      <c r="K93" s="126">
        <v>1</v>
      </c>
      <c r="L93" s="126">
        <v>0</v>
      </c>
      <c r="M93" s="126">
        <v>0</v>
      </c>
      <c r="N93" s="137">
        <f t="shared" si="6"/>
        <v>1</v>
      </c>
      <c r="O93" s="138">
        <f t="shared" si="7"/>
        <v>0.25</v>
      </c>
      <c r="P93" s="130">
        <f t="shared" si="8"/>
        <v>5.2339579189783318E-3</v>
      </c>
    </row>
    <row r="94" spans="1:16">
      <c r="A94" s="144" t="s">
        <v>115</v>
      </c>
      <c r="B94" s="141"/>
      <c r="C94" s="134"/>
      <c r="D94" s="142"/>
      <c r="E94" s="143"/>
      <c r="F94" s="143"/>
      <c r="G94" s="136"/>
      <c r="H94" s="136"/>
      <c r="I94" s="136"/>
      <c r="J94" s="143">
        <v>0</v>
      </c>
      <c r="K94" s="140">
        <v>0</v>
      </c>
      <c r="L94" s="126">
        <v>0</v>
      </c>
      <c r="M94" s="126">
        <v>0</v>
      </c>
      <c r="N94" s="137">
        <f t="shared" si="6"/>
        <v>0</v>
      </c>
      <c r="O94" s="138">
        <f t="shared" si="7"/>
        <v>0</v>
      </c>
      <c r="P94" s="130">
        <f t="shared" si="8"/>
        <v>0</v>
      </c>
    </row>
    <row r="95" spans="1:16">
      <c r="A95" s="144" t="s">
        <v>116</v>
      </c>
      <c r="B95" s="141"/>
      <c r="C95" s="134"/>
      <c r="D95" s="142"/>
      <c r="E95" s="143"/>
      <c r="F95" s="143"/>
      <c r="G95" s="136"/>
      <c r="H95" s="136"/>
      <c r="I95" s="136"/>
      <c r="J95" s="143">
        <v>5</v>
      </c>
      <c r="K95" s="126">
        <v>3</v>
      </c>
      <c r="L95" s="126">
        <v>0</v>
      </c>
      <c r="M95" s="126">
        <v>0</v>
      </c>
      <c r="N95" s="137">
        <f t="shared" si="6"/>
        <v>8</v>
      </c>
      <c r="O95" s="138">
        <f t="shared" si="7"/>
        <v>2</v>
      </c>
      <c r="P95" s="130">
        <f t="shared" si="8"/>
        <v>4.1871663351826655E-2</v>
      </c>
    </row>
    <row r="96" spans="1:16">
      <c r="A96" s="144" t="s">
        <v>117</v>
      </c>
      <c r="B96" s="141"/>
      <c r="C96" s="134"/>
      <c r="D96" s="142"/>
      <c r="E96" s="143"/>
      <c r="F96" s="143"/>
      <c r="G96" s="136"/>
      <c r="H96" s="136"/>
      <c r="I96" s="136"/>
      <c r="J96" s="143">
        <v>0</v>
      </c>
      <c r="K96" s="140">
        <v>0</v>
      </c>
      <c r="L96" s="126">
        <v>1</v>
      </c>
      <c r="M96" s="126">
        <v>1</v>
      </c>
      <c r="N96" s="137">
        <f t="shared" si="6"/>
        <v>2</v>
      </c>
      <c r="O96" s="138">
        <f t="shared" si="7"/>
        <v>0.5</v>
      </c>
      <c r="P96" s="130">
        <f t="shared" si="8"/>
        <v>1.0467915837956664E-2</v>
      </c>
    </row>
    <row r="97" spans="1:16">
      <c r="A97" s="139" t="s">
        <v>118</v>
      </c>
      <c r="B97" s="141"/>
      <c r="C97" s="134"/>
      <c r="D97" s="142"/>
      <c r="E97" s="143"/>
      <c r="F97" s="143"/>
      <c r="G97" s="136"/>
      <c r="H97" s="136"/>
      <c r="I97" s="136"/>
      <c r="J97" s="143">
        <v>51</v>
      </c>
      <c r="K97" s="126">
        <v>128</v>
      </c>
      <c r="L97" s="126">
        <v>89</v>
      </c>
      <c r="M97" s="126">
        <v>54</v>
      </c>
      <c r="N97" s="137">
        <f t="shared" si="6"/>
        <v>322</v>
      </c>
      <c r="O97" s="138">
        <f t="shared" si="7"/>
        <v>80.5</v>
      </c>
      <c r="P97" s="130">
        <f t="shared" si="8"/>
        <v>1.6853344499110228</v>
      </c>
    </row>
    <row r="98" spans="1:16">
      <c r="A98" s="139" t="s">
        <v>119</v>
      </c>
      <c r="B98" s="141"/>
      <c r="C98" s="134"/>
      <c r="D98" s="142"/>
      <c r="E98" s="143"/>
      <c r="F98" s="143"/>
      <c r="G98" s="136"/>
      <c r="H98" s="136"/>
      <c r="I98" s="136"/>
      <c r="J98" s="143">
        <v>0</v>
      </c>
      <c r="K98" s="140">
        <v>0</v>
      </c>
      <c r="L98" s="126">
        <v>0</v>
      </c>
      <c r="M98" s="126">
        <v>0</v>
      </c>
      <c r="N98" s="137">
        <f t="shared" si="6"/>
        <v>0</v>
      </c>
      <c r="O98" s="138">
        <f t="shared" si="7"/>
        <v>0</v>
      </c>
      <c r="P98" s="130">
        <f t="shared" si="8"/>
        <v>0</v>
      </c>
    </row>
    <row r="99" spans="1:16">
      <c r="A99" s="139" t="s">
        <v>120</v>
      </c>
      <c r="B99" s="141"/>
      <c r="C99" s="134"/>
      <c r="D99" s="142"/>
      <c r="E99" s="143"/>
      <c r="F99" s="143"/>
      <c r="G99" s="136"/>
      <c r="H99" s="136"/>
      <c r="I99" s="136"/>
      <c r="J99" s="143">
        <v>0</v>
      </c>
      <c r="K99" s="140">
        <v>0</v>
      </c>
      <c r="L99" s="126">
        <v>1</v>
      </c>
      <c r="M99" s="126">
        <v>1</v>
      </c>
      <c r="N99" s="137">
        <f t="shared" si="6"/>
        <v>2</v>
      </c>
      <c r="O99" s="138">
        <f t="shared" si="7"/>
        <v>0.5</v>
      </c>
      <c r="P99" s="130">
        <f t="shared" si="8"/>
        <v>1.0467915837956664E-2</v>
      </c>
    </row>
    <row r="100" spans="1:16">
      <c r="A100" s="144" t="s">
        <v>121</v>
      </c>
      <c r="B100" s="141"/>
      <c r="C100" s="134"/>
      <c r="D100" s="142"/>
      <c r="E100" s="143"/>
      <c r="F100" s="143"/>
      <c r="G100" s="136"/>
      <c r="H100" s="136"/>
      <c r="I100" s="136"/>
      <c r="J100" s="143">
        <v>0</v>
      </c>
      <c r="K100" s="140">
        <v>0</v>
      </c>
      <c r="L100" s="126">
        <v>0</v>
      </c>
      <c r="M100" s="126">
        <v>0</v>
      </c>
      <c r="N100" s="137">
        <f t="shared" si="6"/>
        <v>0</v>
      </c>
      <c r="O100" s="138">
        <f t="shared" si="7"/>
        <v>0</v>
      </c>
      <c r="P100" s="130">
        <f t="shared" si="8"/>
        <v>0</v>
      </c>
    </row>
    <row r="101" spans="1:16">
      <c r="A101" s="144" t="s">
        <v>122</v>
      </c>
      <c r="B101" s="141"/>
      <c r="C101" s="134"/>
      <c r="D101" s="142"/>
      <c r="E101" s="143"/>
      <c r="F101" s="143"/>
      <c r="G101" s="136"/>
      <c r="H101" s="136"/>
      <c r="I101" s="136"/>
      <c r="J101" s="143">
        <v>72</v>
      </c>
      <c r="K101" s="126">
        <v>100</v>
      </c>
      <c r="L101" s="126">
        <v>110</v>
      </c>
      <c r="M101" s="126">
        <v>92</v>
      </c>
      <c r="N101" s="137">
        <f t="shared" ref="N101:N132" si="9">SUM(B101:M101)</f>
        <v>374</v>
      </c>
      <c r="O101" s="138">
        <f t="shared" ref="O101:O132" si="10">AVERAGE(B101:M101)</f>
        <v>93.5</v>
      </c>
      <c r="P101" s="130">
        <f t="shared" ref="P101:P132" si="11">(N101/$N$187)*100</f>
        <v>1.9575002616978958</v>
      </c>
    </row>
    <row r="102" spans="1:16">
      <c r="A102" s="139" t="s">
        <v>123</v>
      </c>
      <c r="B102" s="141"/>
      <c r="C102" s="134"/>
      <c r="D102" s="142"/>
      <c r="E102" s="143"/>
      <c r="F102" s="143"/>
      <c r="G102" s="136"/>
      <c r="H102" s="136"/>
      <c r="I102" s="136"/>
      <c r="J102" s="143">
        <v>8</v>
      </c>
      <c r="K102" s="126">
        <v>10</v>
      </c>
      <c r="L102" s="126">
        <v>10</v>
      </c>
      <c r="M102" s="126">
        <v>8</v>
      </c>
      <c r="N102" s="137">
        <f t="shared" si="9"/>
        <v>36</v>
      </c>
      <c r="O102" s="138">
        <f t="shared" si="10"/>
        <v>9</v>
      </c>
      <c r="P102" s="130">
        <f t="shared" si="11"/>
        <v>0.18842248508321993</v>
      </c>
    </row>
    <row r="103" spans="1:16">
      <c r="A103" s="139" t="s">
        <v>124</v>
      </c>
      <c r="B103" s="141"/>
      <c r="C103" s="134"/>
      <c r="D103" s="142"/>
      <c r="E103" s="143"/>
      <c r="F103" s="143"/>
      <c r="G103" s="136"/>
      <c r="H103" s="136"/>
      <c r="I103" s="136"/>
      <c r="J103" s="143">
        <v>5</v>
      </c>
      <c r="K103" s="126">
        <v>21</v>
      </c>
      <c r="L103" s="126">
        <v>5</v>
      </c>
      <c r="M103" s="126">
        <v>11</v>
      </c>
      <c r="N103" s="137">
        <f t="shared" si="9"/>
        <v>42</v>
      </c>
      <c r="O103" s="138">
        <f t="shared" si="10"/>
        <v>10.5</v>
      </c>
      <c r="P103" s="130">
        <f t="shared" si="11"/>
        <v>0.21982623259708989</v>
      </c>
    </row>
    <row r="104" spans="1:16">
      <c r="A104" s="144" t="s">
        <v>125</v>
      </c>
      <c r="B104" s="141"/>
      <c r="C104" s="134"/>
      <c r="D104" s="142"/>
      <c r="E104" s="143"/>
      <c r="F104" s="143"/>
      <c r="G104" s="136"/>
      <c r="H104" s="136"/>
      <c r="I104" s="136"/>
      <c r="J104" s="143">
        <v>0</v>
      </c>
      <c r="K104" s="140">
        <v>0</v>
      </c>
      <c r="L104" s="126">
        <v>0</v>
      </c>
      <c r="M104" s="126">
        <v>0</v>
      </c>
      <c r="N104" s="137">
        <f t="shared" si="9"/>
        <v>0</v>
      </c>
      <c r="O104" s="138">
        <f t="shared" si="10"/>
        <v>0</v>
      </c>
      <c r="P104" s="130">
        <f t="shared" si="11"/>
        <v>0</v>
      </c>
    </row>
    <row r="105" spans="1:16">
      <c r="A105" s="144" t="s">
        <v>126</v>
      </c>
      <c r="B105" s="141"/>
      <c r="C105" s="134"/>
      <c r="D105" s="142"/>
      <c r="E105" s="143"/>
      <c r="F105" s="143"/>
      <c r="G105" s="136"/>
      <c r="H105" s="136"/>
      <c r="I105" s="136"/>
      <c r="J105" s="143">
        <v>31</v>
      </c>
      <c r="K105" s="126">
        <v>32</v>
      </c>
      <c r="L105" s="126">
        <v>21</v>
      </c>
      <c r="M105" s="126">
        <v>21</v>
      </c>
      <c r="N105" s="137">
        <f t="shared" si="9"/>
        <v>105</v>
      </c>
      <c r="O105" s="138">
        <f t="shared" si="10"/>
        <v>26.25</v>
      </c>
      <c r="P105" s="130">
        <f t="shared" si="11"/>
        <v>0.54956558149272483</v>
      </c>
    </row>
    <row r="106" spans="1:16">
      <c r="A106" s="144" t="s">
        <v>127</v>
      </c>
      <c r="B106" s="141"/>
      <c r="C106" s="134"/>
      <c r="D106" s="142"/>
      <c r="E106" s="143"/>
      <c r="F106" s="143"/>
      <c r="G106" s="136"/>
      <c r="H106" s="136"/>
      <c r="I106" s="136"/>
      <c r="J106" s="143">
        <v>0</v>
      </c>
      <c r="K106" s="140">
        <v>0</v>
      </c>
      <c r="L106" s="126">
        <v>0</v>
      </c>
      <c r="M106" s="126">
        <v>1</v>
      </c>
      <c r="N106" s="137">
        <f t="shared" si="9"/>
        <v>1</v>
      </c>
      <c r="O106" s="138">
        <f t="shared" si="10"/>
        <v>0.25</v>
      </c>
      <c r="P106" s="130">
        <f t="shared" si="11"/>
        <v>5.2339579189783318E-3</v>
      </c>
    </row>
    <row r="107" spans="1:16">
      <c r="A107" s="144" t="s">
        <v>128</v>
      </c>
      <c r="B107" s="141"/>
      <c r="C107" s="134"/>
      <c r="D107" s="142"/>
      <c r="E107" s="143"/>
      <c r="F107" s="143"/>
      <c r="G107" s="136"/>
      <c r="H107" s="136"/>
      <c r="I107" s="136"/>
      <c r="J107" s="143">
        <v>21</v>
      </c>
      <c r="K107" s="126">
        <v>21</v>
      </c>
      <c r="L107" s="126">
        <v>25</v>
      </c>
      <c r="M107" s="126">
        <v>20</v>
      </c>
      <c r="N107" s="137">
        <f t="shared" si="9"/>
        <v>87</v>
      </c>
      <c r="O107" s="138">
        <f t="shared" si="10"/>
        <v>21.75</v>
      </c>
      <c r="P107" s="130">
        <f t="shared" si="11"/>
        <v>0.45535433895111482</v>
      </c>
    </row>
    <row r="108" spans="1:16">
      <c r="A108" s="144" t="s">
        <v>129</v>
      </c>
      <c r="B108" s="141"/>
      <c r="C108" s="134"/>
      <c r="D108" s="142"/>
      <c r="E108" s="143"/>
      <c r="F108" s="143"/>
      <c r="G108" s="136"/>
      <c r="H108" s="136"/>
      <c r="I108" s="136"/>
      <c r="J108" s="143">
        <v>0</v>
      </c>
      <c r="K108" s="126">
        <v>0</v>
      </c>
      <c r="L108" s="126">
        <v>0</v>
      </c>
      <c r="M108" s="146">
        <v>0</v>
      </c>
      <c r="N108" s="137">
        <f t="shared" si="9"/>
        <v>0</v>
      </c>
      <c r="O108" s="138">
        <f t="shared" si="10"/>
        <v>0</v>
      </c>
      <c r="P108" s="130">
        <f t="shared" si="11"/>
        <v>0</v>
      </c>
    </row>
    <row r="109" spans="1:16">
      <c r="A109" s="144" t="s">
        <v>130</v>
      </c>
      <c r="B109" s="141"/>
      <c r="C109" s="134"/>
      <c r="D109" s="142"/>
      <c r="E109" s="143"/>
      <c r="F109" s="143"/>
      <c r="G109" s="136"/>
      <c r="H109" s="136"/>
      <c r="I109" s="136"/>
      <c r="J109" s="143">
        <v>5</v>
      </c>
      <c r="K109" s="140">
        <v>11</v>
      </c>
      <c r="L109" s="126">
        <v>5</v>
      </c>
      <c r="M109" s="126">
        <v>6</v>
      </c>
      <c r="N109" s="137">
        <f t="shared" si="9"/>
        <v>27</v>
      </c>
      <c r="O109" s="138">
        <f t="shared" si="10"/>
        <v>6.75</v>
      </c>
      <c r="P109" s="130">
        <f t="shared" si="11"/>
        <v>0.14131686381241496</v>
      </c>
    </row>
    <row r="110" spans="1:16">
      <c r="A110" s="144" t="s">
        <v>131</v>
      </c>
      <c r="B110" s="141"/>
      <c r="C110" s="134"/>
      <c r="D110" s="142"/>
      <c r="E110" s="143"/>
      <c r="F110" s="143"/>
      <c r="G110" s="136"/>
      <c r="H110" s="136"/>
      <c r="I110" s="136"/>
      <c r="J110" s="143">
        <v>26</v>
      </c>
      <c r="K110" s="126">
        <v>83</v>
      </c>
      <c r="L110" s="126">
        <v>113</v>
      </c>
      <c r="M110" s="126">
        <v>42</v>
      </c>
      <c r="N110" s="137">
        <f t="shared" si="9"/>
        <v>264</v>
      </c>
      <c r="O110" s="138">
        <f t="shared" si="10"/>
        <v>66</v>
      </c>
      <c r="P110" s="130">
        <f t="shared" si="11"/>
        <v>1.3817648906102795</v>
      </c>
    </row>
    <row r="111" spans="1:16">
      <c r="A111" s="144" t="s">
        <v>132</v>
      </c>
      <c r="B111" s="141"/>
      <c r="C111" s="134"/>
      <c r="D111" s="142"/>
      <c r="E111" s="143"/>
      <c r="F111" s="143"/>
      <c r="G111" s="136"/>
      <c r="H111" s="136"/>
      <c r="I111" s="136"/>
      <c r="J111" s="143">
        <v>1</v>
      </c>
      <c r="K111" s="126">
        <v>3</v>
      </c>
      <c r="L111" s="126">
        <v>1</v>
      </c>
      <c r="M111" s="126">
        <v>0</v>
      </c>
      <c r="N111" s="137">
        <f t="shared" si="9"/>
        <v>5</v>
      </c>
      <c r="O111" s="138">
        <f t="shared" si="10"/>
        <v>1.25</v>
      </c>
      <c r="P111" s="130">
        <f t="shared" si="11"/>
        <v>2.6169789594891659E-2</v>
      </c>
    </row>
    <row r="112" spans="1:16">
      <c r="A112" s="144" t="s">
        <v>133</v>
      </c>
      <c r="B112" s="141"/>
      <c r="C112" s="134"/>
      <c r="D112" s="142"/>
      <c r="E112" s="143"/>
      <c r="F112" s="143"/>
      <c r="G112" s="136"/>
      <c r="H112" s="136"/>
      <c r="I112" s="136"/>
      <c r="J112" s="143">
        <v>2</v>
      </c>
      <c r="K112" s="126">
        <v>2</v>
      </c>
      <c r="L112" s="126">
        <v>3</v>
      </c>
      <c r="M112" s="126">
        <v>4</v>
      </c>
      <c r="N112" s="137">
        <f t="shared" si="9"/>
        <v>11</v>
      </c>
      <c r="O112" s="138">
        <f t="shared" si="10"/>
        <v>2.75</v>
      </c>
      <c r="P112" s="130">
        <f t="shared" si="11"/>
        <v>5.7573537108761647E-2</v>
      </c>
    </row>
    <row r="113" spans="1:16">
      <c r="A113" s="144" t="s">
        <v>134</v>
      </c>
      <c r="B113" s="141"/>
      <c r="C113" s="134"/>
      <c r="D113" s="142"/>
      <c r="E113" s="143"/>
      <c r="F113" s="143"/>
      <c r="G113" s="136"/>
      <c r="H113" s="136"/>
      <c r="I113" s="136"/>
      <c r="J113" s="143">
        <v>0</v>
      </c>
      <c r="K113" s="140">
        <v>0</v>
      </c>
      <c r="L113" s="126">
        <v>0</v>
      </c>
      <c r="M113" s="126">
        <v>0</v>
      </c>
      <c r="N113" s="137">
        <f t="shared" si="9"/>
        <v>0</v>
      </c>
      <c r="O113" s="138">
        <f t="shared" si="10"/>
        <v>0</v>
      </c>
      <c r="P113" s="130">
        <f t="shared" si="11"/>
        <v>0</v>
      </c>
    </row>
    <row r="114" spans="1:16">
      <c r="A114" s="144" t="s">
        <v>135</v>
      </c>
      <c r="B114" s="141"/>
      <c r="C114" s="134"/>
      <c r="D114" s="142"/>
      <c r="E114" s="143"/>
      <c r="F114" s="143"/>
      <c r="G114" s="136"/>
      <c r="H114" s="136"/>
      <c r="I114" s="136"/>
      <c r="J114" s="143">
        <v>3</v>
      </c>
      <c r="K114" s="126">
        <v>2</v>
      </c>
      <c r="L114" s="126">
        <v>2</v>
      </c>
      <c r="M114" s="126">
        <v>0</v>
      </c>
      <c r="N114" s="137">
        <f t="shared" si="9"/>
        <v>7</v>
      </c>
      <c r="O114" s="138">
        <f t="shared" si="10"/>
        <v>1.75</v>
      </c>
      <c r="P114" s="130">
        <f t="shared" si="11"/>
        <v>3.6637705432848319E-2</v>
      </c>
    </row>
    <row r="115" spans="1:16">
      <c r="A115" s="139" t="s">
        <v>136</v>
      </c>
      <c r="B115" s="141"/>
      <c r="C115" s="134"/>
      <c r="D115" s="142"/>
      <c r="E115" s="143"/>
      <c r="F115" s="143"/>
      <c r="G115" s="136"/>
      <c r="H115" s="136"/>
      <c r="I115" s="136"/>
      <c r="J115" s="143">
        <v>0</v>
      </c>
      <c r="K115" s="126">
        <v>1</v>
      </c>
      <c r="L115" s="126">
        <v>0</v>
      </c>
      <c r="M115" s="126">
        <v>0</v>
      </c>
      <c r="N115" s="137">
        <f t="shared" si="9"/>
        <v>1</v>
      </c>
      <c r="O115" s="138">
        <f t="shared" si="10"/>
        <v>0.25</v>
      </c>
      <c r="P115" s="130">
        <f t="shared" si="11"/>
        <v>5.2339579189783318E-3</v>
      </c>
    </row>
    <row r="116" spans="1:16">
      <c r="A116" s="144" t="s">
        <v>137</v>
      </c>
      <c r="B116" s="141"/>
      <c r="C116" s="134"/>
      <c r="D116" s="142"/>
      <c r="E116" s="143"/>
      <c r="F116" s="143"/>
      <c r="G116" s="136"/>
      <c r="H116" s="136"/>
      <c r="I116" s="136"/>
      <c r="J116" s="143">
        <v>0</v>
      </c>
      <c r="K116" s="140">
        <v>0</v>
      </c>
      <c r="L116" s="126">
        <v>1</v>
      </c>
      <c r="M116" s="126">
        <v>0</v>
      </c>
      <c r="N116" s="137">
        <f t="shared" si="9"/>
        <v>1</v>
      </c>
      <c r="O116" s="138">
        <f t="shared" si="10"/>
        <v>0.25</v>
      </c>
      <c r="P116" s="130">
        <f t="shared" si="11"/>
        <v>5.2339579189783318E-3</v>
      </c>
    </row>
    <row r="117" spans="1:16">
      <c r="A117" s="144" t="s">
        <v>138</v>
      </c>
      <c r="B117" s="141"/>
      <c r="C117" s="134"/>
      <c r="D117" s="142"/>
      <c r="E117" s="143"/>
      <c r="F117" s="143"/>
      <c r="G117" s="136"/>
      <c r="H117" s="136"/>
      <c r="I117" s="136"/>
      <c r="J117" s="143">
        <v>74</v>
      </c>
      <c r="K117" s="126">
        <v>112</v>
      </c>
      <c r="L117" s="126">
        <v>144</v>
      </c>
      <c r="M117" s="126">
        <v>151</v>
      </c>
      <c r="N117" s="137">
        <f t="shared" si="9"/>
        <v>481</v>
      </c>
      <c r="O117" s="138">
        <f t="shared" si="10"/>
        <v>120.25</v>
      </c>
      <c r="P117" s="130">
        <f t="shared" si="11"/>
        <v>2.5175337590285776</v>
      </c>
    </row>
    <row r="118" spans="1:16">
      <c r="A118" s="144" t="s">
        <v>139</v>
      </c>
      <c r="B118" s="141"/>
      <c r="C118" s="134"/>
      <c r="D118" s="142"/>
      <c r="E118" s="143"/>
      <c r="F118" s="143"/>
      <c r="G118" s="136"/>
      <c r="H118" s="136"/>
      <c r="I118" s="136"/>
      <c r="J118" s="143">
        <v>4</v>
      </c>
      <c r="K118" s="126">
        <v>1</v>
      </c>
      <c r="L118" s="126">
        <v>1</v>
      </c>
      <c r="M118" s="126">
        <v>0</v>
      </c>
      <c r="N118" s="137">
        <f t="shared" si="9"/>
        <v>6</v>
      </c>
      <c r="O118" s="138">
        <f t="shared" si="10"/>
        <v>1.5</v>
      </c>
      <c r="P118" s="130">
        <f t="shared" si="11"/>
        <v>3.1403747513869991E-2</v>
      </c>
    </row>
    <row r="119" spans="1:16">
      <c r="A119" s="144" t="s">
        <v>140</v>
      </c>
      <c r="B119" s="141"/>
      <c r="C119" s="134"/>
      <c r="D119" s="142"/>
      <c r="E119" s="143"/>
      <c r="F119" s="143"/>
      <c r="G119" s="136"/>
      <c r="H119" s="136"/>
      <c r="I119" s="136"/>
      <c r="J119" s="143">
        <v>211</v>
      </c>
      <c r="K119" s="126">
        <v>277</v>
      </c>
      <c r="L119" s="126">
        <v>245</v>
      </c>
      <c r="M119" s="126">
        <v>183</v>
      </c>
      <c r="N119" s="137">
        <f t="shared" si="9"/>
        <v>916</v>
      </c>
      <c r="O119" s="138">
        <f t="shared" si="10"/>
        <v>229</v>
      </c>
      <c r="P119" s="130">
        <f t="shared" si="11"/>
        <v>4.7943054537841512</v>
      </c>
    </row>
    <row r="120" spans="1:16">
      <c r="A120" s="139" t="s">
        <v>141</v>
      </c>
      <c r="B120" s="141"/>
      <c r="C120" s="134"/>
      <c r="D120" s="142"/>
      <c r="E120" s="143"/>
      <c r="F120" s="143"/>
      <c r="G120" s="136"/>
      <c r="H120" s="136"/>
      <c r="I120" s="136"/>
      <c r="J120" s="143">
        <v>7</v>
      </c>
      <c r="K120" s="126">
        <v>14</v>
      </c>
      <c r="L120" s="126">
        <v>13</v>
      </c>
      <c r="M120" s="126">
        <v>11</v>
      </c>
      <c r="N120" s="137">
        <f t="shared" si="9"/>
        <v>45</v>
      </c>
      <c r="O120" s="138">
        <f t="shared" si="10"/>
        <v>11.25</v>
      </c>
      <c r="P120" s="130">
        <f t="shared" si="11"/>
        <v>0.23552810635402494</v>
      </c>
    </row>
    <row r="121" spans="1:16">
      <c r="A121" s="144" t="s">
        <v>142</v>
      </c>
      <c r="B121" s="141"/>
      <c r="C121" s="134"/>
      <c r="D121" s="142"/>
      <c r="E121" s="143"/>
      <c r="F121" s="143"/>
      <c r="G121" s="136"/>
      <c r="H121" s="136"/>
      <c r="I121" s="136"/>
      <c r="J121" s="143">
        <v>0</v>
      </c>
      <c r="K121" s="126">
        <v>3</v>
      </c>
      <c r="L121" s="126">
        <v>0</v>
      </c>
      <c r="M121" s="126">
        <v>0</v>
      </c>
      <c r="N121" s="137">
        <f t="shared" si="9"/>
        <v>3</v>
      </c>
      <c r="O121" s="138">
        <f t="shared" si="10"/>
        <v>0.75</v>
      </c>
      <c r="P121" s="130">
        <f t="shared" si="11"/>
        <v>1.5701873756934995E-2</v>
      </c>
    </row>
    <row r="122" spans="1:16">
      <c r="A122" s="144" t="s">
        <v>143</v>
      </c>
      <c r="B122" s="141"/>
      <c r="C122" s="134"/>
      <c r="D122" s="142"/>
      <c r="E122" s="143"/>
      <c r="F122" s="143"/>
      <c r="G122" s="136"/>
      <c r="H122" s="136"/>
      <c r="I122" s="136"/>
      <c r="J122" s="143">
        <v>0</v>
      </c>
      <c r="K122" s="140">
        <v>0</v>
      </c>
      <c r="L122" s="126">
        <v>0</v>
      </c>
      <c r="M122" s="126">
        <v>0</v>
      </c>
      <c r="N122" s="137">
        <f t="shared" si="9"/>
        <v>0</v>
      </c>
      <c r="O122" s="138">
        <f t="shared" si="10"/>
        <v>0</v>
      </c>
      <c r="P122" s="130">
        <f t="shared" si="11"/>
        <v>0</v>
      </c>
    </row>
    <row r="123" spans="1:16">
      <c r="A123" s="144" t="s">
        <v>144</v>
      </c>
      <c r="B123" s="141"/>
      <c r="C123" s="134"/>
      <c r="D123" s="142"/>
      <c r="E123" s="143"/>
      <c r="F123" s="143"/>
      <c r="G123" s="136"/>
      <c r="H123" s="136"/>
      <c r="I123" s="136"/>
      <c r="J123" s="143">
        <v>7</v>
      </c>
      <c r="K123" s="126">
        <v>1</v>
      </c>
      <c r="L123" s="126">
        <v>1</v>
      </c>
      <c r="M123" s="126">
        <v>1</v>
      </c>
      <c r="N123" s="137">
        <f t="shared" si="9"/>
        <v>10</v>
      </c>
      <c r="O123" s="138">
        <f t="shared" si="10"/>
        <v>2.5</v>
      </c>
      <c r="P123" s="130">
        <f t="shared" si="11"/>
        <v>5.2339579189783318E-2</v>
      </c>
    </row>
    <row r="124" spans="1:16">
      <c r="A124" s="144" t="s">
        <v>145</v>
      </c>
      <c r="B124" s="141"/>
      <c r="C124" s="134"/>
      <c r="D124" s="142"/>
      <c r="E124" s="143"/>
      <c r="F124" s="143"/>
      <c r="G124" s="136"/>
      <c r="H124" s="136"/>
      <c r="I124" s="136"/>
      <c r="J124" s="143">
        <v>123</v>
      </c>
      <c r="K124" s="126">
        <v>175</v>
      </c>
      <c r="L124" s="126">
        <v>88</v>
      </c>
      <c r="M124" s="126">
        <v>61</v>
      </c>
      <c r="N124" s="137">
        <f t="shared" si="9"/>
        <v>447</v>
      </c>
      <c r="O124" s="138">
        <f t="shared" si="10"/>
        <v>111.75</v>
      </c>
      <c r="P124" s="130">
        <f t="shared" si="11"/>
        <v>2.339579189783314</v>
      </c>
    </row>
    <row r="125" spans="1:16">
      <c r="A125" s="144" t="s">
        <v>146</v>
      </c>
      <c r="B125" s="141"/>
      <c r="C125" s="134"/>
      <c r="D125" s="142"/>
      <c r="E125" s="143"/>
      <c r="F125" s="143"/>
      <c r="G125" s="136"/>
      <c r="H125" s="136"/>
      <c r="I125" s="136"/>
      <c r="J125" s="143">
        <v>7</v>
      </c>
      <c r="K125" s="126">
        <v>4</v>
      </c>
      <c r="L125" s="126">
        <v>1</v>
      </c>
      <c r="M125" s="126">
        <v>2</v>
      </c>
      <c r="N125" s="137">
        <f t="shared" si="9"/>
        <v>14</v>
      </c>
      <c r="O125" s="138">
        <f t="shared" si="10"/>
        <v>3.5</v>
      </c>
      <c r="P125" s="130">
        <f t="shared" si="11"/>
        <v>7.3275410865696639E-2</v>
      </c>
    </row>
    <row r="126" spans="1:16">
      <c r="A126" s="144" t="s">
        <v>147</v>
      </c>
      <c r="B126" s="141"/>
      <c r="C126" s="134"/>
      <c r="D126" s="142"/>
      <c r="E126" s="143"/>
      <c r="F126" s="143"/>
      <c r="G126" s="136"/>
      <c r="H126" s="136"/>
      <c r="I126" s="136"/>
      <c r="J126" s="143">
        <v>0</v>
      </c>
      <c r="K126" s="126">
        <v>1</v>
      </c>
      <c r="L126" s="126">
        <v>0</v>
      </c>
      <c r="M126" s="126">
        <v>0</v>
      </c>
      <c r="N126" s="137">
        <f t="shared" si="9"/>
        <v>1</v>
      </c>
      <c r="O126" s="138">
        <f t="shared" si="10"/>
        <v>0.25</v>
      </c>
      <c r="P126" s="130">
        <f t="shared" si="11"/>
        <v>5.2339579189783318E-3</v>
      </c>
    </row>
    <row r="127" spans="1:16" s="80" customFormat="1">
      <c r="A127" s="139" t="s">
        <v>148</v>
      </c>
      <c r="B127" s="141"/>
      <c r="C127" s="134"/>
      <c r="D127" s="142"/>
      <c r="E127" s="143"/>
      <c r="F127" s="143"/>
      <c r="G127" s="136"/>
      <c r="H127" s="136"/>
      <c r="I127" s="136"/>
      <c r="J127" s="143">
        <v>77</v>
      </c>
      <c r="K127" s="126">
        <v>96</v>
      </c>
      <c r="L127" s="126">
        <v>72</v>
      </c>
      <c r="M127" s="126">
        <v>85</v>
      </c>
      <c r="N127" s="137">
        <f t="shared" si="9"/>
        <v>330</v>
      </c>
      <c r="O127" s="138">
        <f t="shared" si="10"/>
        <v>82.5</v>
      </c>
      <c r="P127" s="130">
        <f t="shared" si="11"/>
        <v>1.7272061132628493</v>
      </c>
    </row>
    <row r="128" spans="1:16" s="80" customFormat="1">
      <c r="A128" s="139" t="s">
        <v>149</v>
      </c>
      <c r="B128" s="141"/>
      <c r="C128" s="134"/>
      <c r="D128" s="142"/>
      <c r="E128" s="143"/>
      <c r="F128" s="143"/>
      <c r="G128" s="136"/>
      <c r="H128" s="136"/>
      <c r="I128" s="136"/>
      <c r="J128" s="143">
        <v>0</v>
      </c>
      <c r="K128" s="140">
        <v>0</v>
      </c>
      <c r="L128" s="126">
        <v>0</v>
      </c>
      <c r="M128" s="126">
        <v>0</v>
      </c>
      <c r="N128" s="137">
        <f t="shared" si="9"/>
        <v>0</v>
      </c>
      <c r="O128" s="138">
        <f t="shared" si="10"/>
        <v>0</v>
      </c>
      <c r="P128" s="130">
        <f t="shared" si="11"/>
        <v>0</v>
      </c>
    </row>
    <row r="129" spans="1:16">
      <c r="A129" s="144" t="s">
        <v>150</v>
      </c>
      <c r="B129" s="141"/>
      <c r="C129" s="134"/>
      <c r="D129" s="142"/>
      <c r="E129" s="143"/>
      <c r="F129" s="143"/>
      <c r="G129" s="136"/>
      <c r="H129" s="136"/>
      <c r="I129" s="136"/>
      <c r="J129" s="143">
        <v>4</v>
      </c>
      <c r="K129" s="126">
        <v>2</v>
      </c>
      <c r="L129" s="126">
        <v>7</v>
      </c>
      <c r="M129" s="126">
        <v>4</v>
      </c>
      <c r="N129" s="137">
        <f t="shared" si="9"/>
        <v>17</v>
      </c>
      <c r="O129" s="138">
        <f t="shared" si="10"/>
        <v>4.25</v>
      </c>
      <c r="P129" s="130">
        <f t="shared" si="11"/>
        <v>8.8977284622631644E-2</v>
      </c>
    </row>
    <row r="130" spans="1:16">
      <c r="A130" s="144" t="s">
        <v>151</v>
      </c>
      <c r="B130" s="141"/>
      <c r="C130" s="134"/>
      <c r="D130" s="142"/>
      <c r="E130" s="143"/>
      <c r="F130" s="143"/>
      <c r="G130" s="136"/>
      <c r="H130" s="136"/>
      <c r="I130" s="136"/>
      <c r="J130" s="143">
        <v>8</v>
      </c>
      <c r="K130" s="126">
        <v>6</v>
      </c>
      <c r="L130" s="126">
        <v>14</v>
      </c>
      <c r="M130" s="126">
        <v>9</v>
      </c>
      <c r="N130" s="137">
        <f t="shared" si="9"/>
        <v>37</v>
      </c>
      <c r="O130" s="138">
        <f t="shared" si="10"/>
        <v>9.25</v>
      </c>
      <c r="P130" s="130">
        <f t="shared" si="11"/>
        <v>0.19365644300219825</v>
      </c>
    </row>
    <row r="131" spans="1:16">
      <c r="A131" s="144" t="s">
        <v>152</v>
      </c>
      <c r="B131" s="141"/>
      <c r="C131" s="134"/>
      <c r="D131" s="142"/>
      <c r="E131" s="143"/>
      <c r="F131" s="143"/>
      <c r="G131" s="136"/>
      <c r="H131" s="136"/>
      <c r="I131" s="136"/>
      <c r="J131" s="143">
        <v>0</v>
      </c>
      <c r="K131" s="140">
        <v>0</v>
      </c>
      <c r="L131" s="126">
        <v>1</v>
      </c>
      <c r="M131" s="126">
        <v>0</v>
      </c>
      <c r="N131" s="137">
        <f t="shared" si="9"/>
        <v>1</v>
      </c>
      <c r="O131" s="138">
        <f t="shared" si="10"/>
        <v>0.25</v>
      </c>
      <c r="P131" s="130">
        <f t="shared" si="11"/>
        <v>5.2339579189783318E-3</v>
      </c>
    </row>
    <row r="132" spans="1:16" s="131" customFormat="1">
      <c r="A132" s="139" t="s">
        <v>153</v>
      </c>
      <c r="B132" s="133"/>
      <c r="C132" s="134"/>
      <c r="D132" s="135"/>
      <c r="E132" s="136"/>
      <c r="F132" s="136"/>
      <c r="G132" s="136"/>
      <c r="H132" s="136"/>
      <c r="I132" s="136"/>
      <c r="J132" s="136">
        <v>5</v>
      </c>
      <c r="K132" s="126">
        <v>2</v>
      </c>
      <c r="L132" s="126">
        <v>6</v>
      </c>
      <c r="M132" s="126">
        <v>3</v>
      </c>
      <c r="N132" s="137">
        <f t="shared" si="9"/>
        <v>16</v>
      </c>
      <c r="O132" s="138">
        <f t="shared" si="10"/>
        <v>4</v>
      </c>
      <c r="P132" s="130">
        <f t="shared" si="11"/>
        <v>8.3743326703653309E-2</v>
      </c>
    </row>
    <row r="133" spans="1:16">
      <c r="A133" s="144" t="s">
        <v>154</v>
      </c>
      <c r="B133" s="141"/>
      <c r="C133" s="134"/>
      <c r="D133" s="142"/>
      <c r="E133" s="143"/>
      <c r="F133" s="143"/>
      <c r="G133" s="136"/>
      <c r="H133" s="136"/>
      <c r="I133" s="136"/>
      <c r="J133" s="143">
        <v>0</v>
      </c>
      <c r="K133" s="140">
        <v>0</v>
      </c>
      <c r="L133" s="126">
        <v>0</v>
      </c>
      <c r="M133" s="126">
        <v>1</v>
      </c>
      <c r="N133" s="137">
        <f t="shared" ref="N133:N164" si="12">SUM(B133:M133)</f>
        <v>1</v>
      </c>
      <c r="O133" s="138">
        <f t="shared" ref="O133:O164" si="13">AVERAGE(B133:M133)</f>
        <v>0.25</v>
      </c>
      <c r="P133" s="130">
        <f t="shared" ref="P133:P164" si="14">(N133/$N$187)*100</f>
        <v>5.2339579189783318E-3</v>
      </c>
    </row>
    <row r="134" spans="1:16">
      <c r="A134" s="144" t="s">
        <v>155</v>
      </c>
      <c r="B134" s="141"/>
      <c r="C134" s="134"/>
      <c r="D134" s="142"/>
      <c r="E134" s="143"/>
      <c r="F134" s="143"/>
      <c r="G134" s="136"/>
      <c r="H134" s="136"/>
      <c r="I134" s="136"/>
      <c r="J134" s="143">
        <v>0</v>
      </c>
      <c r="K134" s="140">
        <v>0</v>
      </c>
      <c r="L134" s="126">
        <v>0</v>
      </c>
      <c r="M134" s="126">
        <v>0</v>
      </c>
      <c r="N134" s="137">
        <f t="shared" si="12"/>
        <v>0</v>
      </c>
      <c r="O134" s="138">
        <f t="shared" si="13"/>
        <v>0</v>
      </c>
      <c r="P134" s="130">
        <f t="shared" si="14"/>
        <v>0</v>
      </c>
    </row>
    <row r="135" spans="1:16">
      <c r="A135" s="144" t="s">
        <v>156</v>
      </c>
      <c r="B135" s="141"/>
      <c r="C135" s="134"/>
      <c r="D135" s="142"/>
      <c r="E135" s="143"/>
      <c r="F135" s="143"/>
      <c r="G135" s="136"/>
      <c r="H135" s="136"/>
      <c r="I135" s="136"/>
      <c r="J135" s="143">
        <v>0</v>
      </c>
      <c r="K135" s="140">
        <v>0</v>
      </c>
      <c r="L135" s="126">
        <v>0</v>
      </c>
      <c r="M135" s="126">
        <v>0</v>
      </c>
      <c r="N135" s="137">
        <f t="shared" si="12"/>
        <v>0</v>
      </c>
      <c r="O135" s="138">
        <f t="shared" si="13"/>
        <v>0</v>
      </c>
      <c r="P135" s="130">
        <f t="shared" si="14"/>
        <v>0</v>
      </c>
    </row>
    <row r="136" spans="1:16">
      <c r="A136" s="144" t="s">
        <v>157</v>
      </c>
      <c r="B136" s="141"/>
      <c r="C136" s="134"/>
      <c r="D136" s="142"/>
      <c r="E136" s="143"/>
      <c r="F136" s="143"/>
      <c r="G136" s="136"/>
      <c r="H136" s="136"/>
      <c r="I136" s="136"/>
      <c r="J136" s="143">
        <v>42</v>
      </c>
      <c r="K136" s="126">
        <v>46</v>
      </c>
      <c r="L136" s="126">
        <v>11</v>
      </c>
      <c r="M136" s="126">
        <v>6</v>
      </c>
      <c r="N136" s="137">
        <f t="shared" si="12"/>
        <v>105</v>
      </c>
      <c r="O136" s="138">
        <f t="shared" si="13"/>
        <v>26.25</v>
      </c>
      <c r="P136" s="130">
        <f t="shared" si="14"/>
        <v>0.54956558149272483</v>
      </c>
    </row>
    <row r="137" spans="1:16">
      <c r="A137" s="144" t="s">
        <v>158</v>
      </c>
      <c r="B137" s="141"/>
      <c r="C137" s="134"/>
      <c r="D137" s="142"/>
      <c r="E137" s="143"/>
      <c r="F137" s="143"/>
      <c r="G137" s="136"/>
      <c r="H137" s="136"/>
      <c r="I137" s="136"/>
      <c r="J137" s="143">
        <v>160</v>
      </c>
      <c r="K137" s="126">
        <v>215</v>
      </c>
      <c r="L137" s="126">
        <v>193</v>
      </c>
      <c r="M137" s="126">
        <v>239</v>
      </c>
      <c r="N137" s="137">
        <f t="shared" si="12"/>
        <v>807</v>
      </c>
      <c r="O137" s="138">
        <f t="shared" si="13"/>
        <v>201.75</v>
      </c>
      <c r="P137" s="130">
        <f t="shared" si="14"/>
        <v>4.2238040406155131</v>
      </c>
    </row>
    <row r="138" spans="1:16">
      <c r="A138" s="144" t="s">
        <v>159</v>
      </c>
      <c r="B138" s="141"/>
      <c r="C138" s="134"/>
      <c r="D138" s="142"/>
      <c r="E138" s="143"/>
      <c r="F138" s="143"/>
      <c r="G138" s="136"/>
      <c r="H138" s="136"/>
      <c r="I138" s="136"/>
      <c r="J138" s="143">
        <v>20</v>
      </c>
      <c r="K138" s="126">
        <v>19</v>
      </c>
      <c r="L138" s="126">
        <v>11</v>
      </c>
      <c r="M138" s="126">
        <v>15</v>
      </c>
      <c r="N138" s="137">
        <f t="shared" si="12"/>
        <v>65</v>
      </c>
      <c r="O138" s="138">
        <f t="shared" si="13"/>
        <v>16.25</v>
      </c>
      <c r="P138" s="130">
        <f t="shared" si="14"/>
        <v>0.34020726473359153</v>
      </c>
    </row>
    <row r="139" spans="1:16">
      <c r="A139" s="144" t="s">
        <v>160</v>
      </c>
      <c r="B139" s="141"/>
      <c r="C139" s="134"/>
      <c r="D139" s="142"/>
      <c r="E139" s="143"/>
      <c r="F139" s="143"/>
      <c r="G139" s="136"/>
      <c r="H139" s="136"/>
      <c r="I139" s="136"/>
      <c r="J139" s="143">
        <v>61</v>
      </c>
      <c r="K139" s="126">
        <v>87</v>
      </c>
      <c r="L139" s="126">
        <v>79</v>
      </c>
      <c r="M139" s="126">
        <v>67</v>
      </c>
      <c r="N139" s="137">
        <f t="shared" si="12"/>
        <v>294</v>
      </c>
      <c r="O139" s="138">
        <f t="shared" si="13"/>
        <v>73.5</v>
      </c>
      <c r="P139" s="130">
        <f t="shared" si="14"/>
        <v>1.5387836281796294</v>
      </c>
    </row>
    <row r="140" spans="1:16">
      <c r="A140" s="139" t="s">
        <v>161</v>
      </c>
      <c r="B140" s="141"/>
      <c r="C140" s="134"/>
      <c r="D140" s="142"/>
      <c r="E140" s="143"/>
      <c r="F140" s="143"/>
      <c r="G140" s="136"/>
      <c r="H140" s="136"/>
      <c r="I140" s="136"/>
      <c r="J140" s="143">
        <v>12</v>
      </c>
      <c r="K140" s="126">
        <v>14</v>
      </c>
      <c r="L140" s="126">
        <v>25</v>
      </c>
      <c r="M140" s="126">
        <v>25</v>
      </c>
      <c r="N140" s="137">
        <f t="shared" si="12"/>
        <v>76</v>
      </c>
      <c r="O140" s="138">
        <f t="shared" si="13"/>
        <v>19</v>
      </c>
      <c r="P140" s="130">
        <f t="shared" si="14"/>
        <v>0.3977808018423532</v>
      </c>
    </row>
    <row r="141" spans="1:16">
      <c r="A141" s="144" t="s">
        <v>162</v>
      </c>
      <c r="B141" s="141"/>
      <c r="C141" s="134"/>
      <c r="D141" s="142"/>
      <c r="E141" s="143"/>
      <c r="F141" s="143"/>
      <c r="G141" s="136"/>
      <c r="H141" s="136"/>
      <c r="I141" s="136"/>
      <c r="J141" s="143">
        <v>6</v>
      </c>
      <c r="K141" s="126">
        <v>11</v>
      </c>
      <c r="L141" s="126">
        <v>11</v>
      </c>
      <c r="M141" s="126">
        <v>11</v>
      </c>
      <c r="N141" s="137">
        <f t="shared" si="12"/>
        <v>39</v>
      </c>
      <c r="O141" s="138">
        <f t="shared" si="13"/>
        <v>9.75</v>
      </c>
      <c r="P141" s="130">
        <f t="shared" si="14"/>
        <v>0.20412435884015492</v>
      </c>
    </row>
    <row r="142" spans="1:16">
      <c r="A142" s="144" t="s">
        <v>163</v>
      </c>
      <c r="B142" s="141"/>
      <c r="C142" s="134"/>
      <c r="D142" s="142"/>
      <c r="E142" s="143"/>
      <c r="F142" s="143"/>
      <c r="G142" s="136"/>
      <c r="H142" s="136"/>
      <c r="I142" s="136"/>
      <c r="J142" s="143">
        <v>18</v>
      </c>
      <c r="K142" s="126">
        <v>20</v>
      </c>
      <c r="L142" s="126">
        <v>22</v>
      </c>
      <c r="M142" s="126">
        <v>11</v>
      </c>
      <c r="N142" s="137">
        <f t="shared" si="12"/>
        <v>71</v>
      </c>
      <c r="O142" s="138">
        <f t="shared" si="13"/>
        <v>17.75</v>
      </c>
      <c r="P142" s="130">
        <f t="shared" si="14"/>
        <v>0.37161101224746151</v>
      </c>
    </row>
    <row r="143" spans="1:16">
      <c r="A143" s="144" t="s">
        <v>164</v>
      </c>
      <c r="B143" s="141"/>
      <c r="C143" s="134"/>
      <c r="D143" s="142"/>
      <c r="E143" s="143"/>
      <c r="F143" s="143"/>
      <c r="G143" s="136"/>
      <c r="H143" s="136"/>
      <c r="I143" s="136"/>
      <c r="J143" s="143">
        <v>1</v>
      </c>
      <c r="K143" s="126">
        <v>7</v>
      </c>
      <c r="L143" s="126">
        <v>1</v>
      </c>
      <c r="M143" s="126">
        <v>2</v>
      </c>
      <c r="N143" s="137">
        <f t="shared" si="12"/>
        <v>11</v>
      </c>
      <c r="O143" s="138">
        <f t="shared" si="13"/>
        <v>2.75</v>
      </c>
      <c r="P143" s="130">
        <f t="shared" si="14"/>
        <v>5.7573537108761647E-2</v>
      </c>
    </row>
    <row r="144" spans="1:16">
      <c r="A144" s="139" t="s">
        <v>165</v>
      </c>
      <c r="B144" s="141"/>
      <c r="C144" s="134"/>
      <c r="D144" s="142"/>
      <c r="E144" s="143"/>
      <c r="F144" s="143"/>
      <c r="G144" s="136"/>
      <c r="H144" s="136"/>
      <c r="I144" s="136"/>
      <c r="J144" s="143">
        <v>91</v>
      </c>
      <c r="K144" s="126">
        <v>86</v>
      </c>
      <c r="L144" s="126">
        <v>98</v>
      </c>
      <c r="M144" s="126">
        <v>138</v>
      </c>
      <c r="N144" s="137">
        <f t="shared" si="12"/>
        <v>413</v>
      </c>
      <c r="O144" s="138">
        <f t="shared" si="13"/>
        <v>103.25</v>
      </c>
      <c r="P144" s="130">
        <f t="shared" si="14"/>
        <v>2.1616246205380509</v>
      </c>
    </row>
    <row r="145" spans="1:16">
      <c r="A145" s="144" t="s">
        <v>166</v>
      </c>
      <c r="B145" s="141"/>
      <c r="C145" s="134"/>
      <c r="D145" s="142"/>
      <c r="E145" s="143"/>
      <c r="F145" s="143"/>
      <c r="G145" s="136"/>
      <c r="H145" s="136"/>
      <c r="I145" s="136"/>
      <c r="J145" s="143">
        <v>0</v>
      </c>
      <c r="K145" s="140">
        <v>0</v>
      </c>
      <c r="L145" s="126">
        <v>0</v>
      </c>
      <c r="M145" s="126">
        <v>1</v>
      </c>
      <c r="N145" s="137">
        <f t="shared" si="12"/>
        <v>1</v>
      </c>
      <c r="O145" s="138">
        <f t="shared" si="13"/>
        <v>0.25</v>
      </c>
      <c r="P145" s="130">
        <f t="shared" si="14"/>
        <v>5.2339579189783318E-3</v>
      </c>
    </row>
    <row r="146" spans="1:16">
      <c r="A146" s="144" t="s">
        <v>167</v>
      </c>
      <c r="B146" s="141"/>
      <c r="C146" s="134"/>
      <c r="D146" s="142"/>
      <c r="E146" s="143"/>
      <c r="F146" s="143"/>
      <c r="G146" s="136"/>
      <c r="H146" s="136"/>
      <c r="I146" s="136"/>
      <c r="J146" s="143">
        <v>0</v>
      </c>
      <c r="K146" s="140">
        <v>0</v>
      </c>
      <c r="L146" s="126">
        <v>0</v>
      </c>
      <c r="M146" s="126">
        <v>0</v>
      </c>
      <c r="N146" s="137">
        <f t="shared" si="12"/>
        <v>0</v>
      </c>
      <c r="O146" s="138">
        <f t="shared" si="13"/>
        <v>0</v>
      </c>
      <c r="P146" s="130">
        <f t="shared" si="14"/>
        <v>0</v>
      </c>
    </row>
    <row r="147" spans="1:16">
      <c r="A147" s="139" t="s">
        <v>168</v>
      </c>
      <c r="B147" s="141"/>
      <c r="C147" s="134"/>
      <c r="D147" s="142"/>
      <c r="E147" s="143"/>
      <c r="F147" s="143"/>
      <c r="G147" s="136"/>
      <c r="H147" s="136"/>
      <c r="I147" s="136"/>
      <c r="J147" s="143">
        <v>4</v>
      </c>
      <c r="K147" s="126">
        <v>1</v>
      </c>
      <c r="L147" s="126">
        <v>0</v>
      </c>
      <c r="M147" s="126">
        <v>0</v>
      </c>
      <c r="N147" s="137">
        <f t="shared" si="12"/>
        <v>5</v>
      </c>
      <c r="O147" s="138">
        <f t="shared" si="13"/>
        <v>1.25</v>
      </c>
      <c r="P147" s="130">
        <f t="shared" si="14"/>
        <v>2.6169789594891659E-2</v>
      </c>
    </row>
    <row r="148" spans="1:16">
      <c r="A148" s="139" t="s">
        <v>169</v>
      </c>
      <c r="B148" s="141"/>
      <c r="C148" s="134"/>
      <c r="D148" s="142"/>
      <c r="E148" s="143"/>
      <c r="F148" s="143"/>
      <c r="G148" s="136"/>
      <c r="H148" s="136"/>
      <c r="I148" s="136"/>
      <c r="J148" s="143">
        <v>2</v>
      </c>
      <c r="K148" s="126">
        <v>2</v>
      </c>
      <c r="L148" s="126">
        <v>0</v>
      </c>
      <c r="M148" s="126">
        <v>0</v>
      </c>
      <c r="N148" s="137">
        <f t="shared" si="12"/>
        <v>4</v>
      </c>
      <c r="O148" s="138">
        <f t="shared" si="13"/>
        <v>1</v>
      </c>
      <c r="P148" s="130">
        <f t="shared" si="14"/>
        <v>2.0935831675913327E-2</v>
      </c>
    </row>
    <row r="149" spans="1:16">
      <c r="A149" s="139" t="s">
        <v>170</v>
      </c>
      <c r="B149" s="141"/>
      <c r="C149" s="134"/>
      <c r="D149" s="142"/>
      <c r="E149" s="143"/>
      <c r="F149" s="143"/>
      <c r="G149" s="136"/>
      <c r="H149" s="136"/>
      <c r="I149" s="136"/>
      <c r="J149" s="143">
        <v>0</v>
      </c>
      <c r="K149" s="140">
        <v>0</v>
      </c>
      <c r="L149" s="126">
        <v>0</v>
      </c>
      <c r="M149" s="126">
        <v>0</v>
      </c>
      <c r="N149" s="137">
        <f t="shared" si="12"/>
        <v>0</v>
      </c>
      <c r="O149" s="138">
        <f t="shared" si="13"/>
        <v>0</v>
      </c>
      <c r="P149" s="130">
        <f t="shared" si="14"/>
        <v>0</v>
      </c>
    </row>
    <row r="150" spans="1:16" ht="14.25" customHeight="1">
      <c r="A150" s="144" t="s">
        <v>171</v>
      </c>
      <c r="B150" s="141"/>
      <c r="C150" s="134"/>
      <c r="D150" s="142"/>
      <c r="E150" s="143"/>
      <c r="F150" s="143"/>
      <c r="G150" s="136"/>
      <c r="H150" s="136"/>
      <c r="I150" s="136"/>
      <c r="J150" s="143">
        <v>0</v>
      </c>
      <c r="K150" s="126">
        <v>2</v>
      </c>
      <c r="L150" s="126">
        <v>3</v>
      </c>
      <c r="M150" s="126">
        <v>3</v>
      </c>
      <c r="N150" s="137">
        <f t="shared" si="12"/>
        <v>8</v>
      </c>
      <c r="O150" s="138">
        <f t="shared" si="13"/>
        <v>2</v>
      </c>
      <c r="P150" s="130">
        <f t="shared" si="14"/>
        <v>4.1871663351826655E-2</v>
      </c>
    </row>
    <row r="151" spans="1:16">
      <c r="A151" s="144" t="s">
        <v>172</v>
      </c>
      <c r="B151" s="141"/>
      <c r="C151" s="134"/>
      <c r="D151" s="142"/>
      <c r="E151" s="143"/>
      <c r="F151" s="143"/>
      <c r="G151" s="136"/>
      <c r="H151" s="136"/>
      <c r="I151" s="136"/>
      <c r="J151" s="143">
        <v>0</v>
      </c>
      <c r="K151" s="140">
        <v>0</v>
      </c>
      <c r="L151" s="126">
        <v>0</v>
      </c>
      <c r="M151" s="126">
        <v>0</v>
      </c>
      <c r="N151" s="137">
        <f t="shared" si="12"/>
        <v>0</v>
      </c>
      <c r="O151" s="138">
        <f t="shared" si="13"/>
        <v>0</v>
      </c>
      <c r="P151" s="130">
        <f t="shared" si="14"/>
        <v>0</v>
      </c>
    </row>
    <row r="152" spans="1:16">
      <c r="A152" s="144" t="s">
        <v>173</v>
      </c>
      <c r="B152" s="141"/>
      <c r="C152" s="134"/>
      <c r="D152" s="142"/>
      <c r="E152" s="143"/>
      <c r="F152" s="143"/>
      <c r="G152" s="136"/>
      <c r="H152" s="136"/>
      <c r="I152" s="136"/>
      <c r="J152" s="143">
        <v>0</v>
      </c>
      <c r="K152" s="140">
        <v>0</v>
      </c>
      <c r="L152" s="126">
        <v>1</v>
      </c>
      <c r="M152" s="126">
        <v>0</v>
      </c>
      <c r="N152" s="137">
        <f t="shared" si="12"/>
        <v>1</v>
      </c>
      <c r="O152" s="138">
        <f t="shared" si="13"/>
        <v>0.25</v>
      </c>
      <c r="P152" s="130">
        <f t="shared" si="14"/>
        <v>5.2339579189783318E-3</v>
      </c>
    </row>
    <row r="153" spans="1:16">
      <c r="A153" s="144" t="s">
        <v>174</v>
      </c>
      <c r="B153" s="141"/>
      <c r="C153" s="134"/>
      <c r="D153" s="142"/>
      <c r="E153" s="143"/>
      <c r="F153" s="143"/>
      <c r="G153" s="136"/>
      <c r="H153" s="136"/>
      <c r="I153" s="136"/>
      <c r="J153" s="143">
        <v>3</v>
      </c>
      <c r="K153" s="126">
        <v>2</v>
      </c>
      <c r="L153" s="126">
        <v>6</v>
      </c>
      <c r="M153" s="126">
        <v>2</v>
      </c>
      <c r="N153" s="137">
        <f t="shared" si="12"/>
        <v>13</v>
      </c>
      <c r="O153" s="138">
        <f t="shared" si="13"/>
        <v>3.25</v>
      </c>
      <c r="P153" s="130">
        <f t="shared" si="14"/>
        <v>6.8041452946718303E-2</v>
      </c>
    </row>
    <row r="154" spans="1:16">
      <c r="A154" s="139" t="s">
        <v>175</v>
      </c>
      <c r="B154" s="141"/>
      <c r="C154" s="134"/>
      <c r="D154" s="142"/>
      <c r="E154" s="143"/>
      <c r="F154" s="143"/>
      <c r="G154" s="136"/>
      <c r="H154" s="136"/>
      <c r="I154" s="136"/>
      <c r="J154" s="143">
        <v>253</v>
      </c>
      <c r="K154" s="126">
        <v>347</v>
      </c>
      <c r="L154" s="126">
        <v>325</v>
      </c>
      <c r="M154" s="126">
        <v>337</v>
      </c>
      <c r="N154" s="137">
        <f t="shared" si="12"/>
        <v>1262</v>
      </c>
      <c r="O154" s="138">
        <f t="shared" si="13"/>
        <v>315.5</v>
      </c>
      <c r="P154" s="130">
        <f t="shared" si="14"/>
        <v>6.6052548937506543</v>
      </c>
    </row>
    <row r="155" spans="1:16">
      <c r="A155" s="144" t="s">
        <v>176</v>
      </c>
      <c r="B155" s="141"/>
      <c r="C155" s="134"/>
      <c r="D155" s="142"/>
      <c r="E155" s="143"/>
      <c r="F155" s="143"/>
      <c r="G155" s="136"/>
      <c r="H155" s="136"/>
      <c r="I155" s="136"/>
      <c r="J155" s="143">
        <v>0</v>
      </c>
      <c r="K155" s="140">
        <v>0</v>
      </c>
      <c r="L155" s="126">
        <v>0</v>
      </c>
      <c r="M155" s="126">
        <v>1</v>
      </c>
      <c r="N155" s="137">
        <f t="shared" si="12"/>
        <v>1</v>
      </c>
      <c r="O155" s="138">
        <f t="shared" si="13"/>
        <v>0.25</v>
      </c>
      <c r="P155" s="130">
        <f t="shared" si="14"/>
        <v>5.2339579189783318E-3</v>
      </c>
    </row>
    <row r="156" spans="1:16">
      <c r="A156" s="144" t="s">
        <v>177</v>
      </c>
      <c r="B156" s="141"/>
      <c r="C156" s="134"/>
      <c r="D156" s="142"/>
      <c r="E156" s="143"/>
      <c r="F156" s="143"/>
      <c r="G156" s="136"/>
      <c r="H156" s="136"/>
      <c r="I156" s="136"/>
      <c r="J156" s="143">
        <v>0</v>
      </c>
      <c r="K156" s="140">
        <v>0</v>
      </c>
      <c r="L156" s="126">
        <v>0</v>
      </c>
      <c r="M156" s="126">
        <v>0</v>
      </c>
      <c r="N156" s="137">
        <f t="shared" si="12"/>
        <v>0</v>
      </c>
      <c r="O156" s="138">
        <f t="shared" si="13"/>
        <v>0</v>
      </c>
      <c r="P156" s="130">
        <f t="shared" si="14"/>
        <v>0</v>
      </c>
    </row>
    <row r="157" spans="1:16">
      <c r="A157" s="139" t="s">
        <v>178</v>
      </c>
      <c r="B157" s="141"/>
      <c r="C157" s="134"/>
      <c r="D157" s="142"/>
      <c r="E157" s="143"/>
      <c r="F157" s="143"/>
      <c r="G157" s="136"/>
      <c r="H157" s="136"/>
      <c r="I157" s="136"/>
      <c r="J157" s="143">
        <v>2</v>
      </c>
      <c r="K157" s="126">
        <v>7</v>
      </c>
      <c r="L157" s="126">
        <v>6</v>
      </c>
      <c r="M157" s="126">
        <v>0</v>
      </c>
      <c r="N157" s="137">
        <f t="shared" si="12"/>
        <v>15</v>
      </c>
      <c r="O157" s="138">
        <f t="shared" si="13"/>
        <v>3.75</v>
      </c>
      <c r="P157" s="130">
        <f t="shared" si="14"/>
        <v>7.850936878467496E-2</v>
      </c>
    </row>
    <row r="158" spans="1:16">
      <c r="A158" s="144" t="s">
        <v>179</v>
      </c>
      <c r="B158" s="141"/>
      <c r="C158" s="134"/>
      <c r="D158" s="142"/>
      <c r="E158" s="143"/>
      <c r="F158" s="143"/>
      <c r="G158" s="136"/>
      <c r="H158" s="136"/>
      <c r="I158" s="136"/>
      <c r="J158" s="143">
        <v>2</v>
      </c>
      <c r="K158" s="126">
        <v>4</v>
      </c>
      <c r="L158" s="126">
        <v>1</v>
      </c>
      <c r="M158" s="126">
        <v>7</v>
      </c>
      <c r="N158" s="137">
        <f t="shared" si="12"/>
        <v>14</v>
      </c>
      <c r="O158" s="138">
        <f t="shared" si="13"/>
        <v>3.5</v>
      </c>
      <c r="P158" s="130">
        <f t="shared" si="14"/>
        <v>7.3275410865696639E-2</v>
      </c>
    </row>
    <row r="159" spans="1:16">
      <c r="A159" s="139" t="s">
        <v>180</v>
      </c>
      <c r="B159" s="141"/>
      <c r="C159" s="134"/>
      <c r="D159" s="142"/>
      <c r="E159" s="143"/>
      <c r="F159" s="143"/>
      <c r="G159" s="136"/>
      <c r="H159" s="136"/>
      <c r="I159" s="136"/>
      <c r="J159" s="143">
        <v>0</v>
      </c>
      <c r="K159" s="140">
        <v>0</v>
      </c>
      <c r="L159" s="126">
        <v>0</v>
      </c>
      <c r="M159" s="126">
        <v>0</v>
      </c>
      <c r="N159" s="137">
        <f t="shared" si="12"/>
        <v>0</v>
      </c>
      <c r="O159" s="138">
        <f t="shared" si="13"/>
        <v>0</v>
      </c>
      <c r="P159" s="130">
        <f t="shared" si="14"/>
        <v>0</v>
      </c>
    </row>
    <row r="160" spans="1:16">
      <c r="A160" s="144" t="s">
        <v>181</v>
      </c>
      <c r="B160" s="141"/>
      <c r="C160" s="134"/>
      <c r="D160" s="142"/>
      <c r="E160" s="143"/>
      <c r="F160" s="143"/>
      <c r="G160" s="136"/>
      <c r="H160" s="136"/>
      <c r="I160" s="136"/>
      <c r="J160" s="143">
        <v>2</v>
      </c>
      <c r="K160" s="126">
        <v>15</v>
      </c>
      <c r="L160" s="126">
        <v>6</v>
      </c>
      <c r="M160" s="126">
        <v>7</v>
      </c>
      <c r="N160" s="137">
        <f t="shared" si="12"/>
        <v>30</v>
      </c>
      <c r="O160" s="138">
        <f t="shared" si="13"/>
        <v>7.5</v>
      </c>
      <c r="P160" s="130">
        <f t="shared" si="14"/>
        <v>0.15701873756934992</v>
      </c>
    </row>
    <row r="161" spans="1:16">
      <c r="A161" s="144" t="s">
        <v>182</v>
      </c>
      <c r="B161" s="141"/>
      <c r="C161" s="134"/>
      <c r="D161" s="142"/>
      <c r="E161" s="143"/>
      <c r="F161" s="143"/>
      <c r="G161" s="136"/>
      <c r="H161" s="136"/>
      <c r="I161" s="136"/>
      <c r="J161" s="143">
        <v>0</v>
      </c>
      <c r="K161" s="126">
        <v>0</v>
      </c>
      <c r="L161" s="126">
        <v>0</v>
      </c>
      <c r="M161" s="126">
        <v>3</v>
      </c>
      <c r="N161" s="137">
        <f t="shared" si="12"/>
        <v>3</v>
      </c>
      <c r="O161" s="138">
        <f t="shared" si="13"/>
        <v>0.75</v>
      </c>
      <c r="P161" s="130">
        <f t="shared" si="14"/>
        <v>1.5701873756934995E-2</v>
      </c>
    </row>
    <row r="162" spans="1:16">
      <c r="A162" s="144" t="s">
        <v>183</v>
      </c>
      <c r="B162" s="141"/>
      <c r="C162" s="134"/>
      <c r="D162" s="142"/>
      <c r="E162" s="143"/>
      <c r="F162" s="143"/>
      <c r="G162" s="136"/>
      <c r="H162" s="136"/>
      <c r="I162" s="136"/>
      <c r="J162" s="143">
        <v>0</v>
      </c>
      <c r="K162" s="140">
        <v>0</v>
      </c>
      <c r="L162" s="126">
        <v>0</v>
      </c>
      <c r="M162" s="126">
        <v>0</v>
      </c>
      <c r="N162" s="137">
        <f t="shared" si="12"/>
        <v>0</v>
      </c>
      <c r="O162" s="138">
        <f t="shared" si="13"/>
        <v>0</v>
      </c>
      <c r="P162" s="130">
        <f t="shared" si="14"/>
        <v>0</v>
      </c>
    </row>
    <row r="163" spans="1:16">
      <c r="A163" s="144" t="s">
        <v>184</v>
      </c>
      <c r="B163" s="141"/>
      <c r="C163" s="134"/>
      <c r="D163" s="142"/>
      <c r="E163" s="143"/>
      <c r="F163" s="143"/>
      <c r="G163" s="136"/>
      <c r="H163" s="136"/>
      <c r="I163" s="136"/>
      <c r="J163" s="143">
        <v>19</v>
      </c>
      <c r="K163" s="126">
        <v>23</v>
      </c>
      <c r="L163" s="126">
        <v>22</v>
      </c>
      <c r="M163" s="126">
        <v>9</v>
      </c>
      <c r="N163" s="137">
        <f t="shared" si="12"/>
        <v>73</v>
      </c>
      <c r="O163" s="138">
        <f t="shared" si="13"/>
        <v>18.25</v>
      </c>
      <c r="P163" s="130">
        <f t="shared" si="14"/>
        <v>0.38207892808541821</v>
      </c>
    </row>
    <row r="164" spans="1:16">
      <c r="A164" s="144" t="s">
        <v>185</v>
      </c>
      <c r="B164" s="141"/>
      <c r="C164" s="134"/>
      <c r="D164" s="142"/>
      <c r="E164" s="143"/>
      <c r="F164" s="143"/>
      <c r="G164" s="136"/>
      <c r="H164" s="136"/>
      <c r="I164" s="136"/>
      <c r="J164" s="143">
        <v>6</v>
      </c>
      <c r="K164" s="126">
        <v>4</v>
      </c>
      <c r="L164" s="126">
        <v>8</v>
      </c>
      <c r="M164" s="126">
        <v>5</v>
      </c>
      <c r="N164" s="137">
        <f t="shared" si="12"/>
        <v>23</v>
      </c>
      <c r="O164" s="138">
        <f t="shared" si="13"/>
        <v>5.75</v>
      </c>
      <c r="P164" s="130">
        <f t="shared" si="14"/>
        <v>0.12038103213650163</v>
      </c>
    </row>
    <row r="165" spans="1:16">
      <c r="A165" s="139" t="s">
        <v>186</v>
      </c>
      <c r="B165" s="141"/>
      <c r="C165" s="134"/>
      <c r="D165" s="142"/>
      <c r="E165" s="143"/>
      <c r="F165" s="143"/>
      <c r="G165" s="136"/>
      <c r="H165" s="136"/>
      <c r="I165" s="136"/>
      <c r="J165" s="143">
        <v>3</v>
      </c>
      <c r="K165" s="126">
        <v>4</v>
      </c>
      <c r="L165" s="126">
        <v>0</v>
      </c>
      <c r="M165" s="126">
        <v>2</v>
      </c>
      <c r="N165" s="137">
        <f t="shared" ref="N165:N187" si="15">SUM(B165:M165)</f>
        <v>9</v>
      </c>
      <c r="O165" s="138">
        <f t="shared" ref="O165:O187" si="16">AVERAGE(B165:M165)</f>
        <v>2.25</v>
      </c>
      <c r="P165" s="130">
        <f t="shared" ref="P165:P187" si="17">(N165/$N$187)*100</f>
        <v>4.7105621270804983E-2</v>
      </c>
    </row>
    <row r="166" spans="1:16">
      <c r="A166" s="144" t="s">
        <v>187</v>
      </c>
      <c r="B166" s="141"/>
      <c r="C166" s="134"/>
      <c r="D166" s="142"/>
      <c r="E166" s="143"/>
      <c r="F166" s="143"/>
      <c r="G166" s="136"/>
      <c r="H166" s="136"/>
      <c r="I166" s="136"/>
      <c r="J166" s="143">
        <v>3</v>
      </c>
      <c r="K166" s="126">
        <v>1</v>
      </c>
      <c r="L166" s="126">
        <v>1</v>
      </c>
      <c r="M166" s="126">
        <v>1</v>
      </c>
      <c r="N166" s="137">
        <f t="shared" si="15"/>
        <v>6</v>
      </c>
      <c r="O166" s="138">
        <f t="shared" si="16"/>
        <v>1.5</v>
      </c>
      <c r="P166" s="130">
        <f t="shared" si="17"/>
        <v>3.1403747513869991E-2</v>
      </c>
    </row>
    <row r="167" spans="1:16">
      <c r="A167" s="144" t="s">
        <v>188</v>
      </c>
      <c r="B167" s="141"/>
      <c r="C167" s="134"/>
      <c r="D167" s="142"/>
      <c r="E167" s="143"/>
      <c r="F167" s="143"/>
      <c r="G167" s="136"/>
      <c r="H167" s="136"/>
      <c r="I167" s="136"/>
      <c r="J167" s="143">
        <v>0</v>
      </c>
      <c r="K167" s="140">
        <v>0</v>
      </c>
      <c r="L167" s="126">
        <v>0</v>
      </c>
      <c r="M167" s="126">
        <v>0</v>
      </c>
      <c r="N167" s="137">
        <f t="shared" si="15"/>
        <v>0</v>
      </c>
      <c r="O167" s="138">
        <f t="shared" si="16"/>
        <v>0</v>
      </c>
      <c r="P167" s="130">
        <f t="shared" si="17"/>
        <v>0</v>
      </c>
    </row>
    <row r="168" spans="1:16">
      <c r="A168" s="144" t="s">
        <v>189</v>
      </c>
      <c r="B168" s="141"/>
      <c r="C168" s="134"/>
      <c r="D168" s="142"/>
      <c r="E168" s="143"/>
      <c r="F168" s="143"/>
      <c r="G168" s="136"/>
      <c r="H168" s="136"/>
      <c r="I168" s="136"/>
      <c r="J168" s="143">
        <v>2</v>
      </c>
      <c r="K168" s="126">
        <v>2</v>
      </c>
      <c r="L168" s="126">
        <v>6</v>
      </c>
      <c r="M168" s="126">
        <v>3</v>
      </c>
      <c r="N168" s="137">
        <f t="shared" si="15"/>
        <v>13</v>
      </c>
      <c r="O168" s="138">
        <f t="shared" si="16"/>
        <v>3.25</v>
      </c>
      <c r="P168" s="130">
        <f t="shared" si="17"/>
        <v>6.8041452946718303E-2</v>
      </c>
    </row>
    <row r="169" spans="1:16">
      <c r="A169" s="144" t="s">
        <v>190</v>
      </c>
      <c r="B169" s="141"/>
      <c r="C169" s="134"/>
      <c r="D169" s="142"/>
      <c r="E169" s="143"/>
      <c r="F169" s="143"/>
      <c r="G169" s="136"/>
      <c r="H169" s="136"/>
      <c r="I169" s="136"/>
      <c r="J169" s="143">
        <v>5</v>
      </c>
      <c r="K169" s="126">
        <v>16</v>
      </c>
      <c r="L169" s="126">
        <v>18</v>
      </c>
      <c r="M169" s="126">
        <v>6</v>
      </c>
      <c r="N169" s="137">
        <f t="shared" si="15"/>
        <v>45</v>
      </c>
      <c r="O169" s="138">
        <f t="shared" si="16"/>
        <v>11.25</v>
      </c>
      <c r="P169" s="130">
        <f t="shared" si="17"/>
        <v>0.23552810635402494</v>
      </c>
    </row>
    <row r="170" spans="1:16">
      <c r="A170" s="144" t="s">
        <v>191</v>
      </c>
      <c r="B170" s="141"/>
      <c r="C170" s="134"/>
      <c r="D170" s="142"/>
      <c r="E170" s="143"/>
      <c r="F170" s="143"/>
      <c r="G170" s="136"/>
      <c r="H170" s="136"/>
      <c r="I170" s="136"/>
      <c r="J170" s="143">
        <v>0</v>
      </c>
      <c r="K170" s="140">
        <v>0</v>
      </c>
      <c r="L170" s="126">
        <v>1</v>
      </c>
      <c r="M170" s="126">
        <v>0</v>
      </c>
      <c r="N170" s="137">
        <f t="shared" si="15"/>
        <v>1</v>
      </c>
      <c r="O170" s="138">
        <f t="shared" si="16"/>
        <v>0.25</v>
      </c>
      <c r="P170" s="130">
        <f t="shared" si="17"/>
        <v>5.2339579189783318E-3</v>
      </c>
    </row>
    <row r="171" spans="1:16">
      <c r="A171" s="144" t="s">
        <v>192</v>
      </c>
      <c r="B171" s="141"/>
      <c r="C171" s="134"/>
      <c r="D171" s="142"/>
      <c r="E171" s="143"/>
      <c r="F171" s="143"/>
      <c r="G171" s="136"/>
      <c r="H171" s="136"/>
      <c r="I171" s="136"/>
      <c r="J171" s="143">
        <v>128</v>
      </c>
      <c r="K171" s="126">
        <v>164</v>
      </c>
      <c r="L171" s="126">
        <v>149</v>
      </c>
      <c r="M171" s="126">
        <v>129</v>
      </c>
      <c r="N171" s="137">
        <f t="shared" si="15"/>
        <v>570</v>
      </c>
      <c r="O171" s="138">
        <f t="shared" si="16"/>
        <v>142.5</v>
      </c>
      <c r="P171" s="130">
        <f t="shared" si="17"/>
        <v>2.9833560138176489</v>
      </c>
    </row>
    <row r="172" spans="1:16">
      <c r="A172" s="144" t="s">
        <v>193</v>
      </c>
      <c r="B172" s="141"/>
      <c r="C172" s="134"/>
      <c r="D172" s="142"/>
      <c r="E172" s="143"/>
      <c r="F172" s="143"/>
      <c r="G172" s="136"/>
      <c r="H172" s="136"/>
      <c r="I172" s="136"/>
      <c r="J172" s="143">
        <v>0</v>
      </c>
      <c r="K172" s="140">
        <v>0</v>
      </c>
      <c r="L172" s="126">
        <v>2</v>
      </c>
      <c r="M172" s="126">
        <v>1</v>
      </c>
      <c r="N172" s="137">
        <f t="shared" si="15"/>
        <v>3</v>
      </c>
      <c r="O172" s="138">
        <f t="shared" si="16"/>
        <v>0.75</v>
      </c>
      <c r="P172" s="130">
        <f t="shared" si="17"/>
        <v>1.5701873756934995E-2</v>
      </c>
    </row>
    <row r="173" spans="1:16">
      <c r="A173" s="144" t="s">
        <v>194</v>
      </c>
      <c r="B173" s="141"/>
      <c r="C173" s="134"/>
      <c r="D173" s="142"/>
      <c r="E173" s="143"/>
      <c r="F173" s="143"/>
      <c r="G173" s="136"/>
      <c r="H173" s="136"/>
      <c r="I173" s="136"/>
      <c r="J173" s="143">
        <v>16</v>
      </c>
      <c r="K173" s="140">
        <v>17</v>
      </c>
      <c r="L173" s="126">
        <v>38</v>
      </c>
      <c r="M173" s="126">
        <v>28</v>
      </c>
      <c r="N173" s="137">
        <f t="shared" si="15"/>
        <v>99</v>
      </c>
      <c r="O173" s="138">
        <f t="shared" si="16"/>
        <v>24.75</v>
      </c>
      <c r="P173" s="130">
        <f t="shared" si="17"/>
        <v>0.51816183397885474</v>
      </c>
    </row>
    <row r="174" spans="1:16">
      <c r="A174" s="144" t="s">
        <v>195</v>
      </c>
      <c r="B174" s="141"/>
      <c r="C174" s="134"/>
      <c r="D174" s="142"/>
      <c r="E174" s="143"/>
      <c r="F174" s="143"/>
      <c r="G174" s="136"/>
      <c r="H174" s="136"/>
      <c r="I174" s="136"/>
      <c r="J174" s="143">
        <v>2</v>
      </c>
      <c r="K174" s="126">
        <v>2</v>
      </c>
      <c r="L174" s="126">
        <v>3</v>
      </c>
      <c r="M174" s="126">
        <v>10</v>
      </c>
      <c r="N174" s="137">
        <f t="shared" si="15"/>
        <v>17</v>
      </c>
      <c r="O174" s="138">
        <f t="shared" si="16"/>
        <v>4.25</v>
      </c>
      <c r="P174" s="130">
        <f t="shared" si="17"/>
        <v>8.8977284622631644E-2</v>
      </c>
    </row>
    <row r="175" spans="1:16">
      <c r="A175" s="139" t="s">
        <v>196</v>
      </c>
      <c r="B175" s="141"/>
      <c r="C175" s="134"/>
      <c r="D175" s="142"/>
      <c r="E175" s="143"/>
      <c r="F175" s="143"/>
      <c r="G175" s="136"/>
      <c r="H175" s="136"/>
      <c r="I175" s="136"/>
      <c r="J175" s="143">
        <v>14</v>
      </c>
      <c r="K175" s="126">
        <v>10</v>
      </c>
      <c r="L175" s="126">
        <v>18</v>
      </c>
      <c r="M175" s="126">
        <v>10</v>
      </c>
      <c r="N175" s="137">
        <f t="shared" si="15"/>
        <v>52</v>
      </c>
      <c r="O175" s="138">
        <f t="shared" si="16"/>
        <v>13</v>
      </c>
      <c r="P175" s="130">
        <f t="shared" si="17"/>
        <v>0.27216581178687321</v>
      </c>
    </row>
    <row r="176" spans="1:16">
      <c r="A176" s="139" t="s">
        <v>197</v>
      </c>
      <c r="B176" s="141"/>
      <c r="C176" s="134"/>
      <c r="D176" s="142"/>
      <c r="E176" s="143"/>
      <c r="F176" s="143"/>
      <c r="G176" s="136"/>
      <c r="H176" s="136"/>
      <c r="I176" s="136"/>
      <c r="J176" s="143">
        <v>0</v>
      </c>
      <c r="K176" s="140">
        <v>0</v>
      </c>
      <c r="L176" s="126">
        <v>0</v>
      </c>
      <c r="M176" s="126">
        <v>0</v>
      </c>
      <c r="N176" s="137">
        <f t="shared" si="15"/>
        <v>0</v>
      </c>
      <c r="O176" s="138">
        <f t="shared" si="16"/>
        <v>0</v>
      </c>
      <c r="P176" s="130">
        <f t="shared" si="17"/>
        <v>0</v>
      </c>
    </row>
    <row r="177" spans="1:16">
      <c r="A177" s="144" t="s">
        <v>198</v>
      </c>
      <c r="B177" s="141"/>
      <c r="C177" s="134"/>
      <c r="D177" s="142"/>
      <c r="E177" s="143"/>
      <c r="F177" s="143"/>
      <c r="G177" s="136"/>
      <c r="H177" s="136"/>
      <c r="I177" s="136"/>
      <c r="J177" s="143">
        <v>59</v>
      </c>
      <c r="K177" s="126">
        <v>58</v>
      </c>
      <c r="L177" s="126">
        <v>37</v>
      </c>
      <c r="M177" s="126">
        <v>43</v>
      </c>
      <c r="N177" s="137">
        <f t="shared" si="15"/>
        <v>197</v>
      </c>
      <c r="O177" s="138">
        <f t="shared" si="16"/>
        <v>49.25</v>
      </c>
      <c r="P177" s="130">
        <f t="shared" si="17"/>
        <v>1.0310897100387313</v>
      </c>
    </row>
    <row r="178" spans="1:16">
      <c r="A178" s="144" t="s">
        <v>199</v>
      </c>
      <c r="B178" s="141"/>
      <c r="C178" s="134"/>
      <c r="D178" s="142"/>
      <c r="E178" s="143"/>
      <c r="F178" s="143"/>
      <c r="G178" s="136"/>
      <c r="H178" s="136"/>
      <c r="I178" s="136"/>
      <c r="J178" s="143">
        <v>24</v>
      </c>
      <c r="K178" s="126">
        <v>100</v>
      </c>
      <c r="L178" s="126">
        <v>110</v>
      </c>
      <c r="M178" s="140">
        <v>17</v>
      </c>
      <c r="N178" s="137">
        <f t="shared" si="15"/>
        <v>251</v>
      </c>
      <c r="O178" s="138">
        <f t="shared" si="16"/>
        <v>62.75</v>
      </c>
      <c r="P178" s="130">
        <f t="shared" si="17"/>
        <v>1.3137234376635614</v>
      </c>
    </row>
    <row r="179" spans="1:16">
      <c r="A179" s="144" t="s">
        <v>200</v>
      </c>
      <c r="B179" s="141"/>
      <c r="C179" s="134"/>
      <c r="D179" s="142"/>
      <c r="E179" s="143"/>
      <c r="F179" s="143"/>
      <c r="G179" s="136"/>
      <c r="H179" s="136"/>
      <c r="I179" s="136"/>
      <c r="J179" s="143">
        <v>2</v>
      </c>
      <c r="K179" s="126">
        <v>2</v>
      </c>
      <c r="L179" s="126">
        <v>1</v>
      </c>
      <c r="M179" s="140">
        <v>0</v>
      </c>
      <c r="N179" s="137">
        <f t="shared" si="15"/>
        <v>5</v>
      </c>
      <c r="O179" s="138">
        <f t="shared" si="16"/>
        <v>1.25</v>
      </c>
      <c r="P179" s="130">
        <f t="shared" si="17"/>
        <v>2.6169789594891659E-2</v>
      </c>
    </row>
    <row r="180" spans="1:16">
      <c r="A180" s="144" t="s">
        <v>201</v>
      </c>
      <c r="B180" s="141"/>
      <c r="C180" s="134"/>
      <c r="D180" s="142"/>
      <c r="E180" s="143"/>
      <c r="F180" s="143"/>
      <c r="G180" s="136"/>
      <c r="H180" s="136"/>
      <c r="I180" s="136"/>
      <c r="J180" s="143">
        <v>68</v>
      </c>
      <c r="K180" s="126">
        <v>69</v>
      </c>
      <c r="L180" s="126">
        <v>71</v>
      </c>
      <c r="M180" s="140">
        <v>24</v>
      </c>
      <c r="N180" s="137">
        <f t="shared" si="15"/>
        <v>232</v>
      </c>
      <c r="O180" s="138">
        <f t="shared" si="16"/>
        <v>58</v>
      </c>
      <c r="P180" s="130">
        <f t="shared" si="17"/>
        <v>1.214278237202973</v>
      </c>
    </row>
    <row r="181" spans="1:16">
      <c r="A181" s="144" t="s">
        <v>202</v>
      </c>
      <c r="B181" s="141"/>
      <c r="C181" s="134"/>
      <c r="D181" s="142"/>
      <c r="E181" s="143"/>
      <c r="F181" s="143"/>
      <c r="G181" s="136"/>
      <c r="H181" s="136"/>
      <c r="I181" s="136"/>
      <c r="J181" s="143">
        <v>2</v>
      </c>
      <c r="K181" s="126">
        <v>2</v>
      </c>
      <c r="L181" s="126">
        <v>0</v>
      </c>
      <c r="M181" s="126">
        <v>0</v>
      </c>
      <c r="N181" s="137">
        <f t="shared" si="15"/>
        <v>4</v>
      </c>
      <c r="O181" s="138">
        <f t="shared" si="16"/>
        <v>1</v>
      </c>
      <c r="P181" s="130">
        <f t="shared" si="17"/>
        <v>2.0935831675913327E-2</v>
      </c>
    </row>
    <row r="182" spans="1:16">
      <c r="A182" s="144" t="s">
        <v>203</v>
      </c>
      <c r="B182" s="141"/>
      <c r="C182" s="134"/>
      <c r="D182" s="142"/>
      <c r="E182" s="143"/>
      <c r="F182" s="143"/>
      <c r="G182" s="136"/>
      <c r="H182" s="136"/>
      <c r="I182" s="136"/>
      <c r="J182" s="143">
        <v>5</v>
      </c>
      <c r="K182" s="126">
        <v>5</v>
      </c>
      <c r="L182" s="126">
        <v>4</v>
      </c>
      <c r="M182" s="126">
        <v>0</v>
      </c>
      <c r="N182" s="137">
        <f t="shared" si="15"/>
        <v>14</v>
      </c>
      <c r="O182" s="138">
        <f t="shared" si="16"/>
        <v>3.5</v>
      </c>
      <c r="P182" s="130">
        <f t="shared" si="17"/>
        <v>7.3275410865696639E-2</v>
      </c>
    </row>
    <row r="183" spans="1:16">
      <c r="A183" s="144" t="s">
        <v>204</v>
      </c>
      <c r="B183" s="141"/>
      <c r="C183" s="134"/>
      <c r="D183" s="142"/>
      <c r="E183" s="143"/>
      <c r="F183" s="143"/>
      <c r="G183" s="136"/>
      <c r="H183" s="136"/>
      <c r="I183" s="136"/>
      <c r="J183" s="143">
        <v>38</v>
      </c>
      <c r="K183" s="126">
        <v>48</v>
      </c>
      <c r="L183" s="126">
        <v>33</v>
      </c>
      <c r="M183" s="126">
        <v>22</v>
      </c>
      <c r="N183" s="137">
        <f t="shared" si="15"/>
        <v>141</v>
      </c>
      <c r="O183" s="138">
        <f t="shared" si="16"/>
        <v>35.25</v>
      </c>
      <c r="P183" s="130">
        <f t="shared" si="17"/>
        <v>0.73798806657594473</v>
      </c>
    </row>
    <row r="184" spans="1:16">
      <c r="A184" s="144" t="s">
        <v>205</v>
      </c>
      <c r="B184" s="141"/>
      <c r="C184" s="134"/>
      <c r="D184" s="142"/>
      <c r="E184" s="143"/>
      <c r="F184" s="143"/>
      <c r="G184" s="136"/>
      <c r="H184" s="136"/>
      <c r="I184" s="136"/>
      <c r="J184" s="143">
        <v>116</v>
      </c>
      <c r="K184" s="126">
        <v>108</v>
      </c>
      <c r="L184" s="126">
        <v>122</v>
      </c>
      <c r="M184" s="126">
        <v>107</v>
      </c>
      <c r="N184" s="137">
        <f t="shared" si="15"/>
        <v>453</v>
      </c>
      <c r="O184" s="138">
        <f t="shared" si="16"/>
        <v>113.25</v>
      </c>
      <c r="P184" s="130">
        <f t="shared" si="17"/>
        <v>2.3709829372971845</v>
      </c>
    </row>
    <row r="185" spans="1:16">
      <c r="A185" s="144" t="s">
        <v>206</v>
      </c>
      <c r="B185" s="141"/>
      <c r="C185" s="134"/>
      <c r="D185" s="142"/>
      <c r="E185" s="143"/>
      <c r="F185" s="143"/>
      <c r="G185" s="136"/>
      <c r="H185" s="147"/>
      <c r="I185" s="147"/>
      <c r="J185" s="148">
        <v>3</v>
      </c>
      <c r="K185" s="126">
        <v>4</v>
      </c>
      <c r="L185" s="126">
        <v>5</v>
      </c>
      <c r="M185" s="126">
        <v>4</v>
      </c>
      <c r="N185" s="149">
        <f t="shared" si="15"/>
        <v>16</v>
      </c>
      <c r="O185" s="150">
        <f t="shared" si="16"/>
        <v>4</v>
      </c>
      <c r="P185" s="151">
        <f t="shared" si="17"/>
        <v>8.3743326703653309E-2</v>
      </c>
    </row>
    <row r="186" spans="1:16" s="80" customFormat="1" ht="15.75" thickBot="1">
      <c r="A186" s="152" t="s">
        <v>207</v>
      </c>
      <c r="B186" s="153"/>
      <c r="C186" s="154"/>
      <c r="D186" s="155"/>
      <c r="E186" s="148"/>
      <c r="F186" s="148"/>
      <c r="G186" s="147"/>
      <c r="H186" s="147"/>
      <c r="I186" s="147"/>
      <c r="J186" s="148">
        <v>0</v>
      </c>
      <c r="K186" s="126">
        <v>0</v>
      </c>
      <c r="L186" s="156">
        <v>0</v>
      </c>
      <c r="M186" s="126">
        <v>0</v>
      </c>
      <c r="N186" s="149">
        <f t="shared" si="15"/>
        <v>0</v>
      </c>
      <c r="O186" s="150">
        <f t="shared" si="16"/>
        <v>0</v>
      </c>
      <c r="P186" s="157">
        <f t="shared" si="17"/>
        <v>0</v>
      </c>
    </row>
    <row r="187" spans="1:16" ht="15.75" thickBot="1">
      <c r="A187" s="158" t="s">
        <v>5</v>
      </c>
      <c r="B187" s="159"/>
      <c r="C187" s="160"/>
      <c r="D187" s="161"/>
      <c r="E187" s="162"/>
      <c r="F187" s="162"/>
      <c r="G187" s="162"/>
      <c r="H187" s="162"/>
      <c r="I187" s="162"/>
      <c r="J187" s="160">
        <f>SUM(J5:J186)</f>
        <v>4687</v>
      </c>
      <c r="K187" s="160">
        <f>SUM(K5:K186)</f>
        <v>5517</v>
      </c>
      <c r="L187" s="160">
        <f>SUM(L5:L186)</f>
        <v>4645</v>
      </c>
      <c r="M187" s="163">
        <f>SUM(M5:M186)</f>
        <v>4257</v>
      </c>
      <c r="N187" s="164">
        <f t="shared" si="15"/>
        <v>19106</v>
      </c>
      <c r="O187" s="165">
        <f t="shared" si="16"/>
        <v>4776.5</v>
      </c>
      <c r="P187" s="166">
        <f t="shared" si="17"/>
        <v>100</v>
      </c>
    </row>
    <row r="188" spans="1:16" s="80" customFormat="1" ht="16.5" customHeight="1">
      <c r="A188" s="167"/>
      <c r="B188" s="168"/>
      <c r="C188" s="168"/>
      <c r="D188" s="168"/>
      <c r="E188" s="168"/>
      <c r="F188" s="168"/>
      <c r="G188" s="168"/>
      <c r="H188" s="168"/>
      <c r="I188" s="168"/>
      <c r="J188" s="168"/>
      <c r="K188" s="168"/>
      <c r="L188" s="169"/>
      <c r="M188" s="113"/>
      <c r="N188" s="113"/>
      <c r="O188" s="113"/>
      <c r="P188" s="170"/>
    </row>
    <row r="189" spans="1:16" ht="65.25" customHeight="1">
      <c r="A189" s="171" t="s">
        <v>208</v>
      </c>
      <c r="B189" s="172"/>
      <c r="C189" s="172"/>
      <c r="D189" s="172"/>
      <c r="E189" s="172"/>
      <c r="F189" s="172"/>
      <c r="G189" s="172"/>
      <c r="H189" s="172"/>
      <c r="I189" s="172"/>
      <c r="J189" s="172"/>
      <c r="K189" s="172"/>
    </row>
    <row r="190" spans="1:16">
      <c r="A190" s="173"/>
      <c r="B190" s="172"/>
      <c r="C190" s="172"/>
      <c r="D190" s="172"/>
      <c r="E190" s="172"/>
      <c r="F190" s="172"/>
      <c r="G190" s="172"/>
      <c r="H190" s="172"/>
      <c r="I190" s="172"/>
      <c r="J190" s="172"/>
      <c r="K190" s="172"/>
    </row>
    <row r="191" spans="1:16" ht="45">
      <c r="A191" s="174" t="s">
        <v>209</v>
      </c>
      <c r="B191" s="175"/>
      <c r="C191" s="175"/>
      <c r="D191" s="175"/>
      <c r="E191" s="175"/>
      <c r="F191" s="175"/>
      <c r="G191" s="175"/>
      <c r="H191" s="175"/>
      <c r="I191" s="175"/>
      <c r="J191" s="175"/>
      <c r="K191" s="175"/>
    </row>
    <row r="192" spans="1:16">
      <c r="A192" s="174"/>
      <c r="B192" s="175"/>
      <c r="C192" s="175"/>
      <c r="D192" s="175"/>
      <c r="E192" s="175"/>
      <c r="F192" s="175"/>
      <c r="G192" s="175"/>
      <c r="H192" s="175"/>
      <c r="I192" s="175"/>
      <c r="J192" s="175"/>
      <c r="K192" s="175"/>
    </row>
    <row r="193" spans="1:13" ht="31.5" customHeight="1">
      <c r="A193" s="173" t="s">
        <v>210</v>
      </c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</row>
    <row r="194" spans="1:13" ht="45">
      <c r="A194" s="174" t="s">
        <v>211</v>
      </c>
    </row>
    <row r="195" spans="1:13" ht="30">
      <c r="A195" s="173" t="s">
        <v>212</v>
      </c>
      <c r="B195" s="175"/>
      <c r="C195" s="175"/>
      <c r="D195" s="175"/>
      <c r="E195" s="175"/>
      <c r="F195" s="175"/>
      <c r="G195" s="111"/>
      <c r="H195" s="111"/>
      <c r="I195" s="111"/>
      <c r="J195" s="111"/>
      <c r="K195" s="111"/>
    </row>
    <row r="197" spans="1:13" customFormat="1">
      <c r="A197" s="174"/>
      <c r="M197" s="176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/>
  </sheetViews>
  <sheetFormatPr defaultColWidth="5.5703125" defaultRowHeight="14.25"/>
  <cols>
    <col min="1" max="1" width="41" style="13" customWidth="1"/>
    <col min="2" max="2" width="7.5703125" style="13" bestFit="1" customWidth="1"/>
    <col min="3" max="3" width="7.7109375" style="182" bestFit="1" customWidth="1"/>
    <col min="4" max="4" width="7.140625" style="13" bestFit="1" customWidth="1"/>
    <col min="5" max="5" width="7" style="179" bestFit="1" customWidth="1"/>
    <col min="6" max="6" width="7.5703125" style="13" bestFit="1" customWidth="1"/>
    <col min="7" max="7" width="6.28515625" style="179" bestFit="1" customWidth="1"/>
    <col min="8" max="8" width="7" style="13" bestFit="1" customWidth="1"/>
    <col min="9" max="9" width="7.5703125" style="13" customWidth="1"/>
    <col min="10" max="10" width="7.140625" style="13" bestFit="1" customWidth="1"/>
    <col min="11" max="11" width="7.5703125" style="13" bestFit="1" customWidth="1"/>
    <col min="12" max="12" width="7.140625" style="13" bestFit="1" customWidth="1"/>
    <col min="13" max="13" width="6.85546875" style="13" bestFit="1" customWidth="1"/>
    <col min="14" max="14" width="6.7109375" style="13" bestFit="1" customWidth="1"/>
    <col min="15" max="15" width="7.140625" style="13" bestFit="1" customWidth="1"/>
    <col min="16" max="16" width="14.85546875" style="13" customWidth="1"/>
    <col min="17" max="215" width="9.140625" style="13" customWidth="1"/>
    <col min="216" max="216" width="58.28515625" style="13" customWidth="1"/>
    <col min="217" max="217" width="3.7109375" style="13" bestFit="1" customWidth="1"/>
    <col min="218" max="218" width="5.5703125" style="13" bestFit="1" customWidth="1"/>
    <col min="219" max="219" width="5.5703125" style="13" customWidth="1"/>
    <col min="220" max="16384" width="5.5703125" style="13"/>
  </cols>
  <sheetData>
    <row r="1" spans="1:20" ht="15">
      <c r="A1" s="177" t="s">
        <v>0</v>
      </c>
      <c r="B1" s="177"/>
      <c r="C1" s="178"/>
      <c r="D1" s="177"/>
      <c r="P1" s="180">
        <v>4692</v>
      </c>
    </row>
    <row r="2" spans="1:20" ht="15">
      <c r="A2" s="1" t="s">
        <v>1</v>
      </c>
      <c r="B2" s="1"/>
      <c r="C2" s="181"/>
      <c r="D2" s="1"/>
    </row>
    <row r="3" spans="1:20" ht="15">
      <c r="A3" s="1"/>
      <c r="B3" s="1"/>
      <c r="C3" s="181"/>
      <c r="D3" s="1"/>
    </row>
    <row r="4" spans="1:20" ht="15">
      <c r="A4" s="1" t="s">
        <v>213</v>
      </c>
      <c r="B4" s="1"/>
      <c r="C4" s="181"/>
      <c r="D4" s="1"/>
    </row>
    <row r="5" spans="1:20">
      <c r="E5" s="13"/>
      <c r="F5" s="179"/>
      <c r="G5" s="13"/>
      <c r="H5" s="179"/>
    </row>
    <row r="6" spans="1:20" ht="63.75">
      <c r="A6" s="62" t="s">
        <v>214</v>
      </c>
      <c r="B6" s="25">
        <v>45261</v>
      </c>
      <c r="C6" s="119">
        <v>45231</v>
      </c>
      <c r="D6" s="119">
        <v>45200</v>
      </c>
      <c r="E6" s="119">
        <v>45170</v>
      </c>
      <c r="F6" s="119">
        <v>45139</v>
      </c>
      <c r="G6" s="119">
        <v>45108</v>
      </c>
      <c r="H6" s="119">
        <v>45078</v>
      </c>
      <c r="I6" s="119">
        <v>45047</v>
      </c>
      <c r="J6" s="119">
        <v>45017</v>
      </c>
      <c r="K6" s="119">
        <v>44986</v>
      </c>
      <c r="L6" s="119">
        <v>44958</v>
      </c>
      <c r="M6" s="119">
        <v>44927</v>
      </c>
      <c r="N6" s="119" t="s">
        <v>5</v>
      </c>
      <c r="O6" s="119" t="s">
        <v>6</v>
      </c>
      <c r="P6" s="183" t="s">
        <v>215</v>
      </c>
    </row>
    <row r="7" spans="1:20" ht="14.25" customHeight="1" thickBot="1">
      <c r="A7" s="184" t="s">
        <v>59</v>
      </c>
      <c r="B7" s="141"/>
      <c r="C7" s="126"/>
      <c r="D7" s="185"/>
      <c r="E7" s="186"/>
      <c r="F7" s="186"/>
      <c r="G7" s="187"/>
      <c r="H7" s="187"/>
      <c r="I7" s="187"/>
      <c r="J7" s="188">
        <v>981</v>
      </c>
      <c r="K7" s="46">
        <v>844</v>
      </c>
      <c r="L7" s="35">
        <v>484</v>
      </c>
      <c r="M7" s="46">
        <v>501</v>
      </c>
      <c r="N7" s="189">
        <f t="shared" ref="N7:N16" si="0">SUM(B7:M7)</f>
        <v>2810</v>
      </c>
      <c r="O7" s="190">
        <f t="shared" ref="O7:O17" si="1">AVERAGE(B7:M7)</f>
        <v>702.5</v>
      </c>
      <c r="P7" s="191">
        <f t="shared" ref="P7:P17" si="2">(J7*100)/$P$1</f>
        <v>20.907928388746804</v>
      </c>
      <c r="S7" s="179"/>
      <c r="T7" s="179"/>
    </row>
    <row r="8" spans="1:20" ht="15" customHeight="1" thickBot="1">
      <c r="A8" s="192" t="s">
        <v>175</v>
      </c>
      <c r="B8" s="141"/>
      <c r="C8" s="126"/>
      <c r="D8" s="185"/>
      <c r="E8" s="186"/>
      <c r="F8" s="186"/>
      <c r="G8" s="187"/>
      <c r="H8" s="187"/>
      <c r="I8" s="187"/>
      <c r="J8" s="188">
        <v>253</v>
      </c>
      <c r="K8" s="46">
        <v>347</v>
      </c>
      <c r="L8" s="46">
        <v>325</v>
      </c>
      <c r="M8" s="46">
        <v>337</v>
      </c>
      <c r="N8" s="193">
        <f t="shared" si="0"/>
        <v>1262</v>
      </c>
      <c r="O8" s="194">
        <f t="shared" si="1"/>
        <v>315.5</v>
      </c>
      <c r="P8" s="191">
        <f t="shared" si="2"/>
        <v>5.3921568627450984</v>
      </c>
      <c r="S8" s="179"/>
      <c r="T8" s="179"/>
    </row>
    <row r="9" spans="1:20" ht="15.75" thickBot="1">
      <c r="A9" s="195" t="s">
        <v>57</v>
      </c>
      <c r="B9" s="141"/>
      <c r="C9" s="126"/>
      <c r="D9" s="185"/>
      <c r="E9" s="186"/>
      <c r="F9" s="186"/>
      <c r="G9" s="187"/>
      <c r="H9" s="187"/>
      <c r="I9" s="187"/>
      <c r="J9" s="196">
        <v>379</v>
      </c>
      <c r="K9" s="46">
        <v>313</v>
      </c>
      <c r="L9" s="46">
        <v>290</v>
      </c>
      <c r="M9" s="46">
        <v>263</v>
      </c>
      <c r="N9" s="193">
        <f t="shared" si="0"/>
        <v>1245</v>
      </c>
      <c r="O9" s="194">
        <f t="shared" si="1"/>
        <v>311.25</v>
      </c>
      <c r="P9" s="191">
        <f t="shared" si="2"/>
        <v>8.0775788576300087</v>
      </c>
      <c r="S9" s="179"/>
      <c r="T9" s="179"/>
    </row>
    <row r="10" spans="1:20" ht="15.75" thickBot="1">
      <c r="A10" s="195" t="s">
        <v>44</v>
      </c>
      <c r="B10" s="141"/>
      <c r="C10" s="126"/>
      <c r="D10" s="185"/>
      <c r="E10" s="186"/>
      <c r="F10" s="186"/>
      <c r="G10" s="187"/>
      <c r="H10" s="187"/>
      <c r="I10" s="187"/>
      <c r="J10" s="196">
        <v>231</v>
      </c>
      <c r="K10" s="46">
        <v>270</v>
      </c>
      <c r="L10" s="46">
        <v>265</v>
      </c>
      <c r="M10" s="46">
        <v>301</v>
      </c>
      <c r="N10" s="193">
        <f t="shared" si="0"/>
        <v>1067</v>
      </c>
      <c r="O10" s="194">
        <f t="shared" si="1"/>
        <v>266.75</v>
      </c>
      <c r="P10" s="191">
        <f t="shared" si="2"/>
        <v>4.9232736572890028</v>
      </c>
      <c r="S10" s="179"/>
      <c r="T10" s="179"/>
    </row>
    <row r="11" spans="1:20" ht="15.75" thickBot="1">
      <c r="A11" s="195" t="s">
        <v>158</v>
      </c>
      <c r="B11" s="141"/>
      <c r="C11" s="126"/>
      <c r="D11" s="185"/>
      <c r="E11" s="186"/>
      <c r="F11" s="186"/>
      <c r="G11" s="187"/>
      <c r="H11" s="187"/>
      <c r="I11" s="187"/>
      <c r="J11" s="196">
        <v>160</v>
      </c>
      <c r="K11" s="46">
        <v>215</v>
      </c>
      <c r="L11" s="46">
        <v>193</v>
      </c>
      <c r="M11" s="46">
        <v>239</v>
      </c>
      <c r="N11" s="193">
        <f t="shared" si="0"/>
        <v>807</v>
      </c>
      <c r="O11" s="194">
        <f t="shared" si="1"/>
        <v>201.75</v>
      </c>
      <c r="P11" s="191">
        <f t="shared" si="2"/>
        <v>3.4100596760443307</v>
      </c>
      <c r="S11" s="179"/>
      <c r="T11" s="179"/>
    </row>
    <row r="12" spans="1:20" ht="15" customHeight="1" thickBot="1">
      <c r="A12" s="195" t="s">
        <v>192</v>
      </c>
      <c r="B12" s="141"/>
      <c r="C12" s="126"/>
      <c r="D12" s="185"/>
      <c r="E12" s="186"/>
      <c r="F12" s="186"/>
      <c r="G12" s="187"/>
      <c r="H12" s="187"/>
      <c r="I12" s="187"/>
      <c r="J12" s="196">
        <v>128</v>
      </c>
      <c r="K12" s="46">
        <v>164</v>
      </c>
      <c r="L12" s="46">
        <v>149</v>
      </c>
      <c r="M12" s="46">
        <v>129</v>
      </c>
      <c r="N12" s="193">
        <f t="shared" si="0"/>
        <v>570</v>
      </c>
      <c r="O12" s="194">
        <f t="shared" si="1"/>
        <v>142.5</v>
      </c>
      <c r="P12" s="191">
        <f t="shared" si="2"/>
        <v>2.7280477408354646</v>
      </c>
      <c r="S12" s="179"/>
      <c r="T12" s="179"/>
    </row>
    <row r="13" spans="1:20" ht="15.75" thickBot="1">
      <c r="A13" s="195" t="s">
        <v>96</v>
      </c>
      <c r="B13" s="141"/>
      <c r="C13" s="126"/>
      <c r="D13" s="185"/>
      <c r="E13" s="186"/>
      <c r="F13" s="186"/>
      <c r="G13" s="187"/>
      <c r="H13" s="187"/>
      <c r="I13" s="187"/>
      <c r="J13" s="196">
        <v>130</v>
      </c>
      <c r="K13" s="46">
        <v>176</v>
      </c>
      <c r="L13" s="46">
        <v>135</v>
      </c>
      <c r="M13" s="46">
        <v>118</v>
      </c>
      <c r="N13" s="193">
        <f t="shared" si="0"/>
        <v>559</v>
      </c>
      <c r="O13" s="194">
        <f t="shared" si="1"/>
        <v>139.75</v>
      </c>
      <c r="P13" s="191">
        <f t="shared" si="2"/>
        <v>2.7706734867860185</v>
      </c>
      <c r="S13" s="179"/>
      <c r="T13" s="179"/>
    </row>
    <row r="14" spans="1:20" ht="15.75" thickBot="1">
      <c r="A14" s="195" t="s">
        <v>61</v>
      </c>
      <c r="B14" s="141"/>
      <c r="C14" s="126"/>
      <c r="D14" s="185"/>
      <c r="E14" s="186"/>
      <c r="F14" s="186"/>
      <c r="G14" s="187"/>
      <c r="H14" s="187"/>
      <c r="I14" s="187"/>
      <c r="J14" s="196">
        <v>116</v>
      </c>
      <c r="K14" s="46">
        <v>157</v>
      </c>
      <c r="L14" s="46">
        <v>139</v>
      </c>
      <c r="M14" s="46">
        <v>91</v>
      </c>
      <c r="N14" s="193">
        <f t="shared" si="0"/>
        <v>503</v>
      </c>
      <c r="O14" s="194">
        <f t="shared" si="1"/>
        <v>125.75</v>
      </c>
      <c r="P14" s="191">
        <f t="shared" si="2"/>
        <v>2.4722932651321399</v>
      </c>
      <c r="S14" s="179"/>
      <c r="T14" s="179"/>
    </row>
    <row r="15" spans="1:20" ht="15.75" thickBot="1">
      <c r="A15" s="195" t="s">
        <v>62</v>
      </c>
      <c r="B15" s="141"/>
      <c r="C15" s="126"/>
      <c r="D15" s="185"/>
      <c r="E15" s="186"/>
      <c r="F15" s="186"/>
      <c r="G15" s="187"/>
      <c r="H15" s="187"/>
      <c r="I15" s="187"/>
      <c r="J15" s="196">
        <v>139</v>
      </c>
      <c r="K15" s="46">
        <v>155</v>
      </c>
      <c r="L15" s="46">
        <v>123</v>
      </c>
      <c r="M15" s="46">
        <v>81</v>
      </c>
      <c r="N15" s="193">
        <f t="shared" si="0"/>
        <v>498</v>
      </c>
      <c r="O15" s="194">
        <f t="shared" si="1"/>
        <v>124.5</v>
      </c>
      <c r="P15" s="191">
        <f t="shared" si="2"/>
        <v>2.9624893435635125</v>
      </c>
      <c r="S15" s="179"/>
      <c r="T15" s="179"/>
    </row>
    <row r="16" spans="1:20" ht="15.75" thickBot="1">
      <c r="A16" s="195" t="s">
        <v>138</v>
      </c>
      <c r="B16" s="197"/>
      <c r="C16" s="126"/>
      <c r="D16" s="185"/>
      <c r="E16" s="186"/>
      <c r="F16" s="186"/>
      <c r="G16" s="187"/>
      <c r="H16" s="187"/>
      <c r="I16" s="187"/>
      <c r="J16" s="196">
        <v>74</v>
      </c>
      <c r="K16" s="46">
        <v>112</v>
      </c>
      <c r="L16" s="46">
        <v>144</v>
      </c>
      <c r="M16" s="46">
        <v>151</v>
      </c>
      <c r="N16" s="198">
        <f t="shared" si="0"/>
        <v>481</v>
      </c>
      <c r="O16" s="199">
        <f t="shared" si="1"/>
        <v>120.25</v>
      </c>
      <c r="P16" s="191">
        <f t="shared" si="2"/>
        <v>1.577152600170503</v>
      </c>
      <c r="S16" s="179"/>
      <c r="T16" s="179"/>
    </row>
    <row r="17" spans="1:41" ht="15.75" customHeight="1" thickBot="1">
      <c r="A17" s="200" t="s">
        <v>5</v>
      </c>
      <c r="B17" s="63"/>
      <c r="C17" s="62"/>
      <c r="D17" s="62"/>
      <c r="E17" s="62"/>
      <c r="F17" s="62"/>
      <c r="G17" s="62"/>
      <c r="H17" s="62"/>
      <c r="I17" s="62"/>
      <c r="J17" s="62">
        <f>SUM(J7:J16)</f>
        <v>2591</v>
      </c>
      <c r="K17" s="62">
        <f>SUM(K7:K16)</f>
        <v>2753</v>
      </c>
      <c r="L17" s="62">
        <f>SUM(L7:L16)</f>
        <v>2247</v>
      </c>
      <c r="M17" s="62">
        <f>SUM(M7:M16)</f>
        <v>2211</v>
      </c>
      <c r="N17" s="201">
        <f>SUM(N7:N16)</f>
        <v>9802</v>
      </c>
      <c r="O17" s="66">
        <f t="shared" si="1"/>
        <v>2450.5</v>
      </c>
      <c r="P17" s="98">
        <f t="shared" si="2"/>
        <v>55.221653878942881</v>
      </c>
      <c r="S17" s="179"/>
      <c r="T17" s="179"/>
    </row>
    <row r="18" spans="1:41" s="180" customFormat="1" ht="23.25" customHeight="1">
      <c r="A18" s="180" t="s">
        <v>216</v>
      </c>
      <c r="C18" s="202"/>
      <c r="O18" s="180" t="s">
        <v>217</v>
      </c>
      <c r="P18" s="203">
        <f>100-P17</f>
        <v>44.778346121057119</v>
      </c>
    </row>
    <row r="19" spans="1:41" ht="54.75" customHeight="1">
      <c r="A19" s="204"/>
      <c r="B19" s="204"/>
      <c r="C19" s="205"/>
      <c r="D19" s="864"/>
      <c r="E19" s="864"/>
      <c r="F19" s="864"/>
      <c r="G19" s="864"/>
      <c r="H19" s="864"/>
      <c r="W19" s="179"/>
    </row>
    <row r="20" spans="1:41">
      <c r="A20" s="206"/>
      <c r="B20" s="206"/>
      <c r="C20" s="207"/>
      <c r="G20" s="13"/>
      <c r="O20" s="179"/>
      <c r="W20" s="179"/>
      <c r="AC20" s="208"/>
      <c r="AD20" s="209"/>
      <c r="AE20" s="209"/>
      <c r="AF20" s="209"/>
      <c r="AG20" s="209"/>
      <c r="AH20" s="209"/>
      <c r="AI20" s="209"/>
      <c r="AJ20" s="182"/>
      <c r="AK20" s="209"/>
      <c r="AL20" s="209"/>
      <c r="AM20" s="209"/>
      <c r="AN20" s="209"/>
      <c r="AO20" s="210"/>
    </row>
    <row r="21" spans="1:41" ht="92.25" customHeight="1">
      <c r="A21" s="204"/>
      <c r="B21" s="204"/>
      <c r="C21" s="205"/>
      <c r="D21" s="864"/>
      <c r="E21" s="864"/>
      <c r="F21" s="864"/>
      <c r="G21" s="864"/>
      <c r="H21" s="864"/>
      <c r="L21" s="211"/>
      <c r="W21" s="179"/>
      <c r="AC21" s="208"/>
      <c r="AD21" s="209"/>
      <c r="AE21" s="209"/>
      <c r="AF21" s="209"/>
      <c r="AG21" s="209"/>
      <c r="AH21" s="209"/>
      <c r="AI21" s="209"/>
      <c r="AJ21" s="182"/>
      <c r="AK21" s="209"/>
      <c r="AL21" s="209"/>
      <c r="AM21" s="209"/>
      <c r="AN21" s="209"/>
      <c r="AO21" s="210"/>
    </row>
    <row r="22" spans="1:41">
      <c r="A22" s="204"/>
      <c r="B22" s="204"/>
      <c r="C22" s="205"/>
      <c r="G22" s="13"/>
      <c r="O22" s="179"/>
      <c r="W22" s="212"/>
      <c r="AC22" s="208"/>
      <c r="AD22" s="209"/>
      <c r="AE22" s="209"/>
      <c r="AF22" s="209"/>
      <c r="AG22" s="209"/>
      <c r="AH22" s="209"/>
      <c r="AI22" s="209"/>
      <c r="AJ22" s="182"/>
      <c r="AK22" s="209"/>
      <c r="AL22" s="209"/>
      <c r="AM22" s="209"/>
      <c r="AN22" s="209"/>
      <c r="AO22" s="210"/>
    </row>
    <row r="23" spans="1:41" ht="66.75" customHeight="1">
      <c r="A23" s="204"/>
      <c r="B23" s="204"/>
      <c r="C23" s="205"/>
      <c r="D23" s="864"/>
      <c r="E23" s="864"/>
      <c r="F23" s="864"/>
      <c r="G23" s="864"/>
      <c r="H23" s="864"/>
      <c r="W23" s="179"/>
      <c r="AC23" s="208"/>
      <c r="AD23" s="209"/>
      <c r="AE23" s="209"/>
      <c r="AF23" s="209"/>
      <c r="AG23" s="209"/>
      <c r="AH23" s="209"/>
      <c r="AI23" s="209"/>
      <c r="AJ23" s="182"/>
      <c r="AK23" s="209"/>
      <c r="AL23" s="209"/>
      <c r="AM23" s="209"/>
      <c r="AN23" s="209"/>
      <c r="AO23" s="210"/>
    </row>
    <row r="24" spans="1:41">
      <c r="A24" s="206"/>
      <c r="B24" s="206"/>
      <c r="C24" s="207"/>
      <c r="G24" s="13"/>
      <c r="W24" s="179"/>
      <c r="AC24" s="208"/>
      <c r="AD24" s="209"/>
      <c r="AE24" s="209"/>
      <c r="AF24" s="209"/>
      <c r="AG24" s="209"/>
      <c r="AH24" s="209"/>
      <c r="AI24" s="209"/>
      <c r="AJ24" s="182"/>
      <c r="AK24" s="209"/>
      <c r="AL24" s="209"/>
      <c r="AM24" s="209"/>
      <c r="AN24" s="209"/>
      <c r="AO24" s="210"/>
    </row>
    <row r="25" spans="1:41">
      <c r="A25" s="204"/>
      <c r="B25" s="204"/>
      <c r="C25" s="205"/>
      <c r="G25" s="13"/>
      <c r="W25" s="179"/>
      <c r="AC25" s="208"/>
      <c r="AD25" s="209"/>
      <c r="AE25" s="209"/>
      <c r="AF25" s="209"/>
      <c r="AG25" s="209"/>
      <c r="AH25" s="209"/>
      <c r="AI25" s="209"/>
      <c r="AJ25" s="182"/>
      <c r="AK25" s="209"/>
      <c r="AL25" s="209"/>
      <c r="AM25" s="209"/>
      <c r="AN25" s="209"/>
      <c r="AO25" s="210"/>
    </row>
    <row r="26" spans="1:41">
      <c r="AC26" s="208"/>
      <c r="AD26" s="209"/>
      <c r="AE26" s="209"/>
      <c r="AF26" s="209"/>
      <c r="AG26" s="209"/>
      <c r="AH26" s="209"/>
      <c r="AI26" s="209"/>
      <c r="AJ26" s="182"/>
      <c r="AK26" s="209"/>
      <c r="AL26" s="209"/>
      <c r="AM26" s="209"/>
      <c r="AN26" s="209"/>
      <c r="AO26" s="210"/>
    </row>
    <row r="27" spans="1:41">
      <c r="R27" s="208"/>
      <c r="S27" s="209"/>
      <c r="T27" s="210"/>
      <c r="U27" s="210"/>
      <c r="V27" s="210"/>
      <c r="W27" s="213"/>
      <c r="AC27" s="208"/>
      <c r="AD27" s="209"/>
      <c r="AE27" s="209"/>
      <c r="AF27" s="209"/>
      <c r="AG27" s="209"/>
      <c r="AH27" s="209"/>
      <c r="AI27" s="209"/>
      <c r="AJ27" s="182"/>
      <c r="AK27" s="209"/>
      <c r="AL27" s="209"/>
      <c r="AM27" s="209"/>
      <c r="AN27" s="209"/>
      <c r="AO27" s="210"/>
    </row>
    <row r="28" spans="1:41">
      <c r="R28" s="208"/>
      <c r="S28" s="209"/>
      <c r="T28" s="210"/>
      <c r="U28" s="210"/>
      <c r="V28" s="210"/>
      <c r="W28" s="213"/>
      <c r="AC28" s="208"/>
      <c r="AD28" s="209"/>
      <c r="AE28" s="209"/>
      <c r="AF28" s="209"/>
      <c r="AG28" s="209"/>
      <c r="AH28" s="209"/>
      <c r="AI28" s="209"/>
      <c r="AJ28" s="182"/>
      <c r="AK28" s="209"/>
      <c r="AL28" s="209"/>
      <c r="AM28" s="209"/>
      <c r="AN28" s="209"/>
      <c r="AO28" s="210"/>
    </row>
    <row r="29" spans="1:41">
      <c r="R29" s="208"/>
      <c r="S29" s="209"/>
      <c r="T29" s="210"/>
      <c r="U29" s="210"/>
      <c r="V29" s="210"/>
      <c r="W29" s="213"/>
      <c r="AC29" s="208"/>
      <c r="AD29" s="209"/>
      <c r="AE29" s="209"/>
      <c r="AF29" s="209"/>
      <c r="AG29" s="209"/>
      <c r="AH29" s="209"/>
      <c r="AI29" s="209"/>
      <c r="AJ29" s="182"/>
      <c r="AK29" s="209"/>
      <c r="AL29" s="209"/>
      <c r="AM29" s="209"/>
      <c r="AN29" s="209"/>
      <c r="AO29" s="210"/>
    </row>
    <row r="30" spans="1:41">
      <c r="R30" s="208"/>
      <c r="S30" s="209"/>
      <c r="T30" s="210"/>
      <c r="U30" s="210"/>
      <c r="V30" s="210"/>
      <c r="W30" s="213"/>
      <c r="AO30" s="179"/>
    </row>
    <row r="31" spans="1:41">
      <c r="R31" s="208"/>
      <c r="S31" s="209"/>
      <c r="T31" s="210"/>
      <c r="U31" s="210"/>
      <c r="V31" s="210"/>
      <c r="W31" s="213"/>
    </row>
    <row r="32" spans="1:41">
      <c r="R32" s="208"/>
      <c r="S32" s="209"/>
      <c r="T32" s="210"/>
      <c r="U32" s="210"/>
      <c r="V32" s="210"/>
      <c r="W32" s="213"/>
    </row>
    <row r="33" spans="1:23">
      <c r="R33" s="208"/>
      <c r="S33" s="209"/>
      <c r="T33" s="210"/>
      <c r="U33" s="210"/>
      <c r="V33" s="210"/>
      <c r="W33" s="213"/>
    </row>
    <row r="34" spans="1:23">
      <c r="R34" s="208"/>
      <c r="S34" s="209"/>
      <c r="T34" s="210"/>
      <c r="U34" s="210"/>
      <c r="V34" s="210"/>
      <c r="W34" s="213"/>
    </row>
    <row r="35" spans="1:23">
      <c r="R35" s="208"/>
      <c r="S35" s="209"/>
      <c r="T35" s="210"/>
      <c r="U35" s="210"/>
      <c r="V35" s="210"/>
      <c r="W35" s="213"/>
    </row>
    <row r="36" spans="1:23">
      <c r="R36" s="208"/>
      <c r="S36" s="209"/>
      <c r="T36" s="210"/>
      <c r="U36" s="210"/>
      <c r="V36" s="210"/>
      <c r="W36" s="213"/>
    </row>
    <row r="42" spans="1:23" ht="14.25" customHeight="1"/>
    <row r="43" spans="1:23">
      <c r="A43" s="206"/>
      <c r="B43" s="206"/>
      <c r="C43" s="207"/>
      <c r="D43" s="206"/>
    </row>
    <row r="44" spans="1:23" ht="14.25" customHeight="1"/>
    <row r="45" spans="1:23">
      <c r="A45" s="206"/>
      <c r="B45" s="206"/>
      <c r="C45" s="207"/>
      <c r="D45" s="206"/>
    </row>
    <row r="46" spans="1:23" ht="14.25" customHeight="1"/>
  </sheetData>
  <mergeCells count="3">
    <mergeCell ref="D19:H19"/>
    <mergeCell ref="D21:H21"/>
    <mergeCell ref="D23:H23"/>
  </mergeCell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/>
  </sheetViews>
  <sheetFormatPr defaultRowHeight="14.25"/>
  <cols>
    <col min="1" max="1" width="14" style="13" customWidth="1"/>
    <col min="2" max="2" width="16.5703125" style="179" customWidth="1"/>
    <col min="3" max="3" width="13.85546875" style="179" bestFit="1" customWidth="1"/>
    <col min="4" max="4" width="6.28515625" style="13" bestFit="1" customWidth="1"/>
    <col min="5" max="5" width="12" style="13" bestFit="1" customWidth="1"/>
    <col min="6" max="6" width="15" style="13" bestFit="1" customWidth="1"/>
    <col min="7" max="7" width="13.85546875" style="13" bestFit="1" customWidth="1"/>
    <col min="8" max="8" width="5.42578125" style="13" customWidth="1"/>
    <col min="9" max="9" width="11.85546875" style="13" customWidth="1"/>
    <col min="10" max="10" width="15" style="13" bestFit="1" customWidth="1"/>
    <col min="11" max="11" width="13.85546875" style="13" bestFit="1" customWidth="1"/>
    <col min="12" max="12" width="7.140625" style="13" customWidth="1"/>
    <col min="13" max="13" width="12.7109375" style="13" customWidth="1"/>
    <col min="14" max="14" width="15" style="13" bestFit="1" customWidth="1"/>
    <col min="15" max="15" width="13.85546875" style="13" bestFit="1" customWidth="1"/>
    <col min="16" max="16" width="9.140625" style="13" customWidth="1"/>
    <col min="17" max="17" width="5.5703125" style="13" customWidth="1"/>
    <col min="18" max="18" width="9.140625" style="13" customWidth="1"/>
    <col min="19" max="16384" width="9.140625" style="13"/>
  </cols>
  <sheetData>
    <row r="1" spans="1:15" ht="15">
      <c r="A1" s="1" t="s">
        <v>0</v>
      </c>
    </row>
    <row r="2" spans="1:15" ht="15">
      <c r="A2" s="1" t="s">
        <v>1</v>
      </c>
    </row>
    <row r="3" spans="1:15" ht="15">
      <c r="A3" s="1"/>
    </row>
    <row r="4" spans="1:15" ht="15">
      <c r="A4" s="1" t="s">
        <v>218</v>
      </c>
    </row>
    <row r="5" spans="1:15" ht="15.75" thickBot="1">
      <c r="A5" s="1"/>
    </row>
    <row r="6" spans="1:15" ht="15">
      <c r="A6" s="868" t="s">
        <v>219</v>
      </c>
      <c r="B6" s="868"/>
      <c r="C6" s="868"/>
      <c r="D6" s="868"/>
      <c r="E6" s="868"/>
      <c r="F6" s="1"/>
    </row>
    <row r="7" spans="1:15" ht="15">
      <c r="A7" s="214" t="s">
        <v>220</v>
      </c>
      <c r="B7" s="215"/>
      <c r="C7" s="215"/>
      <c r="D7" s="216"/>
      <c r="E7" s="217"/>
      <c r="F7" s="1"/>
    </row>
    <row r="8" spans="1:15" ht="15" thickBot="1">
      <c r="B8" s="13"/>
      <c r="C8" s="13"/>
    </row>
    <row r="9" spans="1:15" s="218" customFormat="1" ht="30.75" customHeight="1" thickBot="1">
      <c r="A9" s="866" t="str">
        <f>'10_Assuntos_+_demadados_2023'!A7</f>
        <v>Cadastro Único (CadÚnico)</v>
      </c>
      <c r="B9" s="866"/>
      <c r="C9" s="866"/>
      <c r="E9" s="866" t="str">
        <f>'10_Assuntos_+_demadados_2023'!A8</f>
        <v>Qualidade de atendimento</v>
      </c>
      <c r="F9" s="866"/>
      <c r="G9" s="866"/>
      <c r="I9" s="865" t="str">
        <f>'10_Assuntos_+_demadados_2023'!A9</f>
        <v>Buraco e pavimentação</v>
      </c>
      <c r="J9" s="865"/>
      <c r="K9" s="865"/>
      <c r="M9" s="866" t="str">
        <f>'10_Assuntos_+_demadados_2023'!A10</f>
        <v>Árvore</v>
      </c>
      <c r="N9" s="866"/>
      <c r="O9" s="866"/>
    </row>
    <row r="10" spans="1:15" ht="15.75" thickBot="1">
      <c r="A10" s="4" t="s">
        <v>2</v>
      </c>
      <c r="B10" s="4" t="s">
        <v>221</v>
      </c>
      <c r="C10" s="5" t="s">
        <v>222</v>
      </c>
      <c r="E10" s="4" t="s">
        <v>2</v>
      </c>
      <c r="F10" s="219" t="s">
        <v>221</v>
      </c>
      <c r="G10" s="219" t="s">
        <v>222</v>
      </c>
      <c r="I10" s="4" t="s">
        <v>2</v>
      </c>
      <c r="J10" s="219" t="s">
        <v>221</v>
      </c>
      <c r="K10" s="219" t="s">
        <v>222</v>
      </c>
      <c r="M10" s="4" t="s">
        <v>2</v>
      </c>
      <c r="N10" s="219" t="s">
        <v>221</v>
      </c>
      <c r="O10" s="219" t="s">
        <v>222</v>
      </c>
    </row>
    <row r="11" spans="1:15" ht="15">
      <c r="A11" s="220">
        <v>44927</v>
      </c>
      <c r="B11" s="8">
        <f>'10_Assuntos_+_demadados_2023'!M7</f>
        <v>501</v>
      </c>
      <c r="C11" s="221">
        <f>((B11-372)/372)*100</f>
        <v>34.677419354838712</v>
      </c>
      <c r="E11" s="220">
        <v>44927</v>
      </c>
      <c r="F11" s="222">
        <f>'10_Assuntos_+_demadados_2023'!M8</f>
        <v>337</v>
      </c>
      <c r="G11" s="9">
        <f>((F11-286)/286)*100</f>
        <v>17.832167832167833</v>
      </c>
      <c r="I11" s="220">
        <v>44927</v>
      </c>
      <c r="J11" s="222">
        <f>'10_Assuntos_+_demadados_2023'!M9</f>
        <v>263</v>
      </c>
      <c r="K11" s="9">
        <f>((J11-182)/182)*100</f>
        <v>44.505494505494504</v>
      </c>
      <c r="M11" s="220">
        <v>44927</v>
      </c>
      <c r="N11" s="222">
        <f>'10_Assuntos_+_demadados_2023'!M10</f>
        <v>301</v>
      </c>
      <c r="O11" s="9">
        <f>((N11-196)/196)*100</f>
        <v>53.571428571428569</v>
      </c>
    </row>
    <row r="12" spans="1:15" ht="15">
      <c r="A12" s="223">
        <v>44958</v>
      </c>
      <c r="B12" s="15">
        <f>'10_Assuntos_+_demadados_2023'!L7</f>
        <v>484</v>
      </c>
      <c r="C12" s="221">
        <f>((B12-B11)/B11)*100</f>
        <v>-3.3932135728542914</v>
      </c>
      <c r="E12" s="223">
        <v>44958</v>
      </c>
      <c r="F12" s="224">
        <f>'10_Assuntos_+_demadados_2023'!L8</f>
        <v>325</v>
      </c>
      <c r="G12" s="9">
        <f>((F12-F11)/F11)*100</f>
        <v>-3.5608308605341246</v>
      </c>
      <c r="I12" s="223">
        <v>44958</v>
      </c>
      <c r="J12" s="224">
        <f>'10_Assuntos_+_demadados_2023'!L9</f>
        <v>290</v>
      </c>
      <c r="K12" s="9">
        <f>((J12-J11)/J11)*100</f>
        <v>10.266159695817491</v>
      </c>
      <c r="M12" s="223">
        <v>44958</v>
      </c>
      <c r="N12" s="224">
        <f>'10_Assuntos_+_demadados_2023'!L10</f>
        <v>265</v>
      </c>
      <c r="O12" s="9">
        <f>((N12-N11)/N11)*100</f>
        <v>-11.960132890365449</v>
      </c>
    </row>
    <row r="13" spans="1:15" ht="15">
      <c r="A13" s="223">
        <v>44986</v>
      </c>
      <c r="B13" s="15">
        <f>'10_Assuntos_+_demadados_2023'!K7</f>
        <v>844</v>
      </c>
      <c r="C13" s="221">
        <f>((B13-B12)/B12)*100</f>
        <v>74.380165289256198</v>
      </c>
      <c r="E13" s="223">
        <v>44986</v>
      </c>
      <c r="F13" s="224">
        <f>'10_Assuntos_+_demadados_2023'!K8</f>
        <v>347</v>
      </c>
      <c r="G13" s="9">
        <f>((F13-F12)/F12)*100</f>
        <v>6.7692307692307692</v>
      </c>
      <c r="I13" s="223">
        <v>44986</v>
      </c>
      <c r="J13" s="224">
        <f>'10_Assuntos_+_demadados_2023'!K9</f>
        <v>313</v>
      </c>
      <c r="K13" s="9">
        <f>((J13-J12)/J12)*100</f>
        <v>7.931034482758621</v>
      </c>
      <c r="M13" s="223">
        <v>44986</v>
      </c>
      <c r="N13" s="224">
        <f>'10_Assuntos_+_demadados_2023'!K10</f>
        <v>270</v>
      </c>
      <c r="O13" s="9">
        <f>((N13-N12)/N12)*100</f>
        <v>1.8867924528301887</v>
      </c>
    </row>
    <row r="14" spans="1:15" ht="15">
      <c r="A14" s="223">
        <v>45017</v>
      </c>
      <c r="B14" s="15">
        <f>'10_Assuntos_+_demadados_2023'!J7</f>
        <v>981</v>
      </c>
      <c r="C14" s="221">
        <f>((B14-B13)/B13)*100</f>
        <v>16.232227488151661</v>
      </c>
      <c r="E14" s="223">
        <v>45017</v>
      </c>
      <c r="F14" s="224">
        <f>'10_Assuntos_+_demadados_2023'!J8</f>
        <v>253</v>
      </c>
      <c r="G14" s="9">
        <f>((F14-F13)/F13)*100</f>
        <v>-27.089337175792505</v>
      </c>
      <c r="I14" s="223">
        <v>45017</v>
      </c>
      <c r="J14" s="224">
        <f>'10_Assuntos_+_demadados_2023'!J9</f>
        <v>379</v>
      </c>
      <c r="K14" s="9">
        <f>((J14-J13)/J13)*100</f>
        <v>21.08626198083067</v>
      </c>
      <c r="M14" s="223">
        <v>45017</v>
      </c>
      <c r="N14" s="224">
        <f>'10_Assuntos_+_demadados_2023'!J10</f>
        <v>231</v>
      </c>
      <c r="O14" s="9">
        <f>((N14-N13)/N13)*100</f>
        <v>-14.444444444444443</v>
      </c>
    </row>
    <row r="15" spans="1:15" ht="15">
      <c r="A15" s="223">
        <v>45047</v>
      </c>
      <c r="B15" s="15"/>
      <c r="C15" s="221"/>
      <c r="E15" s="223">
        <v>45047</v>
      </c>
      <c r="F15" s="224"/>
      <c r="G15" s="9"/>
      <c r="I15" s="223">
        <v>45047</v>
      </c>
      <c r="J15" s="224"/>
      <c r="K15" s="9"/>
      <c r="M15" s="223">
        <v>45047</v>
      </c>
      <c r="N15" s="224"/>
      <c r="O15" s="9"/>
    </row>
    <row r="16" spans="1:15" ht="15">
      <c r="A16" s="223">
        <v>45078</v>
      </c>
      <c r="B16" s="15"/>
      <c r="C16" s="221"/>
      <c r="E16" s="223">
        <v>45078</v>
      </c>
      <c r="F16" s="224"/>
      <c r="G16" s="9"/>
      <c r="I16" s="223">
        <v>45078</v>
      </c>
      <c r="J16" s="224"/>
      <c r="K16" s="9"/>
      <c r="M16" s="223">
        <v>45078</v>
      </c>
      <c r="N16" s="224"/>
      <c r="O16" s="9"/>
    </row>
    <row r="17" spans="1:15" ht="15">
      <c r="A17" s="223">
        <v>45108</v>
      </c>
      <c r="B17" s="15"/>
      <c r="C17" s="221"/>
      <c r="E17" s="223">
        <v>45108</v>
      </c>
      <c r="F17" s="224"/>
      <c r="G17" s="9"/>
      <c r="I17" s="223">
        <v>45108</v>
      </c>
      <c r="J17" s="224"/>
      <c r="K17" s="9"/>
      <c r="M17" s="223">
        <v>45108</v>
      </c>
      <c r="N17" s="224"/>
      <c r="O17" s="9"/>
    </row>
    <row r="18" spans="1:15" ht="15">
      <c r="A18" s="223">
        <v>45139</v>
      </c>
      <c r="B18" s="15"/>
      <c r="C18" s="221"/>
      <c r="E18" s="223">
        <v>45139</v>
      </c>
      <c r="F18" s="224"/>
      <c r="G18" s="9"/>
      <c r="I18" s="223">
        <v>45139</v>
      </c>
      <c r="J18" s="224"/>
      <c r="K18" s="9"/>
      <c r="M18" s="223">
        <v>45139</v>
      </c>
      <c r="N18" s="224"/>
      <c r="O18" s="9"/>
    </row>
    <row r="19" spans="1:15" ht="15">
      <c r="A19" s="223">
        <v>45170</v>
      </c>
      <c r="B19" s="15"/>
      <c r="C19" s="221"/>
      <c r="E19" s="223">
        <v>45170</v>
      </c>
      <c r="F19" s="224"/>
      <c r="G19" s="9"/>
      <c r="I19" s="223">
        <v>45170</v>
      </c>
      <c r="J19" s="224"/>
      <c r="K19" s="9"/>
      <c r="M19" s="223">
        <v>45170</v>
      </c>
      <c r="N19" s="224"/>
      <c r="O19" s="9"/>
    </row>
    <row r="20" spans="1:15" ht="15">
      <c r="A20" s="223">
        <v>45200</v>
      </c>
      <c r="B20" s="15"/>
      <c r="C20" s="221"/>
      <c r="E20" s="223">
        <v>45200</v>
      </c>
      <c r="F20" s="224"/>
      <c r="G20" s="9"/>
      <c r="I20" s="223">
        <v>45200</v>
      </c>
      <c r="J20" s="224"/>
      <c r="K20" s="9"/>
      <c r="M20" s="223">
        <v>45200</v>
      </c>
      <c r="N20" s="224"/>
      <c r="O20" s="9"/>
    </row>
    <row r="21" spans="1:15" ht="15">
      <c r="A21" s="223">
        <v>45231</v>
      </c>
      <c r="B21" s="15"/>
      <c r="C21" s="221"/>
      <c r="E21" s="223">
        <v>45231</v>
      </c>
      <c r="F21" s="224"/>
      <c r="G21" s="9"/>
      <c r="I21" s="223">
        <v>45231</v>
      </c>
      <c r="J21" s="225"/>
      <c r="K21" s="9"/>
      <c r="M21" s="223">
        <v>45231</v>
      </c>
      <c r="N21" s="225"/>
      <c r="O21" s="9"/>
    </row>
    <row r="22" spans="1:15" ht="15.75" thickBot="1">
      <c r="A22" s="226">
        <v>45261</v>
      </c>
      <c r="B22" s="18"/>
      <c r="C22" s="227"/>
      <c r="E22" s="226">
        <v>45261</v>
      </c>
      <c r="F22" s="228"/>
      <c r="G22" s="19"/>
      <c r="I22" s="226">
        <v>45261</v>
      </c>
      <c r="J22" s="228"/>
      <c r="K22" s="19"/>
      <c r="M22" s="226">
        <v>45261</v>
      </c>
      <c r="N22" s="228"/>
      <c r="O22" s="19"/>
    </row>
    <row r="23" spans="1:15">
      <c r="B23" s="13"/>
      <c r="C23" s="13"/>
    </row>
    <row r="24" spans="1:15" ht="15" thickBot="1">
      <c r="B24" s="13"/>
      <c r="C24" s="13"/>
    </row>
    <row r="25" spans="1:15" s="218" customFormat="1" ht="30.75" customHeight="1" thickBot="1">
      <c r="A25" s="866" t="str">
        <f>'10_Assuntos_+_demadados_2023'!A11</f>
        <v>Poluição sonora - PSIU</v>
      </c>
      <c r="B25" s="866"/>
      <c r="C25" s="866"/>
      <c r="E25" s="865" t="str">
        <f>'10_Assuntos_+_demadados_2023'!A12</f>
        <v>Sinalização e Circulação de veículos e Pedestres</v>
      </c>
      <c r="F25" s="865"/>
      <c r="G25" s="865"/>
      <c r="I25" s="867" t="str">
        <f>'10_Assuntos_+_demadados_2023'!A13</f>
        <v>Drenagem de água de chuva</v>
      </c>
      <c r="J25" s="867"/>
      <c r="K25" s="867"/>
      <c r="M25" s="865" t="str">
        <f>'10_Assuntos_+_demadados_2023'!A14</f>
        <v>Calçadas, guias e postes</v>
      </c>
      <c r="N25" s="865"/>
      <c r="O25" s="865"/>
    </row>
    <row r="26" spans="1:15" ht="15.75" thickBot="1">
      <c r="A26" s="4" t="s">
        <v>2</v>
      </c>
      <c r="B26" s="229" t="s">
        <v>221</v>
      </c>
      <c r="C26" s="230" t="s">
        <v>222</v>
      </c>
      <c r="E26" s="5" t="s">
        <v>2</v>
      </c>
      <c r="F26" s="5" t="s">
        <v>221</v>
      </c>
      <c r="G26" s="5" t="s">
        <v>222</v>
      </c>
      <c r="I26" s="4" t="s">
        <v>2</v>
      </c>
      <c r="J26" s="219" t="s">
        <v>221</v>
      </c>
      <c r="K26" s="219" t="s">
        <v>222</v>
      </c>
      <c r="M26" s="4" t="s">
        <v>2</v>
      </c>
      <c r="N26" s="230" t="s">
        <v>221</v>
      </c>
      <c r="O26" s="219" t="s">
        <v>222</v>
      </c>
    </row>
    <row r="27" spans="1:15" ht="15">
      <c r="A27" s="220">
        <v>44927</v>
      </c>
      <c r="B27" s="222">
        <f>'10_Assuntos_+_demadados_2023'!M11</f>
        <v>239</v>
      </c>
      <c r="C27" s="9">
        <f>((B27-192)/192)*100</f>
        <v>24.479166666666664</v>
      </c>
      <c r="E27" s="220">
        <v>44927</v>
      </c>
      <c r="F27" s="222">
        <f>'10_Assuntos_+_demadados_2023'!M12</f>
        <v>129</v>
      </c>
      <c r="G27" s="9">
        <f>((F27-108)/108)*100</f>
        <v>19.444444444444446</v>
      </c>
      <c r="I27" s="220">
        <v>44927</v>
      </c>
      <c r="J27" s="222">
        <f>'10_Assuntos_+_demadados_2023'!M13</f>
        <v>118</v>
      </c>
      <c r="K27" s="9">
        <f>((J27-117)/117)*100</f>
        <v>0.85470085470085477</v>
      </c>
      <c r="M27" s="220">
        <v>44927</v>
      </c>
      <c r="N27" s="222">
        <f>'10_Assuntos_+_demadados_2023'!M14</f>
        <v>91</v>
      </c>
      <c r="O27" s="221">
        <f>((N27-89)/89)*100</f>
        <v>2.2471910112359552</v>
      </c>
    </row>
    <row r="28" spans="1:15" ht="15">
      <c r="A28" s="223">
        <v>44958</v>
      </c>
      <c r="B28" s="224">
        <f>'10_Assuntos_+_demadados_2023'!L11</f>
        <v>193</v>
      </c>
      <c r="C28" s="9">
        <f>((B28-B27)/B27)*100</f>
        <v>-19.246861924686193</v>
      </c>
      <c r="E28" s="223">
        <v>44958</v>
      </c>
      <c r="F28" s="224">
        <f>'10_Assuntos_+_demadados_2023'!L12</f>
        <v>149</v>
      </c>
      <c r="G28" s="9">
        <f>((F28-F27)/F27)*100</f>
        <v>15.503875968992247</v>
      </c>
      <c r="I28" s="223">
        <v>44958</v>
      </c>
      <c r="J28" s="224">
        <f>'10_Assuntos_+_demadados_2023'!L13</f>
        <v>135</v>
      </c>
      <c r="K28" s="9">
        <f>((J28-J27)/J27)*100</f>
        <v>14.40677966101695</v>
      </c>
      <c r="M28" s="223">
        <v>44958</v>
      </c>
      <c r="N28" s="224">
        <f>'10_Assuntos_+_demadados_2023'!L14</f>
        <v>139</v>
      </c>
      <c r="O28" s="221">
        <f>((N28-N27)/N27)*100</f>
        <v>52.747252747252752</v>
      </c>
    </row>
    <row r="29" spans="1:15" ht="15">
      <c r="A29" s="223">
        <v>44986</v>
      </c>
      <c r="B29" s="224">
        <f>'10_Assuntos_+_demadados_2023'!K11</f>
        <v>215</v>
      </c>
      <c r="C29" s="9">
        <f>((B29-B28)/B28)*100</f>
        <v>11.398963730569948</v>
      </c>
      <c r="E29" s="223">
        <v>44986</v>
      </c>
      <c r="F29" s="224">
        <f>'10_Assuntos_+_demadados_2023'!K12</f>
        <v>164</v>
      </c>
      <c r="G29" s="9">
        <f>((F29-F28)/F28)*100</f>
        <v>10.067114093959731</v>
      </c>
      <c r="I29" s="223">
        <v>44986</v>
      </c>
      <c r="J29" s="224">
        <f>'10_Assuntos_+_demadados_2023'!K13</f>
        <v>176</v>
      </c>
      <c r="K29" s="9">
        <f>((J29-J28)/J28)*100</f>
        <v>30.37037037037037</v>
      </c>
      <c r="M29" s="223">
        <v>44986</v>
      </c>
      <c r="N29" s="224">
        <f>'10_Assuntos_+_demadados_2023'!K14</f>
        <v>157</v>
      </c>
      <c r="O29" s="221">
        <f>((N29-N28)/N28)*100</f>
        <v>12.949640287769784</v>
      </c>
    </row>
    <row r="30" spans="1:15" ht="15">
      <c r="A30" s="223">
        <v>45017</v>
      </c>
      <c r="B30" s="224">
        <f>'10_Assuntos_+_demadados_2023'!J11</f>
        <v>160</v>
      </c>
      <c r="C30" s="9">
        <f>((B30-B29)/B29)*100</f>
        <v>-25.581395348837212</v>
      </c>
      <c r="E30" s="223">
        <v>45017</v>
      </c>
      <c r="F30" s="224">
        <f>'10_Assuntos_+_demadados_2023'!J12</f>
        <v>128</v>
      </c>
      <c r="G30" s="9">
        <f>((F30-F29)/F29)*100</f>
        <v>-21.951219512195124</v>
      </c>
      <c r="I30" s="223">
        <v>45017</v>
      </c>
      <c r="J30" s="224">
        <f>'10_Assuntos_+_demadados_2023'!J13</f>
        <v>130</v>
      </c>
      <c r="K30" s="9">
        <f>((J30-J29)/J29)*100</f>
        <v>-26.136363636363637</v>
      </c>
      <c r="M30" s="223">
        <v>45017</v>
      </c>
      <c r="N30" s="224">
        <f>'10_Assuntos_+_demadados_2023'!J14</f>
        <v>116</v>
      </c>
      <c r="O30" s="221">
        <f>((N30-N29)/N29)*100</f>
        <v>-26.114649681528661</v>
      </c>
    </row>
    <row r="31" spans="1:15" ht="15">
      <c r="A31" s="223">
        <v>45047</v>
      </c>
      <c r="B31" s="231"/>
      <c r="C31" s="9"/>
      <c r="E31" s="223">
        <v>45047</v>
      </c>
      <c r="F31" s="224"/>
      <c r="G31" s="9"/>
      <c r="I31" s="223">
        <v>45047</v>
      </c>
      <c r="J31" s="224"/>
      <c r="K31" s="9"/>
      <c r="M31" s="223">
        <v>45047</v>
      </c>
      <c r="N31" s="224"/>
      <c r="O31" s="221"/>
    </row>
    <row r="32" spans="1:15" ht="15">
      <c r="A32" s="223">
        <v>45078</v>
      </c>
      <c r="B32" s="224"/>
      <c r="C32" s="9"/>
      <c r="E32" s="223">
        <v>45078</v>
      </c>
      <c r="F32" s="224"/>
      <c r="G32" s="9"/>
      <c r="I32" s="223">
        <v>45078</v>
      </c>
      <c r="J32" s="224"/>
      <c r="K32" s="9"/>
      <c r="M32" s="223">
        <v>45078</v>
      </c>
      <c r="N32" s="224"/>
      <c r="O32" s="221"/>
    </row>
    <row r="33" spans="1:15" ht="15">
      <c r="A33" s="223">
        <v>45108</v>
      </c>
      <c r="B33" s="224"/>
      <c r="C33" s="9"/>
      <c r="E33" s="223">
        <v>45108</v>
      </c>
      <c r="F33" s="224"/>
      <c r="G33" s="9"/>
      <c r="I33" s="223">
        <v>45108</v>
      </c>
      <c r="J33" s="224"/>
      <c r="K33" s="9"/>
      <c r="M33" s="223">
        <v>45108</v>
      </c>
      <c r="N33" s="224"/>
      <c r="O33" s="221"/>
    </row>
    <row r="34" spans="1:15" ht="15">
      <c r="A34" s="223">
        <v>45139</v>
      </c>
      <c r="B34" s="224"/>
      <c r="C34" s="9"/>
      <c r="E34" s="223">
        <v>45139</v>
      </c>
      <c r="F34" s="224"/>
      <c r="G34" s="9"/>
      <c r="I34" s="223">
        <v>45139</v>
      </c>
      <c r="J34" s="224"/>
      <c r="K34" s="9"/>
      <c r="M34" s="223">
        <v>45139</v>
      </c>
      <c r="N34" s="224"/>
      <c r="O34" s="221"/>
    </row>
    <row r="35" spans="1:15" ht="15">
      <c r="A35" s="223">
        <v>45170</v>
      </c>
      <c r="B35" s="224"/>
      <c r="C35" s="9"/>
      <c r="E35" s="223">
        <v>45170</v>
      </c>
      <c r="F35" s="224"/>
      <c r="G35" s="9"/>
      <c r="I35" s="223">
        <v>45170</v>
      </c>
      <c r="J35" s="224"/>
      <c r="K35" s="9"/>
      <c r="M35" s="223">
        <v>45170</v>
      </c>
      <c r="N35" s="224"/>
      <c r="O35" s="221"/>
    </row>
    <row r="36" spans="1:15" ht="15">
      <c r="A36" s="223">
        <v>45200</v>
      </c>
      <c r="B36" s="224"/>
      <c r="C36" s="9"/>
      <c r="E36" s="223">
        <v>45200</v>
      </c>
      <c r="F36" s="224"/>
      <c r="G36" s="9"/>
      <c r="I36" s="223">
        <v>45200</v>
      </c>
      <c r="J36" s="224"/>
      <c r="K36" s="9"/>
      <c r="M36" s="223">
        <v>45200</v>
      </c>
      <c r="N36" s="224"/>
      <c r="O36" s="221"/>
    </row>
    <row r="37" spans="1:15" ht="15">
      <c r="A37" s="223">
        <v>45231</v>
      </c>
      <c r="B37" s="224"/>
      <c r="C37" s="9"/>
      <c r="E37" s="223">
        <v>45231</v>
      </c>
      <c r="F37" s="224"/>
      <c r="G37" s="9"/>
      <c r="I37" s="223">
        <v>45231</v>
      </c>
      <c r="J37" s="224"/>
      <c r="K37" s="9"/>
      <c r="M37" s="223">
        <v>45231</v>
      </c>
      <c r="N37" s="224"/>
      <c r="O37" s="221"/>
    </row>
    <row r="38" spans="1:15" ht="15.75" thickBot="1">
      <c r="A38" s="226">
        <v>45261</v>
      </c>
      <c r="B38" s="228"/>
      <c r="C38" s="19"/>
      <c r="E38" s="226">
        <v>45261</v>
      </c>
      <c r="F38" s="228"/>
      <c r="G38" s="19"/>
      <c r="I38" s="226">
        <v>45261</v>
      </c>
      <c r="J38" s="228"/>
      <c r="K38" s="19"/>
      <c r="M38" s="226">
        <v>45261</v>
      </c>
      <c r="N38" s="228"/>
      <c r="O38" s="227"/>
    </row>
    <row r="39" spans="1:15">
      <c r="B39" s="13"/>
      <c r="C39" s="13"/>
    </row>
    <row r="40" spans="1:15" ht="15" thickBot="1">
      <c r="B40" s="13"/>
      <c r="C40" s="13"/>
    </row>
    <row r="41" spans="1:15" ht="30.75" customHeight="1" thickBot="1">
      <c r="A41" s="865" t="str">
        <f>'10_Assuntos_+_demadados_2023'!A15</f>
        <v>Capinação e roçada de áreas verdes</v>
      </c>
      <c r="B41" s="865"/>
      <c r="C41" s="865"/>
      <c r="E41" s="865" t="str">
        <f>'10_Assuntos_+_demadados_2023'!A16</f>
        <v>Multas de trânsito</v>
      </c>
      <c r="F41" s="865"/>
      <c r="G41" s="865"/>
    </row>
    <row r="42" spans="1:15" ht="15.75" thickBot="1">
      <c r="A42" s="4" t="s">
        <v>2</v>
      </c>
      <c r="B42" s="219" t="s">
        <v>221</v>
      </c>
      <c r="C42" s="219" t="s">
        <v>222</v>
      </c>
      <c r="E42" s="4" t="s">
        <v>2</v>
      </c>
      <c r="F42" s="219" t="s">
        <v>221</v>
      </c>
      <c r="G42" s="219" t="s">
        <v>222</v>
      </c>
    </row>
    <row r="43" spans="1:15" ht="15">
      <c r="A43" s="220">
        <v>44927</v>
      </c>
      <c r="B43" s="224">
        <f>'10_Assuntos_+_demadados_2023'!M15</f>
        <v>81</v>
      </c>
      <c r="C43" s="9">
        <f>((B43-103)/103)*100</f>
        <v>-21.359223300970871</v>
      </c>
      <c r="E43" s="220">
        <v>44927</v>
      </c>
      <c r="F43" s="222">
        <f>'10_Assuntos_+_demadados_2023'!M16</f>
        <v>151</v>
      </c>
      <c r="G43" s="9">
        <f>((F43-99)/99)*100</f>
        <v>52.525252525252533</v>
      </c>
    </row>
    <row r="44" spans="1:15" ht="15">
      <c r="A44" s="223">
        <v>44958</v>
      </c>
      <c r="B44" s="224">
        <f>'10_Assuntos_+_demadados_2023'!L15</f>
        <v>123</v>
      </c>
      <c r="C44" s="9">
        <f>((B44-B43)/B43)*100</f>
        <v>51.851851851851848</v>
      </c>
      <c r="E44" s="223">
        <v>44958</v>
      </c>
      <c r="F44" s="224">
        <f>'10_Assuntos_+_demadados_2023'!L16</f>
        <v>144</v>
      </c>
      <c r="G44" s="9">
        <f>((F44-F43)/F43)*100</f>
        <v>-4.6357615894039732</v>
      </c>
    </row>
    <row r="45" spans="1:15" ht="15">
      <c r="A45" s="223">
        <v>44986</v>
      </c>
      <c r="B45" s="224">
        <f>'10_Assuntos_+_demadados_2023'!K15</f>
        <v>155</v>
      </c>
      <c r="C45" s="9">
        <f>((B45-B44)/B44)*100</f>
        <v>26.016260162601629</v>
      </c>
      <c r="E45" s="223">
        <v>44986</v>
      </c>
      <c r="F45" s="224">
        <f>'10_Assuntos_+_demadados_2023'!K16</f>
        <v>112</v>
      </c>
      <c r="G45" s="9">
        <f>((F45-F44)/F44)*100</f>
        <v>-22.222222222222221</v>
      </c>
    </row>
    <row r="46" spans="1:15" ht="15">
      <c r="A46" s="223">
        <v>45017</v>
      </c>
      <c r="B46" s="224">
        <f>'10_Assuntos_+_demadados_2023'!J15</f>
        <v>139</v>
      </c>
      <c r="C46" s="9">
        <f>((B46-B45)/B45)*100</f>
        <v>-10.32258064516129</v>
      </c>
      <c r="E46" s="223">
        <v>45017</v>
      </c>
      <c r="F46" s="224">
        <f>'10_Assuntos_+_demadados_2023'!J16</f>
        <v>74</v>
      </c>
      <c r="G46" s="9">
        <f>((F46-F45)/F45)*100</f>
        <v>-33.928571428571431</v>
      </c>
    </row>
    <row r="47" spans="1:15" ht="15">
      <c r="A47" s="223">
        <v>45047</v>
      </c>
      <c r="B47" s="224"/>
      <c r="C47" s="9"/>
      <c r="E47" s="223">
        <v>45047</v>
      </c>
      <c r="F47" s="224"/>
      <c r="G47" s="9"/>
    </row>
    <row r="48" spans="1:15" ht="15">
      <c r="A48" s="223">
        <v>45078</v>
      </c>
      <c r="B48" s="224"/>
      <c r="C48" s="9"/>
      <c r="E48" s="223">
        <v>45078</v>
      </c>
      <c r="F48" s="224"/>
      <c r="G48" s="9"/>
    </row>
    <row r="49" spans="1:7" ht="15">
      <c r="A49" s="223">
        <v>45108</v>
      </c>
      <c r="B49" s="224"/>
      <c r="C49" s="9"/>
      <c r="E49" s="223">
        <v>45108</v>
      </c>
      <c r="F49" s="224"/>
      <c r="G49" s="9"/>
    </row>
    <row r="50" spans="1:7" ht="15">
      <c r="A50" s="223">
        <v>45139</v>
      </c>
      <c r="B50" s="224"/>
      <c r="C50" s="9"/>
      <c r="E50" s="223">
        <v>45139</v>
      </c>
      <c r="F50" s="224"/>
      <c r="G50" s="9"/>
    </row>
    <row r="51" spans="1:7" ht="15">
      <c r="A51" s="223">
        <v>45170</v>
      </c>
      <c r="B51" s="224"/>
      <c r="C51" s="9"/>
      <c r="E51" s="223">
        <v>45170</v>
      </c>
      <c r="F51" s="224"/>
      <c r="G51" s="9"/>
    </row>
    <row r="52" spans="1:7" ht="15">
      <c r="A52" s="223">
        <v>45200</v>
      </c>
      <c r="B52" s="224"/>
      <c r="C52" s="9"/>
      <c r="E52" s="223">
        <v>45200</v>
      </c>
      <c r="F52" s="224"/>
      <c r="G52" s="9"/>
    </row>
    <row r="53" spans="1:7" ht="15">
      <c r="A53" s="223">
        <v>45231</v>
      </c>
      <c r="B53" s="225"/>
      <c r="C53" s="9"/>
      <c r="E53" s="223">
        <v>45231</v>
      </c>
      <c r="F53" s="224"/>
      <c r="G53" s="9"/>
    </row>
    <row r="54" spans="1:7" ht="15.75" thickBot="1">
      <c r="A54" s="226">
        <v>45261</v>
      </c>
      <c r="B54" s="228"/>
      <c r="C54" s="19"/>
      <c r="E54" s="226">
        <v>45261</v>
      </c>
      <c r="F54" s="228"/>
      <c r="G54" s="19"/>
    </row>
    <row r="55" spans="1:7">
      <c r="B55" s="13"/>
      <c r="C55" s="13"/>
    </row>
    <row r="56" spans="1:7">
      <c r="B56" s="13"/>
      <c r="C56" s="13"/>
    </row>
    <row r="61" spans="1:7" ht="15">
      <c r="A61" s="106"/>
    </row>
    <row r="65" spans="17:17">
      <c r="Q65" s="179"/>
    </row>
  </sheetData>
  <mergeCells count="11">
    <mergeCell ref="A41:C41"/>
    <mergeCell ref="E41:G41"/>
    <mergeCell ref="A6:E6"/>
    <mergeCell ref="A9:C9"/>
    <mergeCell ref="E9:G9"/>
    <mergeCell ref="I9:K9"/>
    <mergeCell ref="M9:O9"/>
    <mergeCell ref="A25:C25"/>
    <mergeCell ref="E25:G25"/>
    <mergeCell ref="I25:K25"/>
    <mergeCell ref="M25:O25"/>
  </mergeCells>
  <printOptions horizontalCentered="1" verticalCentered="1"/>
  <pageMargins left="0.511811023622047" right="0.511811023622047" top="0.78740157480315021" bottom="0.78740157480315021" header="0.31496062992126012" footer="0.31496062992126012"/>
  <pageSetup paperSize="0" fitToWidth="0" fitToHeight="0" orientation="landscape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/>
  </sheetViews>
  <sheetFormatPr defaultRowHeight="15"/>
  <cols>
    <col min="1" max="1" width="45.140625" customWidth="1"/>
    <col min="2" max="2" width="8.5703125" customWidth="1"/>
    <col min="3" max="3" width="7.5703125" bestFit="1" customWidth="1"/>
    <col min="4" max="4" width="7.7109375" style="2" bestFit="1" customWidth="1"/>
    <col min="5" max="5" width="6.140625" bestFit="1" customWidth="1"/>
    <col min="6" max="6" width="7.140625" bestFit="1" customWidth="1"/>
    <col min="7" max="7" width="2.85546875" customWidth="1"/>
    <col min="8" max="8" width="9.140625" customWidth="1"/>
  </cols>
  <sheetData>
    <row r="1" spans="1:6">
      <c r="A1" s="1" t="s">
        <v>0</v>
      </c>
      <c r="B1" s="1"/>
      <c r="C1" s="1"/>
    </row>
    <row r="2" spans="1:6">
      <c r="A2" s="1" t="s">
        <v>1</v>
      </c>
      <c r="B2" s="1"/>
      <c r="C2" s="1"/>
    </row>
    <row r="3" spans="1:6">
      <c r="A3" s="1"/>
      <c r="B3" s="1"/>
      <c r="C3" s="1"/>
    </row>
    <row r="4" spans="1:6">
      <c r="A4" s="1" t="s">
        <v>223</v>
      </c>
      <c r="B4" s="1"/>
      <c r="C4" s="1"/>
    </row>
    <row r="5" spans="1:6" ht="15.75" thickBot="1"/>
    <row r="6" spans="1:6" ht="15.75" thickBot="1">
      <c r="A6" s="114" t="s">
        <v>25</v>
      </c>
      <c r="B6" s="232">
        <v>45017</v>
      </c>
      <c r="C6" s="233">
        <v>44986</v>
      </c>
      <c r="D6" s="233">
        <v>44958</v>
      </c>
      <c r="E6" s="68" t="s">
        <v>5</v>
      </c>
      <c r="F6" s="234" t="s">
        <v>6</v>
      </c>
    </row>
    <row r="7" spans="1:6" ht="15.75" thickBot="1">
      <c r="A7" s="235" t="s">
        <v>59</v>
      </c>
      <c r="B7" s="236">
        <v>981</v>
      </c>
      <c r="C7" s="126">
        <v>844</v>
      </c>
      <c r="D7" s="127">
        <v>484</v>
      </c>
      <c r="E7" s="237">
        <f t="shared" ref="E7:E17" si="0">SUM(B7:D7)</f>
        <v>2309</v>
      </c>
      <c r="F7" s="238">
        <f t="shared" ref="F7:F17" si="1">AVERAGE(B7:D7)</f>
        <v>769.66666666666663</v>
      </c>
    </row>
    <row r="8" spans="1:6" ht="15.75" thickBot="1">
      <c r="A8" s="144" t="s">
        <v>57</v>
      </c>
      <c r="B8" s="236">
        <v>379</v>
      </c>
      <c r="C8" s="126">
        <v>313</v>
      </c>
      <c r="D8" s="126">
        <v>290</v>
      </c>
      <c r="E8" s="237">
        <f t="shared" si="0"/>
        <v>982</v>
      </c>
      <c r="F8" s="238">
        <f t="shared" si="1"/>
        <v>327.33333333333331</v>
      </c>
    </row>
    <row r="9" spans="1:6" ht="15.75" thickBot="1">
      <c r="A9" s="139" t="s">
        <v>175</v>
      </c>
      <c r="B9" s="143">
        <v>253</v>
      </c>
      <c r="C9" s="126">
        <v>347</v>
      </c>
      <c r="D9" s="126">
        <v>325</v>
      </c>
      <c r="E9" s="237">
        <f t="shared" si="0"/>
        <v>925</v>
      </c>
      <c r="F9" s="238">
        <f t="shared" si="1"/>
        <v>308.33333333333331</v>
      </c>
    </row>
    <row r="10" spans="1:6" ht="15.75" thickBot="1">
      <c r="A10" s="144" t="s">
        <v>44</v>
      </c>
      <c r="B10" s="143">
        <v>231</v>
      </c>
      <c r="C10" s="126">
        <v>270</v>
      </c>
      <c r="D10" s="126">
        <v>265</v>
      </c>
      <c r="E10" s="237">
        <f t="shared" si="0"/>
        <v>766</v>
      </c>
      <c r="F10" s="238">
        <f t="shared" si="1"/>
        <v>255.33333333333334</v>
      </c>
    </row>
    <row r="11" spans="1:6" ht="15.75" thickBot="1">
      <c r="A11" s="144" t="s">
        <v>158</v>
      </c>
      <c r="B11" s="143">
        <v>160</v>
      </c>
      <c r="C11" s="126">
        <v>215</v>
      </c>
      <c r="D11" s="126">
        <v>193</v>
      </c>
      <c r="E11" s="237">
        <f t="shared" si="0"/>
        <v>568</v>
      </c>
      <c r="F11" s="238">
        <f t="shared" si="1"/>
        <v>189.33333333333334</v>
      </c>
    </row>
    <row r="12" spans="1:6" ht="15.75" thickBot="1">
      <c r="A12" s="144" t="s">
        <v>192</v>
      </c>
      <c r="B12" s="143">
        <v>128</v>
      </c>
      <c r="C12" s="126">
        <v>164</v>
      </c>
      <c r="D12" s="126">
        <v>149</v>
      </c>
      <c r="E12" s="237">
        <f t="shared" si="0"/>
        <v>441</v>
      </c>
      <c r="F12" s="239">
        <f t="shared" si="1"/>
        <v>147</v>
      </c>
    </row>
    <row r="13" spans="1:6" ht="15.75" thickBot="1">
      <c r="A13" s="144" t="s">
        <v>96</v>
      </c>
      <c r="B13" s="143">
        <v>130</v>
      </c>
      <c r="C13" s="126">
        <v>176</v>
      </c>
      <c r="D13" s="126">
        <v>135</v>
      </c>
      <c r="E13" s="237">
        <f t="shared" si="0"/>
        <v>441</v>
      </c>
      <c r="F13" s="238">
        <f t="shared" si="1"/>
        <v>147</v>
      </c>
    </row>
    <row r="14" spans="1:6" ht="15.75" thickBot="1">
      <c r="A14" s="144" t="s">
        <v>62</v>
      </c>
      <c r="B14" s="143">
        <v>139</v>
      </c>
      <c r="C14" s="126">
        <v>155</v>
      </c>
      <c r="D14" s="126">
        <v>123</v>
      </c>
      <c r="E14" s="237">
        <f t="shared" si="0"/>
        <v>417</v>
      </c>
      <c r="F14" s="238">
        <f t="shared" si="1"/>
        <v>139</v>
      </c>
    </row>
    <row r="15" spans="1:6" ht="15.75" thickBot="1">
      <c r="A15" s="144" t="s">
        <v>61</v>
      </c>
      <c r="B15" s="143">
        <v>116</v>
      </c>
      <c r="C15" s="126">
        <v>157</v>
      </c>
      <c r="D15" s="126">
        <v>139</v>
      </c>
      <c r="E15" s="237">
        <f t="shared" si="0"/>
        <v>412</v>
      </c>
      <c r="F15" s="238">
        <f t="shared" si="1"/>
        <v>137.33333333333334</v>
      </c>
    </row>
    <row r="16" spans="1:6" ht="15.75" thickBot="1">
      <c r="A16" s="144" t="s">
        <v>145</v>
      </c>
      <c r="B16" s="143">
        <v>123</v>
      </c>
      <c r="C16" s="126">
        <v>175</v>
      </c>
      <c r="D16" s="126">
        <v>88</v>
      </c>
      <c r="E16" s="240">
        <f t="shared" si="0"/>
        <v>386</v>
      </c>
      <c r="F16" s="238">
        <f t="shared" si="1"/>
        <v>128.66666666666666</v>
      </c>
    </row>
    <row r="17" spans="1:25" ht="15.75" thickBot="1">
      <c r="A17" s="241" t="s">
        <v>15</v>
      </c>
      <c r="B17" s="242">
        <f>SUM(B7:B16)</f>
        <v>2640</v>
      </c>
      <c r="C17" s="242">
        <f>SUM(C7:C16)</f>
        <v>2816</v>
      </c>
      <c r="D17" s="242">
        <f>SUM(D7:D16)</f>
        <v>2191</v>
      </c>
      <c r="E17" s="243">
        <f t="shared" si="0"/>
        <v>7647</v>
      </c>
      <c r="F17" s="161">
        <f t="shared" si="1"/>
        <v>2549</v>
      </c>
    </row>
    <row r="19" spans="1:25">
      <c r="G19" s="2"/>
      <c r="H19" s="6"/>
      <c r="I19" s="244"/>
      <c r="J19" s="244"/>
      <c r="K19" s="244"/>
      <c r="L19" s="245"/>
    </row>
    <row r="20" spans="1:25">
      <c r="G20" s="2"/>
      <c r="H20" s="80"/>
      <c r="I20" s="246"/>
      <c r="J20" s="247"/>
      <c r="K20" s="247"/>
      <c r="L20" s="246"/>
    </row>
    <row r="21" spans="1:25">
      <c r="G21" s="2"/>
      <c r="H21" s="80"/>
      <c r="I21" s="246"/>
      <c r="J21" s="80"/>
      <c r="K21" s="113"/>
      <c r="L21" s="113"/>
      <c r="M21" s="113"/>
      <c r="N21" s="248"/>
      <c r="O21" s="249"/>
    </row>
    <row r="22" spans="1:25">
      <c r="G22" s="2"/>
      <c r="H22" s="80"/>
      <c r="I22" s="246"/>
      <c r="J22" s="80"/>
      <c r="K22" s="110"/>
      <c r="L22" s="250"/>
      <c r="M22" s="250"/>
      <c r="N22" s="251"/>
      <c r="O22" s="250"/>
      <c r="P22" s="250"/>
      <c r="Q22" s="250"/>
      <c r="R22" s="250"/>
      <c r="S22" s="250"/>
      <c r="T22" s="250"/>
      <c r="U22" s="250"/>
      <c r="V22" s="250"/>
      <c r="W22" s="250"/>
      <c r="X22" s="80"/>
      <c r="Y22" s="80"/>
    </row>
    <row r="23" spans="1:25">
      <c r="G23" s="2"/>
      <c r="H23" s="80"/>
      <c r="I23" s="246"/>
      <c r="J23" s="80"/>
      <c r="K23" s="80"/>
      <c r="L23" s="113"/>
      <c r="M23" s="113"/>
      <c r="N23" s="113"/>
      <c r="O23" s="113"/>
      <c r="P23" s="113"/>
      <c r="Q23" s="113"/>
      <c r="R23" s="248"/>
      <c r="S23" s="248"/>
      <c r="T23" s="113"/>
      <c r="U23" s="113"/>
      <c r="V23" s="113"/>
      <c r="W23" s="113"/>
      <c r="X23" s="80"/>
      <c r="Y23" s="80"/>
    </row>
    <row r="24" spans="1:25">
      <c r="G24" s="2"/>
      <c r="H24" s="80"/>
      <c r="I24" s="246"/>
      <c r="J24" s="80"/>
      <c r="K24" s="80"/>
      <c r="L24" s="113"/>
      <c r="M24" s="113"/>
      <c r="N24" s="113"/>
      <c r="O24" s="113"/>
      <c r="P24" s="113"/>
      <c r="Q24" s="113"/>
      <c r="R24" s="248"/>
      <c r="S24" s="248"/>
      <c r="T24" s="113"/>
      <c r="U24" s="113"/>
      <c r="V24" s="113"/>
      <c r="W24" s="111"/>
    </row>
    <row r="25" spans="1:25">
      <c r="G25" s="2"/>
      <c r="H25" s="80"/>
      <c r="I25" s="246"/>
      <c r="J25" s="80"/>
      <c r="K25" s="80"/>
      <c r="L25" s="113"/>
      <c r="M25" s="113"/>
      <c r="N25" s="113"/>
      <c r="O25" s="113"/>
      <c r="P25" s="113"/>
      <c r="Q25" s="113"/>
      <c r="R25" s="248"/>
      <c r="S25" s="248"/>
      <c r="T25" s="113"/>
      <c r="U25" s="113"/>
      <c r="V25" s="113"/>
      <c r="W25" s="111"/>
    </row>
    <row r="26" spans="1:25">
      <c r="G26" s="2"/>
      <c r="H26" s="80"/>
      <c r="I26" s="246"/>
      <c r="J26" s="80"/>
      <c r="K26" s="80"/>
      <c r="L26" s="113"/>
      <c r="M26" s="113"/>
      <c r="N26" s="113"/>
      <c r="O26" s="113"/>
      <c r="P26" s="113"/>
      <c r="Q26" s="113"/>
      <c r="R26" s="248"/>
      <c r="S26" s="248"/>
      <c r="T26" s="113"/>
      <c r="U26" s="113"/>
      <c r="V26" s="113"/>
      <c r="W26" s="111"/>
    </row>
    <row r="27" spans="1:25">
      <c r="G27" s="2"/>
      <c r="H27" s="80"/>
      <c r="I27" s="246"/>
      <c r="J27" s="80"/>
      <c r="K27" s="80"/>
      <c r="L27" s="113"/>
      <c r="M27" s="113"/>
      <c r="N27" s="113"/>
      <c r="O27" s="113"/>
      <c r="P27" s="113"/>
      <c r="Q27" s="113"/>
      <c r="R27" s="248"/>
      <c r="S27" s="248"/>
      <c r="T27" s="113"/>
      <c r="U27" s="113"/>
      <c r="V27" s="113"/>
      <c r="W27" s="111"/>
    </row>
    <row r="28" spans="1:25">
      <c r="G28" s="2"/>
      <c r="H28" s="80"/>
      <c r="I28" s="246"/>
      <c r="J28" s="80"/>
      <c r="K28" s="80"/>
      <c r="L28" s="113"/>
      <c r="M28" s="113"/>
      <c r="N28" s="113"/>
      <c r="O28" s="113"/>
      <c r="P28" s="113"/>
      <c r="Q28" s="113"/>
      <c r="R28" s="248"/>
      <c r="S28" s="248"/>
      <c r="T28" s="113"/>
      <c r="U28" s="113"/>
      <c r="V28" s="113"/>
      <c r="W28" s="111"/>
    </row>
    <row r="29" spans="1:25">
      <c r="H29" s="80"/>
      <c r="I29" s="246"/>
      <c r="J29" s="80"/>
      <c r="K29" s="80"/>
      <c r="L29" s="113"/>
      <c r="M29" s="113"/>
      <c r="N29" s="113"/>
      <c r="O29" s="113"/>
      <c r="P29" s="113"/>
      <c r="Q29" s="113"/>
      <c r="R29" s="248"/>
      <c r="S29" s="248"/>
      <c r="T29" s="113"/>
      <c r="U29" s="113"/>
      <c r="V29" s="113"/>
      <c r="W29" s="111"/>
    </row>
    <row r="30" spans="1:25">
      <c r="H30" s="167"/>
      <c r="I30" s="252"/>
      <c r="J30" s="80"/>
      <c r="K30" s="80"/>
      <c r="L30" s="113"/>
      <c r="M30" s="113"/>
      <c r="N30" s="113"/>
      <c r="O30" s="113"/>
      <c r="P30" s="113"/>
      <c r="Q30" s="113"/>
      <c r="R30" s="248"/>
      <c r="S30" s="248"/>
      <c r="T30" s="113"/>
      <c r="U30" s="113"/>
      <c r="V30" s="113"/>
      <c r="W30" s="111"/>
    </row>
    <row r="31" spans="1:25">
      <c r="H31" s="80"/>
      <c r="I31" s="80"/>
      <c r="J31" s="80"/>
      <c r="K31" s="80"/>
      <c r="L31" s="113"/>
      <c r="M31" s="113"/>
      <c r="N31" s="113"/>
      <c r="O31" s="113"/>
      <c r="P31" s="113"/>
      <c r="Q31" s="113"/>
      <c r="R31" s="248"/>
      <c r="S31" s="248"/>
      <c r="T31" s="113"/>
      <c r="U31" s="113"/>
      <c r="V31" s="113"/>
      <c r="W31" s="111"/>
    </row>
    <row r="32" spans="1:25">
      <c r="K32" s="80"/>
      <c r="L32" s="113"/>
      <c r="M32" s="113"/>
      <c r="N32" s="113"/>
      <c r="O32" s="113"/>
      <c r="P32" s="113"/>
      <c r="Q32" s="113"/>
      <c r="R32" s="248"/>
      <c r="S32" s="248"/>
      <c r="T32" s="113"/>
      <c r="U32" s="113"/>
      <c r="V32" s="113"/>
      <c r="W32" s="111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I1" sqref="I1"/>
    </sheetView>
  </sheetViews>
  <sheetFormatPr defaultRowHeight="15"/>
  <cols>
    <col min="1" max="1" width="43.5703125" customWidth="1"/>
    <col min="2" max="2" width="10.42578125" customWidth="1"/>
    <col min="3" max="9" width="9.140625" customWidth="1"/>
    <col min="10" max="10" width="39.28515625" customWidth="1"/>
    <col min="11" max="11" width="9.140625" customWidth="1"/>
    <col min="12" max="12" width="9.140625" style="253" customWidth="1"/>
    <col min="13" max="13" width="8.7109375" style="253" customWidth="1"/>
    <col min="14" max="14" width="7.7109375" style="253" customWidth="1"/>
    <col min="15" max="15" width="9.7109375" style="253" customWidth="1"/>
    <col min="16" max="16" width="8.42578125" style="253" customWidth="1"/>
    <col min="17" max="17" width="9.140625" style="253" customWidth="1"/>
    <col min="18" max="18" width="9.42578125" style="253" customWidth="1"/>
    <col min="19" max="19" width="9.85546875" style="253" customWidth="1"/>
    <col min="20" max="20" width="10.28515625" style="253" customWidth="1"/>
    <col min="21" max="21" width="8" style="253" customWidth="1"/>
    <col min="22" max="22" width="9.140625" style="253" customWidth="1"/>
    <col min="23" max="23" width="9.140625" customWidth="1"/>
  </cols>
  <sheetData>
    <row r="1" spans="1:2">
      <c r="A1" s="1" t="s">
        <v>0</v>
      </c>
    </row>
    <row r="2" spans="1:2">
      <c r="A2" s="1" t="s">
        <v>1</v>
      </c>
    </row>
    <row r="3" spans="1:2">
      <c r="A3" s="1"/>
    </row>
    <row r="4" spans="1:2">
      <c r="A4" s="106" t="s">
        <v>224</v>
      </c>
    </row>
    <row r="5" spans="1:2" ht="15.75" thickBot="1"/>
    <row r="6" spans="1:2" ht="15.75" thickBot="1">
      <c r="A6" s="114" t="s">
        <v>25</v>
      </c>
      <c r="B6" s="254">
        <v>45017</v>
      </c>
    </row>
    <row r="7" spans="1:2">
      <c r="A7" s="255" t="s">
        <v>59</v>
      </c>
      <c r="B7" s="127">
        <v>981</v>
      </c>
    </row>
    <row r="8" spans="1:2">
      <c r="A8" s="256" t="s">
        <v>57</v>
      </c>
      <c r="B8" s="126">
        <v>379</v>
      </c>
    </row>
    <row r="9" spans="1:2">
      <c r="A9" s="257" t="s">
        <v>175</v>
      </c>
      <c r="B9" s="126">
        <v>253</v>
      </c>
    </row>
    <row r="10" spans="1:2">
      <c r="A10" s="257" t="s">
        <v>44</v>
      </c>
      <c r="B10" s="126">
        <v>231</v>
      </c>
    </row>
    <row r="11" spans="1:2">
      <c r="A11" s="257" t="s">
        <v>158</v>
      </c>
      <c r="B11" s="126">
        <v>160</v>
      </c>
    </row>
    <row r="12" spans="1:2">
      <c r="A12" s="257" t="s">
        <v>62</v>
      </c>
      <c r="B12" s="126">
        <v>139</v>
      </c>
    </row>
    <row r="13" spans="1:2">
      <c r="A13" s="257" t="s">
        <v>96</v>
      </c>
      <c r="B13" s="126">
        <v>130</v>
      </c>
    </row>
    <row r="14" spans="1:2">
      <c r="A14" s="257" t="s">
        <v>192</v>
      </c>
      <c r="B14" s="126">
        <v>128</v>
      </c>
    </row>
    <row r="15" spans="1:2">
      <c r="A15" s="257" t="s">
        <v>145</v>
      </c>
      <c r="B15" s="126">
        <v>123</v>
      </c>
    </row>
    <row r="16" spans="1:2" ht="15.75" thickBot="1">
      <c r="A16" s="258" t="s">
        <v>61</v>
      </c>
      <c r="B16" s="156">
        <v>116</v>
      </c>
    </row>
    <row r="17" spans="1:25" s="131" customFormat="1" ht="15.75" thickBot="1">
      <c r="A17" s="259" t="s">
        <v>5</v>
      </c>
      <c r="B17" s="260">
        <f>SUM(B7:B16)</f>
        <v>2640</v>
      </c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</row>
    <row r="18" spans="1:25" s="131" customFormat="1">
      <c r="A18" s="262"/>
      <c r="B18" s="263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</row>
    <row r="19" spans="1:25">
      <c r="A19" s="264"/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</row>
    <row r="20" spans="1:25">
      <c r="A20" s="266"/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67"/>
      <c r="M20" s="267"/>
      <c r="N20" s="267"/>
      <c r="O20" s="267"/>
      <c r="P20" s="265"/>
      <c r="Q20" s="265"/>
      <c r="R20" s="265"/>
    </row>
    <row r="21" spans="1:25" ht="15" customHeight="1">
      <c r="A21" s="266"/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67"/>
      <c r="M21" s="267"/>
      <c r="N21" s="267"/>
      <c r="O21" s="267"/>
      <c r="P21" s="265"/>
      <c r="Q21" s="265"/>
      <c r="R21" s="265"/>
      <c r="U21" s="265"/>
      <c r="V21" s="265"/>
    </row>
    <row r="22" spans="1:25" s="253" customFormat="1" ht="15" customHeight="1">
      <c r="A22" s="266"/>
      <c r="Q22" s="265"/>
      <c r="R22" s="265"/>
    </row>
    <row r="23" spans="1:25" s="253" customFormat="1" ht="70.5" customHeight="1">
      <c r="A23" s="268"/>
      <c r="B23" s="267"/>
      <c r="C23" s="267"/>
      <c r="D23" s="267"/>
      <c r="E23" s="267"/>
      <c r="F23" s="267"/>
      <c r="G23" s="267"/>
      <c r="H23" s="267"/>
      <c r="I23" s="267"/>
      <c r="J23" s="267"/>
      <c r="K23" s="267"/>
      <c r="L23" s="267"/>
      <c r="M23" s="267"/>
      <c r="Q23" s="265"/>
      <c r="R23" s="265"/>
    </row>
    <row r="24" spans="1:25" s="253" customFormat="1">
      <c r="B24" s="269" t="str">
        <f>A7</f>
        <v>Cadastro Único (CadÚnico)</v>
      </c>
      <c r="C24" s="269" t="str">
        <f>A8</f>
        <v>Buraco e pavimentação</v>
      </c>
      <c r="D24" s="269" t="str">
        <f>A9</f>
        <v>Qualidade de atendimento</v>
      </c>
      <c r="E24" s="269" t="str">
        <f>A10</f>
        <v>Árvore</v>
      </c>
      <c r="F24" s="269" t="str">
        <f>A11</f>
        <v>Poluição sonora - PSIU</v>
      </c>
      <c r="G24" s="269" t="str">
        <f>A12</f>
        <v>Capinação e roçada de áreas verdes</v>
      </c>
      <c r="H24" s="269" t="str">
        <f>A13</f>
        <v>Drenagem de água de chuva</v>
      </c>
      <c r="I24" s="269" t="str">
        <f>A14</f>
        <v>Sinalização e Circulação de veículos e Pedestres</v>
      </c>
      <c r="J24" s="269" t="str">
        <f>A15</f>
        <v>Ônibus</v>
      </c>
      <c r="K24" s="269" t="str">
        <f>A16</f>
        <v>Calçadas, guias e postes</v>
      </c>
      <c r="L24" s="269" t="s">
        <v>5</v>
      </c>
      <c r="M24" s="267"/>
      <c r="N24" s="270"/>
      <c r="O24" s="270"/>
      <c r="P24" s="270"/>
      <c r="Q24" s="270"/>
      <c r="R24" s="270"/>
      <c r="S24" s="270"/>
      <c r="T24" s="271"/>
      <c r="U24" s="271"/>
      <c r="V24" s="270"/>
      <c r="W24" s="270"/>
      <c r="X24" s="270"/>
      <c r="Y24" s="270"/>
    </row>
    <row r="25" spans="1:25" s="253" customFormat="1">
      <c r="C25" s="269">
        <f>B8</f>
        <v>379</v>
      </c>
      <c r="D25" s="269">
        <f>B9</f>
        <v>253</v>
      </c>
      <c r="E25" s="269">
        <f>B10</f>
        <v>231</v>
      </c>
      <c r="F25" s="269">
        <f>B11</f>
        <v>160</v>
      </c>
      <c r="G25" s="269">
        <f>B12</f>
        <v>139</v>
      </c>
      <c r="H25" s="269">
        <f>B13</f>
        <v>130</v>
      </c>
      <c r="I25" s="269">
        <f>B14</f>
        <v>128</v>
      </c>
      <c r="J25" s="269">
        <f>B15</f>
        <v>123</v>
      </c>
      <c r="K25" s="269">
        <f>B16</f>
        <v>116</v>
      </c>
      <c r="L25" s="269"/>
      <c r="M25" s="267"/>
      <c r="N25" s="270"/>
      <c r="O25" s="270"/>
      <c r="P25" s="270"/>
      <c r="Q25" s="270"/>
      <c r="R25" s="270"/>
      <c r="S25" s="270"/>
      <c r="T25" s="271"/>
      <c r="U25" s="271"/>
      <c r="V25" s="270"/>
      <c r="W25" s="270"/>
      <c r="X25" s="270"/>
      <c r="Y25" s="270"/>
    </row>
    <row r="26" spans="1:25" s="253" customFormat="1">
      <c r="B26" s="269">
        <f>B7</f>
        <v>981</v>
      </c>
      <c r="C26" s="269"/>
      <c r="D26" s="269"/>
      <c r="E26" s="269"/>
      <c r="F26" s="269"/>
      <c r="G26" s="269"/>
      <c r="H26" s="269"/>
      <c r="I26" s="269"/>
      <c r="J26" s="269"/>
      <c r="K26" s="269"/>
      <c r="L26" s="269">
        <v>4687</v>
      </c>
      <c r="M26" s="267"/>
      <c r="N26" s="270"/>
      <c r="O26" s="270"/>
      <c r="P26" s="270"/>
      <c r="Q26" s="270"/>
      <c r="R26" s="270"/>
      <c r="S26" s="270"/>
      <c r="T26" s="271"/>
      <c r="U26" s="271"/>
      <c r="V26" s="270"/>
      <c r="W26" s="270"/>
      <c r="X26" s="270"/>
      <c r="Y26" s="270"/>
    </row>
    <row r="27" spans="1:25" s="253" customFormat="1">
      <c r="A27" s="267"/>
      <c r="B27" s="267"/>
      <c r="C27" s="267"/>
      <c r="D27" s="267"/>
      <c r="E27" s="267"/>
      <c r="F27" s="267"/>
      <c r="G27" s="267"/>
      <c r="H27" s="267"/>
      <c r="I27" s="267"/>
      <c r="J27" s="272"/>
      <c r="K27" s="267"/>
      <c r="L27" s="267"/>
      <c r="M27" s="267"/>
      <c r="N27" s="270"/>
      <c r="O27" s="270"/>
      <c r="P27" s="270"/>
      <c r="Q27" s="273"/>
      <c r="R27" s="273"/>
      <c r="S27" s="270"/>
      <c r="T27" s="271"/>
      <c r="U27" s="271"/>
      <c r="V27" s="270"/>
      <c r="W27" s="270"/>
      <c r="X27" s="270"/>
      <c r="Y27" s="270"/>
    </row>
    <row r="28" spans="1:25" s="253" customFormat="1">
      <c r="A28" s="267"/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7"/>
      <c r="N28" s="270"/>
      <c r="O28" s="270"/>
      <c r="P28" s="270"/>
      <c r="Q28" s="273"/>
      <c r="R28" s="273"/>
      <c r="S28" s="270"/>
      <c r="T28" s="271"/>
      <c r="U28" s="271"/>
      <c r="V28" s="270"/>
      <c r="W28" s="270"/>
      <c r="X28" s="270"/>
      <c r="Y28" s="270"/>
    </row>
    <row r="29" spans="1:25" s="253" customFormat="1">
      <c r="A29" s="267"/>
      <c r="B29" s="267"/>
      <c r="C29" s="267"/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70"/>
      <c r="O29" s="270"/>
      <c r="P29" s="270"/>
      <c r="Q29" s="273"/>
      <c r="R29" s="273"/>
      <c r="S29" s="270"/>
      <c r="T29" s="271"/>
      <c r="U29" s="271"/>
      <c r="V29" s="270"/>
      <c r="W29" s="270"/>
      <c r="X29" s="270"/>
      <c r="Y29" s="270"/>
    </row>
    <row r="30" spans="1:25" s="253" customFormat="1">
      <c r="A30" s="267"/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5"/>
      <c r="Q30" s="265"/>
      <c r="R30" s="265"/>
    </row>
    <row r="31" spans="1:25" s="253" customFormat="1">
      <c r="A31" s="267"/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5"/>
      <c r="Q31" s="265"/>
      <c r="R31" s="265"/>
    </row>
    <row r="32" spans="1:25" s="253" customFormat="1">
      <c r="A32" s="265"/>
      <c r="B32" s="265"/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</row>
    <row r="33" spans="1:22" s="253" customFormat="1">
      <c r="A33" s="265"/>
      <c r="B33" s="265"/>
      <c r="C33" s="265"/>
      <c r="D33" s="265"/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65"/>
      <c r="P33" s="265"/>
    </row>
    <row r="34" spans="1:22" s="253" customFormat="1">
      <c r="A34" s="265"/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</row>
    <row r="35" spans="1:22" s="253" customFormat="1">
      <c r="A35" s="265"/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  <c r="N35" s="265"/>
      <c r="O35" s="265"/>
      <c r="P35" s="265"/>
    </row>
    <row r="36" spans="1:22" s="253" customFormat="1">
      <c r="A36" s="267"/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5"/>
      <c r="M36" s="265"/>
      <c r="N36" s="265"/>
      <c r="O36" s="265"/>
      <c r="P36" s="265"/>
    </row>
    <row r="37" spans="1:22" s="253" customFormat="1">
      <c r="A37" s="267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5"/>
      <c r="M37" s="265"/>
      <c r="N37" s="265"/>
      <c r="O37" s="265"/>
      <c r="P37" s="265"/>
    </row>
    <row r="38" spans="1:22" s="253" customFormat="1">
      <c r="A38" s="267"/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5"/>
      <c r="M38" s="265"/>
      <c r="N38" s="265"/>
      <c r="O38" s="265"/>
      <c r="P38" s="265"/>
    </row>
    <row r="39" spans="1:22" s="253" customFormat="1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</row>
    <row r="40" spans="1:22" s="253" customFormat="1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</row>
    <row r="41" spans="1:22" s="253" customFormat="1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</row>
    <row r="42" spans="1:22" s="253" customFormat="1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</row>
    <row r="43" spans="1:22" s="253" customFormat="1">
      <c r="A43" s="265"/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</row>
    <row r="44" spans="1:22">
      <c r="A44" s="265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</row>
    <row r="45" spans="1:22"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</row>
    <row r="46" spans="1:22"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</row>
    <row r="47" spans="1:22"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</row>
    <row r="48" spans="1:22">
      <c r="L48"/>
      <c r="M48"/>
      <c r="N48"/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workbookViewId="0"/>
  </sheetViews>
  <sheetFormatPr defaultColWidth="5.5703125" defaultRowHeight="14.25"/>
  <cols>
    <col min="1" max="1" width="68.85546875" style="208" customWidth="1"/>
    <col min="2" max="2" width="7.5703125" style="209" bestFit="1" customWidth="1"/>
    <col min="3" max="3" width="7.7109375" style="209" bestFit="1" customWidth="1"/>
    <col min="4" max="4" width="7.140625" style="209" bestFit="1" customWidth="1"/>
    <col min="5" max="5" width="7" style="209" bestFit="1" customWidth="1"/>
    <col min="6" max="6" width="7.5703125" style="209" bestFit="1" customWidth="1"/>
    <col min="7" max="7" width="6.7109375" style="182" bestFit="1" customWidth="1"/>
    <col min="8" max="8" width="7" style="209" bestFit="1" customWidth="1"/>
    <col min="9" max="9" width="7.28515625" style="209" bestFit="1" customWidth="1"/>
    <col min="10" max="10" width="7.140625" style="209" bestFit="1" customWidth="1"/>
    <col min="11" max="11" width="7.5703125" style="209" bestFit="1" customWidth="1"/>
    <col min="12" max="12" width="7.140625" style="210" bestFit="1" customWidth="1"/>
    <col min="13" max="13" width="7.85546875" style="209" customWidth="1"/>
    <col min="14" max="14" width="9.7109375" style="209" customWidth="1"/>
    <col min="15" max="236" width="9.140625" style="13" customWidth="1"/>
    <col min="237" max="237" width="58.28515625" style="13" customWidth="1"/>
    <col min="238" max="238" width="3.7109375" style="13" bestFit="1" customWidth="1"/>
    <col min="239" max="239" width="5.5703125" style="13" bestFit="1" customWidth="1"/>
    <col min="240" max="240" width="5.5703125" style="13" customWidth="1"/>
    <col min="241" max="16384" width="5.5703125" style="13"/>
  </cols>
  <sheetData>
    <row r="1" spans="1:16" customFormat="1" ht="15">
      <c r="A1" s="1" t="s">
        <v>0</v>
      </c>
      <c r="B1" s="274"/>
      <c r="C1" s="274"/>
      <c r="D1" s="274"/>
      <c r="E1" s="274"/>
      <c r="F1" s="274"/>
      <c r="G1" s="178"/>
      <c r="H1" s="274"/>
      <c r="I1" s="274"/>
      <c r="J1" s="274"/>
      <c r="K1" s="274"/>
      <c r="L1" s="209"/>
      <c r="M1" s="210"/>
      <c r="N1" s="210"/>
      <c r="O1" s="13"/>
      <c r="P1" s="13"/>
    </row>
    <row r="2" spans="1:16" customFormat="1" ht="15">
      <c r="A2" s="275" t="s">
        <v>1</v>
      </c>
      <c r="B2" s="276"/>
      <c r="C2" s="276"/>
      <c r="D2" s="276"/>
      <c r="E2" s="276"/>
      <c r="F2" s="276"/>
      <c r="G2" s="181"/>
      <c r="H2" s="276"/>
      <c r="I2" s="276"/>
      <c r="J2" s="276"/>
      <c r="K2" s="276"/>
      <c r="L2" s="209"/>
      <c r="M2" s="210"/>
      <c r="N2" s="210"/>
      <c r="O2" s="13"/>
      <c r="P2" s="13"/>
    </row>
    <row r="3" spans="1:16" customFormat="1" ht="15.75" thickBot="1">
      <c r="A3" s="208"/>
      <c r="B3" s="209"/>
      <c r="C3" s="209"/>
      <c r="D3" s="209"/>
      <c r="E3" s="209"/>
      <c r="F3" s="209"/>
      <c r="G3" s="182"/>
      <c r="H3" s="209"/>
      <c r="I3" s="209"/>
      <c r="J3" s="209"/>
      <c r="K3" s="209"/>
      <c r="L3" s="209"/>
      <c r="M3" s="210"/>
      <c r="N3" s="210"/>
      <c r="O3" s="13"/>
      <c r="P3" s="13"/>
    </row>
    <row r="4" spans="1:16" customFormat="1" ht="15.75" thickBot="1">
      <c r="A4" s="277" t="s">
        <v>214</v>
      </c>
      <c r="B4" s="28">
        <v>45261</v>
      </c>
      <c r="C4" s="25">
        <v>45231</v>
      </c>
      <c r="D4" s="28">
        <v>45200</v>
      </c>
      <c r="E4" s="26">
        <v>45170</v>
      </c>
      <c r="F4" s="68">
        <v>45139</v>
      </c>
      <c r="G4" s="68">
        <v>45108</v>
      </c>
      <c r="H4" s="68">
        <v>45078</v>
      </c>
      <c r="I4" s="278">
        <v>45047</v>
      </c>
      <c r="J4" s="254">
        <v>45017</v>
      </c>
      <c r="K4" s="254">
        <v>44986</v>
      </c>
      <c r="L4" s="254">
        <v>44958</v>
      </c>
      <c r="M4" s="254">
        <v>44927</v>
      </c>
      <c r="N4" s="279" t="s">
        <v>5</v>
      </c>
      <c r="O4" s="280" t="s">
        <v>6</v>
      </c>
      <c r="P4" s="65" t="s">
        <v>26</v>
      </c>
    </row>
    <row r="5" spans="1:16" customFormat="1" ht="15">
      <c r="A5" s="281" t="s">
        <v>225</v>
      </c>
      <c r="B5" s="282"/>
      <c r="C5" s="283"/>
      <c r="D5" s="33"/>
      <c r="E5" s="33"/>
      <c r="F5" s="33"/>
      <c r="G5" s="33"/>
      <c r="H5" s="34"/>
      <c r="I5" s="33"/>
      <c r="J5" s="35">
        <v>57</v>
      </c>
      <c r="K5" s="35">
        <v>140</v>
      </c>
      <c r="L5" s="35">
        <v>99</v>
      </c>
      <c r="M5" s="35">
        <v>68</v>
      </c>
      <c r="N5" s="284">
        <f t="shared" ref="N5:N36" si="0">SUM(B5:M5)</f>
        <v>364</v>
      </c>
      <c r="O5" s="285">
        <f t="shared" ref="O5:O36" si="1">AVERAGE(B5:M5)</f>
        <v>91</v>
      </c>
      <c r="P5" s="286">
        <f t="shared" ref="P5:P36" si="2">(N5/$N$72)*100</f>
        <v>1.9051606825081127</v>
      </c>
    </row>
    <row r="6" spans="1:16" customFormat="1" ht="15">
      <c r="A6" s="287" t="s">
        <v>226</v>
      </c>
      <c r="B6" s="288"/>
      <c r="C6" s="216"/>
      <c r="D6" s="35"/>
      <c r="E6" s="35"/>
      <c r="F6" s="35"/>
      <c r="G6" s="46"/>
      <c r="H6" s="47"/>
      <c r="I6" s="46"/>
      <c r="J6" s="46">
        <v>0</v>
      </c>
      <c r="K6" s="46">
        <v>0</v>
      </c>
      <c r="L6" s="46">
        <v>0</v>
      </c>
      <c r="M6" s="46">
        <v>0</v>
      </c>
      <c r="N6" s="289">
        <f t="shared" si="0"/>
        <v>0</v>
      </c>
      <c r="O6" s="285">
        <f t="shared" si="1"/>
        <v>0</v>
      </c>
      <c r="P6" s="286">
        <f t="shared" si="2"/>
        <v>0</v>
      </c>
    </row>
    <row r="7" spans="1:16" customFormat="1" ht="15">
      <c r="A7" s="287" t="s">
        <v>227</v>
      </c>
      <c r="B7" s="290"/>
      <c r="C7" s="216"/>
      <c r="D7" s="46"/>
      <c r="E7" s="46"/>
      <c r="F7" s="46"/>
      <c r="G7" s="46"/>
      <c r="H7" s="47"/>
      <c r="I7" s="46"/>
      <c r="J7" s="46">
        <v>231</v>
      </c>
      <c r="K7" s="46">
        <v>299</v>
      </c>
      <c r="L7" s="46">
        <v>330</v>
      </c>
      <c r="M7" s="46">
        <v>327</v>
      </c>
      <c r="N7" s="289">
        <f t="shared" si="0"/>
        <v>1187</v>
      </c>
      <c r="O7" s="285">
        <f t="shared" si="1"/>
        <v>296.75</v>
      </c>
      <c r="P7" s="286">
        <f t="shared" si="2"/>
        <v>6.2127080498272793</v>
      </c>
    </row>
    <row r="8" spans="1:16" customFormat="1" ht="15">
      <c r="A8" s="287" t="s">
        <v>228</v>
      </c>
      <c r="B8" s="290"/>
      <c r="C8" s="216"/>
      <c r="D8" s="46"/>
      <c r="E8" s="46"/>
      <c r="F8" s="46"/>
      <c r="G8" s="46"/>
      <c r="H8" s="47"/>
      <c r="I8" s="46"/>
      <c r="J8" s="46">
        <v>5</v>
      </c>
      <c r="K8" s="46">
        <v>4</v>
      </c>
      <c r="L8" s="46">
        <v>8</v>
      </c>
      <c r="M8" s="46">
        <v>12</v>
      </c>
      <c r="N8" s="289">
        <f t="shared" si="0"/>
        <v>29</v>
      </c>
      <c r="O8" s="285">
        <f t="shared" si="1"/>
        <v>7.25</v>
      </c>
      <c r="P8" s="286">
        <f t="shared" si="2"/>
        <v>0.15178477965037163</v>
      </c>
    </row>
    <row r="9" spans="1:16" customFormat="1" ht="15">
      <c r="A9" s="287" t="s">
        <v>229</v>
      </c>
      <c r="B9" s="290"/>
      <c r="C9" s="216"/>
      <c r="D9" s="46"/>
      <c r="E9" s="46"/>
      <c r="F9" s="46"/>
      <c r="G9" s="46"/>
      <c r="H9" s="47"/>
      <c r="I9" s="46"/>
      <c r="J9" s="46">
        <v>22</v>
      </c>
      <c r="K9" s="46">
        <v>22</v>
      </c>
      <c r="L9" s="46">
        <v>45</v>
      </c>
      <c r="M9" s="46">
        <v>35</v>
      </c>
      <c r="N9" s="289">
        <f t="shared" si="0"/>
        <v>124</v>
      </c>
      <c r="O9" s="285">
        <f t="shared" si="1"/>
        <v>31</v>
      </c>
      <c r="P9" s="286">
        <f t="shared" si="2"/>
        <v>0.64901078195331308</v>
      </c>
    </row>
    <row r="10" spans="1:16" customFormat="1" ht="15">
      <c r="A10" s="287" t="s">
        <v>230</v>
      </c>
      <c r="B10" s="290"/>
      <c r="C10" s="216"/>
      <c r="D10" s="46"/>
      <c r="E10" s="46"/>
      <c r="F10" s="46"/>
      <c r="G10" s="46"/>
      <c r="H10" s="47"/>
      <c r="I10" s="46"/>
      <c r="J10" s="46">
        <v>6</v>
      </c>
      <c r="K10" s="45">
        <v>6</v>
      </c>
      <c r="L10" s="46">
        <v>5</v>
      </c>
      <c r="M10" s="46">
        <v>0</v>
      </c>
      <c r="N10" s="289">
        <f t="shared" si="0"/>
        <v>17</v>
      </c>
      <c r="O10" s="285">
        <f t="shared" si="1"/>
        <v>4.25</v>
      </c>
      <c r="P10" s="286">
        <f t="shared" si="2"/>
        <v>8.8977284622631644E-2</v>
      </c>
    </row>
    <row r="11" spans="1:16" customFormat="1" ht="15">
      <c r="A11" s="287" t="s">
        <v>148</v>
      </c>
      <c r="B11" s="290"/>
      <c r="C11" s="216"/>
      <c r="D11" s="46"/>
      <c r="E11" s="46"/>
      <c r="F11" s="46"/>
      <c r="G11" s="46"/>
      <c r="H11" s="47"/>
      <c r="I11" s="46"/>
      <c r="J11" s="46">
        <v>76</v>
      </c>
      <c r="K11" s="46">
        <v>89</v>
      </c>
      <c r="L11" s="46">
        <v>72</v>
      </c>
      <c r="M11" s="46">
        <v>84</v>
      </c>
      <c r="N11" s="289">
        <f t="shared" si="0"/>
        <v>321</v>
      </c>
      <c r="O11" s="285">
        <f t="shared" si="1"/>
        <v>80.25</v>
      </c>
      <c r="P11" s="286">
        <f t="shared" si="2"/>
        <v>1.6801004919920444</v>
      </c>
    </row>
    <row r="12" spans="1:16" customFormat="1" ht="15">
      <c r="A12" s="287" t="s">
        <v>231</v>
      </c>
      <c r="B12" s="290"/>
      <c r="C12" s="216"/>
      <c r="D12" s="46"/>
      <c r="E12" s="46"/>
      <c r="F12" s="46"/>
      <c r="G12" s="46"/>
      <c r="H12" s="46"/>
      <c r="I12" s="46"/>
      <c r="J12" s="46">
        <v>21</v>
      </c>
      <c r="K12" s="46">
        <v>38</v>
      </c>
      <c r="L12" s="46">
        <v>40</v>
      </c>
      <c r="M12" s="46">
        <v>33</v>
      </c>
      <c r="N12" s="289">
        <f t="shared" si="0"/>
        <v>132</v>
      </c>
      <c r="O12" s="285">
        <f t="shared" si="1"/>
        <v>33</v>
      </c>
      <c r="P12" s="286">
        <f t="shared" si="2"/>
        <v>0.69088244530513976</v>
      </c>
    </row>
    <row r="13" spans="1:16" customFormat="1" ht="15">
      <c r="A13" s="287" t="s">
        <v>232</v>
      </c>
      <c r="B13" s="290"/>
      <c r="C13" s="216"/>
      <c r="D13" s="46"/>
      <c r="E13" s="46"/>
      <c r="F13" s="46"/>
      <c r="G13" s="46"/>
      <c r="H13" s="46"/>
      <c r="I13" s="46"/>
      <c r="J13" s="46">
        <v>0</v>
      </c>
      <c r="K13" s="46">
        <v>0</v>
      </c>
      <c r="L13" s="46">
        <v>0</v>
      </c>
      <c r="M13" s="46">
        <v>0</v>
      </c>
      <c r="N13" s="289">
        <f t="shared" si="0"/>
        <v>0</v>
      </c>
      <c r="O13" s="285">
        <f t="shared" si="1"/>
        <v>0</v>
      </c>
      <c r="P13" s="286">
        <f t="shared" si="2"/>
        <v>0</v>
      </c>
    </row>
    <row r="14" spans="1:16" customFormat="1" ht="15">
      <c r="A14" s="287" t="s">
        <v>233</v>
      </c>
      <c r="B14" s="290"/>
      <c r="C14" s="216"/>
      <c r="D14" s="46"/>
      <c r="E14" s="46"/>
      <c r="F14" s="46"/>
      <c r="G14" s="46"/>
      <c r="H14" s="46"/>
      <c r="I14" s="46"/>
      <c r="J14" s="46">
        <v>238</v>
      </c>
      <c r="K14" s="46">
        <v>333</v>
      </c>
      <c r="L14" s="46">
        <v>204</v>
      </c>
      <c r="M14" s="46">
        <v>140</v>
      </c>
      <c r="N14" s="289">
        <f t="shared" si="0"/>
        <v>915</v>
      </c>
      <c r="O14" s="285">
        <f t="shared" si="1"/>
        <v>228.75</v>
      </c>
      <c r="P14" s="286">
        <f t="shared" si="2"/>
        <v>4.7890714958651737</v>
      </c>
    </row>
    <row r="15" spans="1:16" customFormat="1" ht="15">
      <c r="A15" s="287" t="s">
        <v>234</v>
      </c>
      <c r="B15" s="290"/>
      <c r="C15" s="216"/>
      <c r="D15" s="46"/>
      <c r="E15" s="46"/>
      <c r="F15" s="46"/>
      <c r="G15" s="46"/>
      <c r="H15" s="47"/>
      <c r="I15" s="46"/>
      <c r="J15" s="46">
        <v>0</v>
      </c>
      <c r="K15" s="46">
        <v>0</v>
      </c>
      <c r="L15" s="46">
        <v>0</v>
      </c>
      <c r="M15" s="46">
        <v>0</v>
      </c>
      <c r="N15" s="289">
        <f t="shared" si="0"/>
        <v>0</v>
      </c>
      <c r="O15" s="285">
        <f t="shared" si="1"/>
        <v>0</v>
      </c>
      <c r="P15" s="286">
        <f t="shared" si="2"/>
        <v>0</v>
      </c>
    </row>
    <row r="16" spans="1:16" customFormat="1" ht="15">
      <c r="A16" s="287" t="s">
        <v>235</v>
      </c>
      <c r="B16" s="290"/>
      <c r="C16" s="216"/>
      <c r="D16" s="46"/>
      <c r="E16" s="46"/>
      <c r="F16" s="46"/>
      <c r="G16" s="46"/>
      <c r="H16" s="46"/>
      <c r="I16" s="46"/>
      <c r="J16" s="46">
        <v>0</v>
      </c>
      <c r="K16" s="46">
        <v>0</v>
      </c>
      <c r="L16" s="46">
        <v>0</v>
      </c>
      <c r="M16" s="46">
        <v>0</v>
      </c>
      <c r="N16" s="289">
        <f t="shared" si="0"/>
        <v>0</v>
      </c>
      <c r="O16" s="285">
        <f t="shared" si="1"/>
        <v>0</v>
      </c>
      <c r="P16" s="286">
        <f t="shared" si="2"/>
        <v>0</v>
      </c>
    </row>
    <row r="17" spans="1:16" customFormat="1" ht="15" customHeight="1">
      <c r="A17" s="287" t="s">
        <v>236</v>
      </c>
      <c r="B17" s="290"/>
      <c r="C17" s="216"/>
      <c r="D17" s="46"/>
      <c r="E17" s="46"/>
      <c r="F17" s="46"/>
      <c r="G17" s="46"/>
      <c r="H17" s="46"/>
      <c r="I17" s="46"/>
      <c r="J17" s="46">
        <v>6</v>
      </c>
      <c r="K17" s="46">
        <v>5</v>
      </c>
      <c r="L17" s="46">
        <v>3</v>
      </c>
      <c r="M17" s="46">
        <v>2</v>
      </c>
      <c r="N17" s="289">
        <f t="shared" si="0"/>
        <v>16</v>
      </c>
      <c r="O17" s="285">
        <f t="shared" si="1"/>
        <v>4</v>
      </c>
      <c r="P17" s="286">
        <f t="shared" si="2"/>
        <v>8.3743326703653309E-2</v>
      </c>
    </row>
    <row r="18" spans="1:16" customFormat="1" ht="15">
      <c r="A18" s="287" t="s">
        <v>237</v>
      </c>
      <c r="B18" s="290"/>
      <c r="C18" s="216"/>
      <c r="D18" s="46"/>
      <c r="E18" s="46"/>
      <c r="F18" s="46"/>
      <c r="G18" s="46"/>
      <c r="H18" s="46"/>
      <c r="I18" s="46"/>
      <c r="J18" s="46">
        <v>247</v>
      </c>
      <c r="K18" s="46">
        <v>318</v>
      </c>
      <c r="L18" s="46">
        <v>286</v>
      </c>
      <c r="M18" s="46">
        <v>247</v>
      </c>
      <c r="N18" s="289">
        <f t="shared" si="0"/>
        <v>1098</v>
      </c>
      <c r="O18" s="285">
        <f t="shared" si="1"/>
        <v>274.5</v>
      </c>
      <c r="P18" s="286">
        <f t="shared" si="2"/>
        <v>5.7468857950382075</v>
      </c>
    </row>
    <row r="19" spans="1:16" customFormat="1" ht="15">
      <c r="A19" s="287" t="s">
        <v>238</v>
      </c>
      <c r="B19" s="290"/>
      <c r="C19" s="216"/>
      <c r="D19" s="46"/>
      <c r="E19" s="46"/>
      <c r="F19" s="46"/>
      <c r="G19" s="46"/>
      <c r="H19" s="46"/>
      <c r="I19" s="46"/>
      <c r="J19" s="46">
        <v>222</v>
      </c>
      <c r="K19" s="46">
        <v>306</v>
      </c>
      <c r="L19" s="46">
        <v>292</v>
      </c>
      <c r="M19" s="46">
        <v>328</v>
      </c>
      <c r="N19" s="289">
        <f t="shared" si="0"/>
        <v>1148</v>
      </c>
      <c r="O19" s="285">
        <f t="shared" si="1"/>
        <v>287</v>
      </c>
      <c r="P19" s="286">
        <f t="shared" si="2"/>
        <v>6.0085836909871242</v>
      </c>
    </row>
    <row r="20" spans="1:16" customFormat="1" ht="15">
      <c r="A20" s="287" t="s">
        <v>239</v>
      </c>
      <c r="B20" s="290"/>
      <c r="C20" s="216"/>
      <c r="D20" s="46"/>
      <c r="E20" s="46"/>
      <c r="F20" s="46"/>
      <c r="G20" s="46"/>
      <c r="H20" s="46"/>
      <c r="I20" s="46"/>
      <c r="J20" s="46">
        <v>8</v>
      </c>
      <c r="K20" s="46">
        <v>1</v>
      </c>
      <c r="L20" s="46">
        <v>2</v>
      </c>
      <c r="M20" s="46">
        <v>2</v>
      </c>
      <c r="N20" s="289">
        <f t="shared" si="0"/>
        <v>13</v>
      </c>
      <c r="O20" s="285">
        <f t="shared" si="1"/>
        <v>3.25</v>
      </c>
      <c r="P20" s="286">
        <f t="shared" si="2"/>
        <v>6.8041452946718303E-2</v>
      </c>
    </row>
    <row r="21" spans="1:16" customFormat="1" ht="15">
      <c r="A21" s="287" t="s">
        <v>240</v>
      </c>
      <c r="B21" s="290"/>
      <c r="C21" s="216"/>
      <c r="D21" s="46"/>
      <c r="E21" s="46"/>
      <c r="F21" s="46"/>
      <c r="G21" s="46"/>
      <c r="H21" s="46"/>
      <c r="I21" s="46"/>
      <c r="J21" s="46">
        <v>332</v>
      </c>
      <c r="K21" s="46">
        <v>373</v>
      </c>
      <c r="L21" s="46">
        <v>318</v>
      </c>
      <c r="M21" s="46">
        <v>343</v>
      </c>
      <c r="N21" s="289">
        <f t="shared" si="0"/>
        <v>1366</v>
      </c>
      <c r="O21" s="285">
        <f t="shared" si="1"/>
        <v>341.5</v>
      </c>
      <c r="P21" s="286">
        <f t="shared" si="2"/>
        <v>7.1495865173244004</v>
      </c>
    </row>
    <row r="22" spans="1:16" customFormat="1" ht="15">
      <c r="A22" s="287" t="s">
        <v>241</v>
      </c>
      <c r="B22" s="290"/>
      <c r="C22" s="216"/>
      <c r="D22" s="46"/>
      <c r="E22" s="46"/>
      <c r="F22" s="46"/>
      <c r="G22" s="46"/>
      <c r="H22" s="46"/>
      <c r="I22" s="46"/>
      <c r="J22" s="46">
        <v>572</v>
      </c>
      <c r="K22" s="46">
        <v>573</v>
      </c>
      <c r="L22" s="46">
        <v>536</v>
      </c>
      <c r="M22" s="46">
        <v>545</v>
      </c>
      <c r="N22" s="289">
        <f t="shared" si="0"/>
        <v>2226</v>
      </c>
      <c r="O22" s="285">
        <f t="shared" si="1"/>
        <v>556.5</v>
      </c>
      <c r="P22" s="286">
        <f t="shared" si="2"/>
        <v>11.650790327645765</v>
      </c>
    </row>
    <row r="23" spans="1:16" customFormat="1" ht="15">
      <c r="A23" s="287" t="s">
        <v>242</v>
      </c>
      <c r="B23" s="290"/>
      <c r="C23" s="216"/>
      <c r="D23" s="46"/>
      <c r="E23" s="46"/>
      <c r="F23" s="46"/>
      <c r="G23" s="46"/>
      <c r="H23" s="46"/>
      <c r="I23" s="46"/>
      <c r="J23" s="46">
        <v>1034</v>
      </c>
      <c r="K23" s="46">
        <v>886</v>
      </c>
      <c r="L23" s="46">
        <v>527</v>
      </c>
      <c r="M23" s="46">
        <v>564</v>
      </c>
      <c r="N23" s="289">
        <f t="shared" si="0"/>
        <v>3011</v>
      </c>
      <c r="O23" s="285">
        <f t="shared" si="1"/>
        <v>752.75</v>
      </c>
      <c r="P23" s="286">
        <f t="shared" si="2"/>
        <v>15.759447294043754</v>
      </c>
    </row>
    <row r="24" spans="1:16" customFormat="1" ht="15">
      <c r="A24" s="287" t="s">
        <v>243</v>
      </c>
      <c r="B24" s="290"/>
      <c r="C24" s="216"/>
      <c r="D24" s="46"/>
      <c r="E24" s="46"/>
      <c r="F24" s="46"/>
      <c r="G24" s="46"/>
      <c r="H24" s="46"/>
      <c r="I24" s="46"/>
      <c r="J24" s="46">
        <v>12</v>
      </c>
      <c r="K24" s="46">
        <v>8</v>
      </c>
      <c r="L24" s="46">
        <v>11</v>
      </c>
      <c r="M24" s="46">
        <v>11</v>
      </c>
      <c r="N24" s="289">
        <f t="shared" si="0"/>
        <v>42</v>
      </c>
      <c r="O24" s="285">
        <f t="shared" si="1"/>
        <v>10.5</v>
      </c>
      <c r="P24" s="286">
        <f t="shared" si="2"/>
        <v>0.21982623259708989</v>
      </c>
    </row>
    <row r="25" spans="1:16" customFormat="1" ht="15">
      <c r="A25" s="287" t="s">
        <v>244</v>
      </c>
      <c r="B25" s="290"/>
      <c r="C25" s="216"/>
      <c r="D25" s="46"/>
      <c r="E25" s="46"/>
      <c r="F25" s="46"/>
      <c r="G25" s="46"/>
      <c r="H25" s="46"/>
      <c r="I25" s="46"/>
      <c r="J25" s="46">
        <v>16</v>
      </c>
      <c r="K25" s="46">
        <v>17</v>
      </c>
      <c r="L25" s="46">
        <v>17</v>
      </c>
      <c r="M25" s="46">
        <v>12</v>
      </c>
      <c r="N25" s="289">
        <f t="shared" si="0"/>
        <v>62</v>
      </c>
      <c r="O25" s="285">
        <f t="shared" si="1"/>
        <v>15.5</v>
      </c>
      <c r="P25" s="286">
        <f t="shared" si="2"/>
        <v>0.32450539097665654</v>
      </c>
    </row>
    <row r="26" spans="1:16" customFormat="1" ht="15">
      <c r="A26" s="287" t="s">
        <v>245</v>
      </c>
      <c r="B26" s="290"/>
      <c r="C26" s="216"/>
      <c r="D26" s="46"/>
      <c r="E26" s="46"/>
      <c r="F26" s="46"/>
      <c r="G26" s="46"/>
      <c r="H26" s="47"/>
      <c r="I26" s="46"/>
      <c r="J26" s="46">
        <v>21</v>
      </c>
      <c r="K26" s="46">
        <v>12</v>
      </c>
      <c r="L26" s="46">
        <v>7</v>
      </c>
      <c r="M26" s="46">
        <v>9</v>
      </c>
      <c r="N26" s="289">
        <f t="shared" si="0"/>
        <v>49</v>
      </c>
      <c r="O26" s="285">
        <f t="shared" si="1"/>
        <v>12.25</v>
      </c>
      <c r="P26" s="286">
        <f t="shared" si="2"/>
        <v>0.25646393802993822</v>
      </c>
    </row>
    <row r="27" spans="1:16" customFormat="1" ht="15">
      <c r="A27" s="287" t="s">
        <v>246</v>
      </c>
      <c r="B27" s="290"/>
      <c r="C27" s="216"/>
      <c r="D27" s="46"/>
      <c r="E27" s="46"/>
      <c r="F27" s="46"/>
      <c r="G27" s="46"/>
      <c r="H27" s="46"/>
      <c r="I27" s="46"/>
      <c r="J27" s="46">
        <v>183</v>
      </c>
      <c r="K27" s="46">
        <v>326</v>
      </c>
      <c r="L27" s="46">
        <v>377</v>
      </c>
      <c r="M27" s="46">
        <v>131</v>
      </c>
      <c r="N27" s="289">
        <f t="shared" si="0"/>
        <v>1017</v>
      </c>
      <c r="O27" s="285">
        <f t="shared" si="1"/>
        <v>254.25</v>
      </c>
      <c r="P27" s="286">
        <f t="shared" si="2"/>
        <v>5.322935203600963</v>
      </c>
    </row>
    <row r="28" spans="1:16" customFormat="1" ht="15">
      <c r="A28" s="287" t="s">
        <v>247</v>
      </c>
      <c r="B28" s="290"/>
      <c r="C28" s="216"/>
      <c r="D28" s="46"/>
      <c r="E28" s="46"/>
      <c r="F28" s="46"/>
      <c r="G28" s="46"/>
      <c r="H28" s="46"/>
      <c r="I28" s="46"/>
      <c r="J28" s="46">
        <v>14</v>
      </c>
      <c r="K28" s="46">
        <v>36</v>
      </c>
      <c r="L28" s="46">
        <v>18</v>
      </c>
      <c r="M28" s="46">
        <v>14</v>
      </c>
      <c r="N28" s="289">
        <f t="shared" si="0"/>
        <v>82</v>
      </c>
      <c r="O28" s="285">
        <f t="shared" si="1"/>
        <v>20.5</v>
      </c>
      <c r="P28" s="286">
        <f t="shared" si="2"/>
        <v>0.42918454935622319</v>
      </c>
    </row>
    <row r="29" spans="1:16" customFormat="1" ht="15">
      <c r="A29" s="287" t="s">
        <v>248</v>
      </c>
      <c r="B29" s="290"/>
      <c r="C29" s="216"/>
      <c r="D29" s="46"/>
      <c r="E29" s="46"/>
      <c r="F29" s="46"/>
      <c r="G29" s="46"/>
      <c r="H29" s="46"/>
      <c r="I29" s="46"/>
      <c r="J29" s="46">
        <v>16</v>
      </c>
      <c r="K29" s="46">
        <v>17</v>
      </c>
      <c r="L29" s="46">
        <v>8</v>
      </c>
      <c r="M29" s="46">
        <v>17</v>
      </c>
      <c r="N29" s="289">
        <f t="shared" si="0"/>
        <v>58</v>
      </c>
      <c r="O29" s="285">
        <f t="shared" si="1"/>
        <v>14.5</v>
      </c>
      <c r="P29" s="286">
        <f t="shared" si="2"/>
        <v>0.30356955930074325</v>
      </c>
    </row>
    <row r="30" spans="1:16" customFormat="1" ht="15">
      <c r="A30" s="287" t="s">
        <v>249</v>
      </c>
      <c r="B30" s="290"/>
      <c r="C30" s="216"/>
      <c r="D30" s="46"/>
      <c r="E30" s="46"/>
      <c r="F30" s="46"/>
      <c r="G30" s="46"/>
      <c r="H30" s="46"/>
      <c r="I30" s="46"/>
      <c r="J30" s="46">
        <v>15</v>
      </c>
      <c r="K30" s="46">
        <v>14</v>
      </c>
      <c r="L30" s="46">
        <v>7</v>
      </c>
      <c r="M30" s="46">
        <v>8</v>
      </c>
      <c r="N30" s="289">
        <f t="shared" si="0"/>
        <v>44</v>
      </c>
      <c r="O30" s="285">
        <f t="shared" si="1"/>
        <v>11</v>
      </c>
      <c r="P30" s="286">
        <f t="shared" si="2"/>
        <v>0.23029414843504659</v>
      </c>
    </row>
    <row r="31" spans="1:16" customFormat="1" ht="15">
      <c r="A31" s="287" t="s">
        <v>250</v>
      </c>
      <c r="B31" s="291"/>
      <c r="C31" s="216"/>
      <c r="D31" s="45"/>
      <c r="E31" s="45"/>
      <c r="F31" s="45"/>
      <c r="G31" s="45"/>
      <c r="H31" s="196"/>
      <c r="I31" s="45"/>
      <c r="J31" s="46">
        <v>58</v>
      </c>
      <c r="K31" s="46">
        <v>59</v>
      </c>
      <c r="L31" s="46">
        <v>59</v>
      </c>
      <c r="M31" s="46">
        <v>50</v>
      </c>
      <c r="N31" s="289">
        <f t="shared" si="0"/>
        <v>226</v>
      </c>
      <c r="O31" s="285">
        <f t="shared" si="1"/>
        <v>56.5</v>
      </c>
      <c r="P31" s="286">
        <f t="shared" si="2"/>
        <v>1.1828744896891028</v>
      </c>
    </row>
    <row r="32" spans="1:16" customFormat="1" ht="15">
      <c r="A32" s="287" t="s">
        <v>251</v>
      </c>
      <c r="B32" s="290"/>
      <c r="C32" s="216"/>
      <c r="D32" s="46"/>
      <c r="E32" s="46"/>
      <c r="F32" s="46"/>
      <c r="G32" s="46"/>
      <c r="H32" s="46"/>
      <c r="I32" s="46"/>
      <c r="J32" s="46">
        <v>31</v>
      </c>
      <c r="K32" s="46">
        <v>57</v>
      </c>
      <c r="L32" s="46">
        <v>49</v>
      </c>
      <c r="M32" s="46">
        <v>29</v>
      </c>
      <c r="N32" s="289">
        <f t="shared" si="0"/>
        <v>166</v>
      </c>
      <c r="O32" s="285">
        <f t="shared" si="1"/>
        <v>41.5</v>
      </c>
      <c r="P32" s="286">
        <f t="shared" si="2"/>
        <v>0.86883701455040296</v>
      </c>
    </row>
    <row r="33" spans="1:16" customFormat="1" ht="15" customHeight="1">
      <c r="A33" s="287" t="s">
        <v>252</v>
      </c>
      <c r="B33" s="290"/>
      <c r="C33" s="216"/>
      <c r="D33" s="46"/>
      <c r="E33" s="46"/>
      <c r="F33" s="46"/>
      <c r="G33" s="46"/>
      <c r="H33" s="46"/>
      <c r="I33" s="46"/>
      <c r="J33" s="46">
        <v>0</v>
      </c>
      <c r="K33" s="46">
        <v>1</v>
      </c>
      <c r="L33" s="46">
        <v>0</v>
      </c>
      <c r="M33" s="46">
        <v>0</v>
      </c>
      <c r="N33" s="289">
        <f t="shared" si="0"/>
        <v>1</v>
      </c>
      <c r="O33" s="285">
        <f t="shared" si="1"/>
        <v>0.25</v>
      </c>
      <c r="P33" s="286">
        <f t="shared" si="2"/>
        <v>5.2339579189783318E-3</v>
      </c>
    </row>
    <row r="34" spans="1:16" customFormat="1" ht="15" customHeight="1">
      <c r="A34" s="287" t="s">
        <v>253</v>
      </c>
      <c r="B34" s="290"/>
      <c r="C34" s="216"/>
      <c r="D34" s="46"/>
      <c r="E34" s="46"/>
      <c r="F34" s="46"/>
      <c r="G34" s="46"/>
      <c r="H34" s="46"/>
      <c r="I34" s="46"/>
      <c r="J34" s="46">
        <v>39</v>
      </c>
      <c r="K34" s="46">
        <v>51</v>
      </c>
      <c r="L34" s="46">
        <v>34</v>
      </c>
      <c r="M34" s="46">
        <v>70</v>
      </c>
      <c r="N34" s="289">
        <f t="shared" si="0"/>
        <v>194</v>
      </c>
      <c r="O34" s="285">
        <f t="shared" si="1"/>
        <v>48.5</v>
      </c>
      <c r="P34" s="286">
        <f t="shared" si="2"/>
        <v>1.0153878362817963</v>
      </c>
    </row>
    <row r="35" spans="1:16" customFormat="1" ht="15" customHeight="1">
      <c r="A35" s="287" t="s">
        <v>254</v>
      </c>
      <c r="B35" s="290"/>
      <c r="C35" s="216"/>
      <c r="D35" s="46"/>
      <c r="E35" s="46"/>
      <c r="F35" s="46"/>
      <c r="G35" s="46"/>
      <c r="H35" s="46"/>
      <c r="I35" s="46"/>
      <c r="J35" s="46">
        <v>41</v>
      </c>
      <c r="K35" s="46">
        <v>44</v>
      </c>
      <c r="L35" s="46">
        <v>43</v>
      </c>
      <c r="M35" s="46">
        <v>37</v>
      </c>
      <c r="N35" s="289">
        <f t="shared" si="0"/>
        <v>165</v>
      </c>
      <c r="O35" s="285">
        <f t="shared" si="1"/>
        <v>41.25</v>
      </c>
      <c r="P35" s="286">
        <f t="shared" si="2"/>
        <v>0.86360305663142467</v>
      </c>
    </row>
    <row r="36" spans="1:16" customFormat="1" ht="15" customHeight="1">
      <c r="A36" s="287" t="s">
        <v>255</v>
      </c>
      <c r="B36" s="290"/>
      <c r="C36" s="216"/>
      <c r="D36" s="45"/>
      <c r="E36" s="46"/>
      <c r="F36" s="46"/>
      <c r="G36" s="45"/>
      <c r="H36" s="46"/>
      <c r="I36" s="45"/>
      <c r="J36" s="46">
        <v>0</v>
      </c>
      <c r="K36" s="46">
        <v>1</v>
      </c>
      <c r="L36" s="46">
        <v>10</v>
      </c>
      <c r="M36" s="46">
        <v>2</v>
      </c>
      <c r="N36" s="289">
        <f t="shared" si="0"/>
        <v>13</v>
      </c>
      <c r="O36" s="285">
        <f t="shared" si="1"/>
        <v>3.25</v>
      </c>
      <c r="P36" s="286">
        <f t="shared" si="2"/>
        <v>6.8041452946718303E-2</v>
      </c>
    </row>
    <row r="37" spans="1:16" customFormat="1" ht="15" customHeight="1">
      <c r="A37" s="287" t="s">
        <v>256</v>
      </c>
      <c r="B37" s="290"/>
      <c r="C37" s="216"/>
      <c r="D37" s="46"/>
      <c r="E37" s="46"/>
      <c r="F37" s="46"/>
      <c r="G37" s="46"/>
      <c r="H37" s="46"/>
      <c r="I37" s="46"/>
      <c r="J37" s="46">
        <v>14</v>
      </c>
      <c r="K37" s="46">
        <v>23</v>
      </c>
      <c r="L37" s="46">
        <v>29</v>
      </c>
      <c r="M37" s="46">
        <v>41</v>
      </c>
      <c r="N37" s="289">
        <f t="shared" ref="N37:N68" si="3">SUM(B37:M37)</f>
        <v>107</v>
      </c>
      <c r="O37" s="285">
        <f t="shared" ref="O37:O72" si="4">AVERAGE(B37:M37)</f>
        <v>26.75</v>
      </c>
      <c r="P37" s="286">
        <f t="shared" ref="P37:P71" si="5">(N37/$N$72)*100</f>
        <v>0.56003349733068142</v>
      </c>
    </row>
    <row r="38" spans="1:16" customFormat="1" ht="15" customHeight="1">
      <c r="A38" s="287" t="s">
        <v>257</v>
      </c>
      <c r="B38" s="290"/>
      <c r="C38" s="216"/>
      <c r="D38" s="46"/>
      <c r="E38" s="46"/>
      <c r="F38" s="46"/>
      <c r="G38" s="46"/>
      <c r="H38" s="46"/>
      <c r="I38" s="46"/>
      <c r="J38" s="46">
        <v>71</v>
      </c>
      <c r="K38" s="46">
        <v>72</v>
      </c>
      <c r="L38" s="46">
        <v>36</v>
      </c>
      <c r="M38" s="46">
        <v>30</v>
      </c>
      <c r="N38" s="289">
        <f t="shared" si="3"/>
        <v>209</v>
      </c>
      <c r="O38" s="285">
        <f t="shared" si="4"/>
        <v>52.25</v>
      </c>
      <c r="P38" s="286">
        <f t="shared" si="5"/>
        <v>1.0938972050664713</v>
      </c>
    </row>
    <row r="39" spans="1:16" customFormat="1" ht="15" customHeight="1">
      <c r="A39" s="287" t="s">
        <v>258</v>
      </c>
      <c r="B39" s="290"/>
      <c r="C39" s="216"/>
      <c r="D39" s="46"/>
      <c r="E39" s="46"/>
      <c r="F39" s="46"/>
      <c r="G39" s="46"/>
      <c r="H39" s="46"/>
      <c r="I39" s="46"/>
      <c r="J39" s="46">
        <v>25</v>
      </c>
      <c r="K39" s="46">
        <v>43</v>
      </c>
      <c r="L39" s="46">
        <v>10</v>
      </c>
      <c r="M39" s="46">
        <v>15</v>
      </c>
      <c r="N39" s="289">
        <f t="shared" si="3"/>
        <v>93</v>
      </c>
      <c r="O39" s="285">
        <f t="shared" si="4"/>
        <v>23.25</v>
      </c>
      <c r="P39" s="286">
        <f t="shared" si="5"/>
        <v>0.48675808646498481</v>
      </c>
    </row>
    <row r="40" spans="1:16" customFormat="1" ht="15" customHeight="1">
      <c r="A40" s="287" t="s">
        <v>259</v>
      </c>
      <c r="B40" s="290"/>
      <c r="C40" s="216"/>
      <c r="D40" s="46"/>
      <c r="E40" s="46"/>
      <c r="F40" s="46"/>
      <c r="G40" s="46"/>
      <c r="H40" s="46"/>
      <c r="I40" s="46"/>
      <c r="J40" s="46">
        <v>21</v>
      </c>
      <c r="K40" s="46">
        <v>40</v>
      </c>
      <c r="L40" s="46">
        <v>24</v>
      </c>
      <c r="M40" s="46">
        <v>24</v>
      </c>
      <c r="N40" s="289">
        <f t="shared" si="3"/>
        <v>109</v>
      </c>
      <c r="O40" s="285">
        <f t="shared" si="4"/>
        <v>27.25</v>
      </c>
      <c r="P40" s="286">
        <f t="shared" si="5"/>
        <v>0.57050141316863812</v>
      </c>
    </row>
    <row r="41" spans="1:16" customFormat="1" ht="15" customHeight="1">
      <c r="A41" s="287" t="s">
        <v>260</v>
      </c>
      <c r="B41" s="290"/>
      <c r="C41" s="216"/>
      <c r="D41" s="46"/>
      <c r="E41" s="46"/>
      <c r="F41" s="46"/>
      <c r="G41" s="46"/>
      <c r="H41" s="46"/>
      <c r="I41" s="46"/>
      <c r="J41" s="46">
        <v>52</v>
      </c>
      <c r="K41" s="46">
        <v>66</v>
      </c>
      <c r="L41" s="46">
        <v>57</v>
      </c>
      <c r="M41" s="46">
        <v>52</v>
      </c>
      <c r="N41" s="289">
        <f t="shared" si="3"/>
        <v>227</v>
      </c>
      <c r="O41" s="285">
        <f t="shared" si="4"/>
        <v>56.75</v>
      </c>
      <c r="P41" s="286">
        <f t="shared" si="5"/>
        <v>1.1881084476080812</v>
      </c>
    </row>
    <row r="42" spans="1:16" customFormat="1" ht="15" customHeight="1">
      <c r="A42" s="287" t="s">
        <v>261</v>
      </c>
      <c r="B42" s="290"/>
      <c r="C42" s="216"/>
      <c r="D42" s="46"/>
      <c r="E42" s="46"/>
      <c r="F42" s="46"/>
      <c r="G42" s="46"/>
      <c r="H42" s="46"/>
      <c r="I42" s="46"/>
      <c r="J42" s="46">
        <v>40</v>
      </c>
      <c r="K42" s="46">
        <v>36</v>
      </c>
      <c r="L42" s="46">
        <v>48</v>
      </c>
      <c r="M42" s="46">
        <v>62</v>
      </c>
      <c r="N42" s="289">
        <f t="shared" si="3"/>
        <v>186</v>
      </c>
      <c r="O42" s="285">
        <f t="shared" si="4"/>
        <v>46.5</v>
      </c>
      <c r="P42" s="286">
        <f t="shared" si="5"/>
        <v>0.97351617292996961</v>
      </c>
    </row>
    <row r="43" spans="1:16" customFormat="1" ht="15" customHeight="1">
      <c r="A43" s="287" t="s">
        <v>262</v>
      </c>
      <c r="B43" s="290"/>
      <c r="C43" s="216"/>
      <c r="D43" s="46"/>
      <c r="E43" s="46"/>
      <c r="F43" s="46"/>
      <c r="G43" s="46"/>
      <c r="H43" s="46"/>
      <c r="I43" s="46"/>
      <c r="J43" s="46">
        <v>26</v>
      </c>
      <c r="K43" s="46">
        <v>50</v>
      </c>
      <c r="L43" s="46">
        <v>32</v>
      </c>
      <c r="M43" s="46">
        <v>29</v>
      </c>
      <c r="N43" s="289">
        <f t="shared" si="3"/>
        <v>137</v>
      </c>
      <c r="O43" s="285">
        <f t="shared" si="4"/>
        <v>34.25</v>
      </c>
      <c r="P43" s="286">
        <f t="shared" si="5"/>
        <v>0.71705223490003145</v>
      </c>
    </row>
    <row r="44" spans="1:16" customFormat="1" ht="15" customHeight="1">
      <c r="A44" s="287" t="s">
        <v>263</v>
      </c>
      <c r="B44" s="290"/>
      <c r="C44" s="216"/>
      <c r="D44" s="46"/>
      <c r="E44" s="46"/>
      <c r="F44" s="46"/>
      <c r="G44" s="46"/>
      <c r="H44" s="46"/>
      <c r="I44" s="46"/>
      <c r="J44" s="46">
        <v>40</v>
      </c>
      <c r="K44" s="46">
        <v>40</v>
      </c>
      <c r="L44" s="46">
        <v>43</v>
      </c>
      <c r="M44" s="46">
        <v>25</v>
      </c>
      <c r="N44" s="289">
        <f t="shared" si="3"/>
        <v>148</v>
      </c>
      <c r="O44" s="285">
        <f t="shared" si="4"/>
        <v>37</v>
      </c>
      <c r="P44" s="286">
        <f t="shared" si="5"/>
        <v>0.77462577200879301</v>
      </c>
    </row>
    <row r="45" spans="1:16" customFormat="1" ht="15" customHeight="1">
      <c r="A45" s="287" t="s">
        <v>264</v>
      </c>
      <c r="B45" s="290"/>
      <c r="C45" s="216"/>
      <c r="D45" s="46"/>
      <c r="E45" s="46"/>
      <c r="F45" s="46"/>
      <c r="G45" s="46"/>
      <c r="H45" s="46"/>
      <c r="I45" s="46"/>
      <c r="J45" s="46">
        <v>28</v>
      </c>
      <c r="K45" s="46">
        <v>37</v>
      </c>
      <c r="L45" s="46">
        <v>43</v>
      </c>
      <c r="M45" s="46">
        <v>41</v>
      </c>
      <c r="N45" s="289">
        <f t="shared" si="3"/>
        <v>149</v>
      </c>
      <c r="O45" s="285">
        <f t="shared" si="4"/>
        <v>37.25</v>
      </c>
      <c r="P45" s="286">
        <f t="shared" si="5"/>
        <v>0.77985972992777142</v>
      </c>
    </row>
    <row r="46" spans="1:16" customFormat="1" ht="15" customHeight="1">
      <c r="A46" s="287" t="s">
        <v>265</v>
      </c>
      <c r="B46" s="290"/>
      <c r="C46" s="216"/>
      <c r="D46" s="46"/>
      <c r="E46" s="46"/>
      <c r="F46" s="46"/>
      <c r="G46" s="46"/>
      <c r="H46" s="46"/>
      <c r="I46" s="46"/>
      <c r="J46" s="46">
        <v>17</v>
      </c>
      <c r="K46" s="46">
        <v>7</v>
      </c>
      <c r="L46" s="46">
        <v>6</v>
      </c>
      <c r="M46" s="46">
        <v>6</v>
      </c>
      <c r="N46" s="289">
        <f t="shared" si="3"/>
        <v>36</v>
      </c>
      <c r="O46" s="285">
        <f t="shared" si="4"/>
        <v>9</v>
      </c>
      <c r="P46" s="286">
        <f t="shared" si="5"/>
        <v>0.18842248508321993</v>
      </c>
    </row>
    <row r="47" spans="1:16" customFormat="1" ht="15" customHeight="1">
      <c r="A47" s="287" t="s">
        <v>266</v>
      </c>
      <c r="B47" s="290"/>
      <c r="C47" s="216"/>
      <c r="D47" s="46"/>
      <c r="E47" s="46"/>
      <c r="F47" s="46"/>
      <c r="G47" s="46"/>
      <c r="H47" s="46"/>
      <c r="I47" s="46"/>
      <c r="J47" s="46">
        <v>12</v>
      </c>
      <c r="K47" s="46">
        <v>10</v>
      </c>
      <c r="L47" s="46">
        <v>15</v>
      </c>
      <c r="M47" s="46">
        <v>14</v>
      </c>
      <c r="N47" s="289">
        <f t="shared" si="3"/>
        <v>51</v>
      </c>
      <c r="O47" s="285">
        <f t="shared" si="4"/>
        <v>12.75</v>
      </c>
      <c r="P47" s="286">
        <f t="shared" si="5"/>
        <v>0.26693185386789492</v>
      </c>
    </row>
    <row r="48" spans="1:16" customFormat="1" ht="15" customHeight="1">
      <c r="A48" s="287" t="s">
        <v>267</v>
      </c>
      <c r="B48" s="290"/>
      <c r="C48" s="216"/>
      <c r="D48" s="46"/>
      <c r="E48" s="46"/>
      <c r="F48" s="46"/>
      <c r="G48" s="46"/>
      <c r="H48" s="46"/>
      <c r="I48" s="46"/>
      <c r="J48" s="46">
        <v>14</v>
      </c>
      <c r="K48" s="46">
        <v>20</v>
      </c>
      <c r="L48" s="46">
        <v>27</v>
      </c>
      <c r="M48" s="46">
        <v>22</v>
      </c>
      <c r="N48" s="289">
        <f t="shared" si="3"/>
        <v>83</v>
      </c>
      <c r="O48" s="285">
        <f t="shared" si="4"/>
        <v>20.75</v>
      </c>
      <c r="P48" s="286">
        <f t="shared" si="5"/>
        <v>0.43441850727520148</v>
      </c>
    </row>
    <row r="49" spans="1:16" customFormat="1" ht="15" customHeight="1">
      <c r="A49" s="287" t="s">
        <v>268</v>
      </c>
      <c r="B49" s="290"/>
      <c r="C49" s="216"/>
      <c r="D49" s="46"/>
      <c r="E49" s="46"/>
      <c r="F49" s="46"/>
      <c r="G49" s="46"/>
      <c r="H49" s="46"/>
      <c r="I49" s="46"/>
      <c r="J49" s="46">
        <v>11</v>
      </c>
      <c r="K49" s="46">
        <v>10</v>
      </c>
      <c r="L49" s="46">
        <v>13</v>
      </c>
      <c r="M49" s="46">
        <v>10</v>
      </c>
      <c r="N49" s="289">
        <f t="shared" si="3"/>
        <v>44</v>
      </c>
      <c r="O49" s="285">
        <f t="shared" si="4"/>
        <v>11</v>
      </c>
      <c r="P49" s="286">
        <f t="shared" si="5"/>
        <v>0.23029414843504659</v>
      </c>
    </row>
    <row r="50" spans="1:16" customFormat="1" ht="15" customHeight="1">
      <c r="A50" s="287" t="s">
        <v>269</v>
      </c>
      <c r="B50" s="290"/>
      <c r="C50" s="216"/>
      <c r="D50" s="46"/>
      <c r="E50" s="46"/>
      <c r="F50" s="46"/>
      <c r="G50" s="46"/>
      <c r="H50" s="46"/>
      <c r="I50" s="46"/>
      <c r="J50" s="46">
        <v>50</v>
      </c>
      <c r="K50" s="46">
        <v>43</v>
      </c>
      <c r="L50" s="46">
        <v>65</v>
      </c>
      <c r="M50" s="46">
        <v>41</v>
      </c>
      <c r="N50" s="289">
        <f t="shared" si="3"/>
        <v>199</v>
      </c>
      <c r="O50" s="285">
        <f t="shared" si="4"/>
        <v>49.75</v>
      </c>
      <c r="P50" s="286">
        <f t="shared" si="5"/>
        <v>1.0415576258766879</v>
      </c>
    </row>
    <row r="51" spans="1:16" customFormat="1" ht="15" customHeight="1">
      <c r="A51" s="287" t="s">
        <v>270</v>
      </c>
      <c r="B51" s="290"/>
      <c r="C51" s="216"/>
      <c r="D51" s="46"/>
      <c r="E51" s="46"/>
      <c r="F51" s="46"/>
      <c r="G51" s="46"/>
      <c r="H51" s="46"/>
      <c r="I51" s="46"/>
      <c r="J51" s="46">
        <v>21</v>
      </c>
      <c r="K51" s="46">
        <v>27</v>
      </c>
      <c r="L51" s="46">
        <v>35</v>
      </c>
      <c r="M51" s="46">
        <v>28</v>
      </c>
      <c r="N51" s="289">
        <f t="shared" si="3"/>
        <v>111</v>
      </c>
      <c r="O51" s="285">
        <f t="shared" si="4"/>
        <v>27.75</v>
      </c>
      <c r="P51" s="286">
        <f t="shared" si="5"/>
        <v>0.58096932900659481</v>
      </c>
    </row>
    <row r="52" spans="1:16" customFormat="1" ht="15" customHeight="1">
      <c r="A52" s="287" t="s">
        <v>271</v>
      </c>
      <c r="B52" s="290"/>
      <c r="C52" s="216"/>
      <c r="D52" s="46"/>
      <c r="E52" s="46"/>
      <c r="F52" s="46"/>
      <c r="G52" s="46"/>
      <c r="H52" s="46"/>
      <c r="I52" s="46"/>
      <c r="J52" s="46">
        <v>45</v>
      </c>
      <c r="K52" s="46">
        <v>55</v>
      </c>
      <c r="L52" s="46">
        <v>47</v>
      </c>
      <c r="M52" s="46">
        <v>49</v>
      </c>
      <c r="N52" s="289">
        <f t="shared" si="3"/>
        <v>196</v>
      </c>
      <c r="O52" s="285">
        <f t="shared" si="4"/>
        <v>49</v>
      </c>
      <c r="P52" s="286">
        <f t="shared" si="5"/>
        <v>1.0258557521197529</v>
      </c>
    </row>
    <row r="53" spans="1:16" customFormat="1" ht="15" customHeight="1">
      <c r="A53" s="287" t="s">
        <v>272</v>
      </c>
      <c r="B53" s="290"/>
      <c r="C53" s="216"/>
      <c r="D53" s="46"/>
      <c r="E53" s="46"/>
      <c r="F53" s="46"/>
      <c r="G53" s="46"/>
      <c r="H53" s="46"/>
      <c r="I53" s="46"/>
      <c r="J53" s="46">
        <v>24</v>
      </c>
      <c r="K53" s="46">
        <v>28</v>
      </c>
      <c r="L53" s="46">
        <v>18</v>
      </c>
      <c r="M53" s="46">
        <v>20</v>
      </c>
      <c r="N53" s="289">
        <f t="shared" si="3"/>
        <v>90</v>
      </c>
      <c r="O53" s="285">
        <f t="shared" si="4"/>
        <v>22.5</v>
      </c>
      <c r="P53" s="286">
        <f t="shared" si="5"/>
        <v>0.47105621270804987</v>
      </c>
    </row>
    <row r="54" spans="1:16" customFormat="1" ht="15" customHeight="1">
      <c r="A54" s="287" t="s">
        <v>273</v>
      </c>
      <c r="B54" s="290"/>
      <c r="C54" s="216"/>
      <c r="D54" s="46"/>
      <c r="E54" s="46"/>
      <c r="F54" s="46"/>
      <c r="G54" s="46"/>
      <c r="H54" s="46"/>
      <c r="I54" s="46"/>
      <c r="J54" s="46">
        <v>16</v>
      </c>
      <c r="K54" s="46">
        <v>26</v>
      </c>
      <c r="L54" s="46">
        <v>17</v>
      </c>
      <c r="M54" s="46">
        <v>22</v>
      </c>
      <c r="N54" s="289">
        <f t="shared" si="3"/>
        <v>81</v>
      </c>
      <c r="O54" s="285">
        <f t="shared" si="4"/>
        <v>20.25</v>
      </c>
      <c r="P54" s="286">
        <f t="shared" si="5"/>
        <v>0.42395059143724484</v>
      </c>
    </row>
    <row r="55" spans="1:16" customFormat="1" ht="15" customHeight="1">
      <c r="A55" s="287" t="s">
        <v>274</v>
      </c>
      <c r="B55" s="290"/>
      <c r="C55" s="216"/>
      <c r="D55" s="46"/>
      <c r="E55" s="46"/>
      <c r="F55" s="46"/>
      <c r="G55" s="46"/>
      <c r="H55" s="46"/>
      <c r="I55" s="46"/>
      <c r="J55" s="46">
        <v>91</v>
      </c>
      <c r="K55" s="46">
        <v>140</v>
      </c>
      <c r="L55" s="46">
        <v>71</v>
      </c>
      <c r="M55" s="46">
        <v>70</v>
      </c>
      <c r="N55" s="289">
        <f t="shared" si="3"/>
        <v>372</v>
      </c>
      <c r="O55" s="285">
        <f t="shared" si="4"/>
        <v>93</v>
      </c>
      <c r="P55" s="286">
        <f t="shared" si="5"/>
        <v>1.9470323458599392</v>
      </c>
    </row>
    <row r="56" spans="1:16" customFormat="1" ht="15" customHeight="1">
      <c r="A56" s="287" t="s">
        <v>275</v>
      </c>
      <c r="B56" s="290"/>
      <c r="C56" s="216"/>
      <c r="D56" s="46"/>
      <c r="E56" s="46"/>
      <c r="F56" s="46"/>
      <c r="G56" s="46"/>
      <c r="H56" s="46"/>
      <c r="I56" s="46"/>
      <c r="J56" s="46">
        <v>14</v>
      </c>
      <c r="K56" s="46">
        <v>33</v>
      </c>
      <c r="L56" s="46">
        <v>23</v>
      </c>
      <c r="M56" s="46">
        <v>22</v>
      </c>
      <c r="N56" s="289">
        <f t="shared" si="3"/>
        <v>92</v>
      </c>
      <c r="O56" s="285">
        <f t="shared" si="4"/>
        <v>23</v>
      </c>
      <c r="P56" s="286">
        <f t="shared" si="5"/>
        <v>0.48152412854600651</v>
      </c>
    </row>
    <row r="57" spans="1:16" customFormat="1" ht="15" customHeight="1">
      <c r="A57" s="287" t="s">
        <v>276</v>
      </c>
      <c r="B57" s="290"/>
      <c r="C57" s="216"/>
      <c r="D57" s="46"/>
      <c r="E57" s="46"/>
      <c r="F57" s="46"/>
      <c r="G57" s="46"/>
      <c r="H57" s="46"/>
      <c r="I57" s="46"/>
      <c r="J57" s="46">
        <v>51</v>
      </c>
      <c r="K57" s="46">
        <v>75</v>
      </c>
      <c r="L57" s="46">
        <v>55</v>
      </c>
      <c r="M57" s="46">
        <v>53</v>
      </c>
      <c r="N57" s="289">
        <f t="shared" si="3"/>
        <v>234</v>
      </c>
      <c r="O57" s="285">
        <f t="shared" si="4"/>
        <v>58.5</v>
      </c>
      <c r="P57" s="286">
        <f t="shared" si="5"/>
        <v>1.2247461530409296</v>
      </c>
    </row>
    <row r="58" spans="1:16" customFormat="1" ht="15" customHeight="1">
      <c r="A58" s="287" t="s">
        <v>277</v>
      </c>
      <c r="B58" s="290"/>
      <c r="C58" s="216"/>
      <c r="D58" s="46"/>
      <c r="E58" s="46"/>
      <c r="F58" s="46"/>
      <c r="G58" s="46"/>
      <c r="H58" s="46"/>
      <c r="I58" s="46"/>
      <c r="J58" s="46">
        <v>13</v>
      </c>
      <c r="K58" s="46">
        <v>7</v>
      </c>
      <c r="L58" s="46">
        <v>16</v>
      </c>
      <c r="M58" s="46">
        <v>5</v>
      </c>
      <c r="N58" s="289">
        <f t="shared" si="3"/>
        <v>41</v>
      </c>
      <c r="O58" s="285">
        <f t="shared" si="4"/>
        <v>10.25</v>
      </c>
      <c r="P58" s="286">
        <f t="shared" si="5"/>
        <v>0.21459227467811159</v>
      </c>
    </row>
    <row r="59" spans="1:16" customFormat="1" ht="15" customHeight="1">
      <c r="A59" s="287" t="s">
        <v>278</v>
      </c>
      <c r="B59" s="290"/>
      <c r="C59" s="216"/>
      <c r="D59" s="46"/>
      <c r="E59" s="46"/>
      <c r="F59" s="46"/>
      <c r="G59" s="46"/>
      <c r="H59" s="46"/>
      <c r="I59" s="46"/>
      <c r="J59" s="46">
        <v>59</v>
      </c>
      <c r="K59" s="46">
        <v>70</v>
      </c>
      <c r="L59" s="46">
        <v>52</v>
      </c>
      <c r="M59" s="46">
        <v>71</v>
      </c>
      <c r="N59" s="289">
        <f t="shared" si="3"/>
        <v>252</v>
      </c>
      <c r="O59" s="285">
        <f t="shared" si="4"/>
        <v>63</v>
      </c>
      <c r="P59" s="286">
        <f t="shared" si="5"/>
        <v>1.3189573955825395</v>
      </c>
    </row>
    <row r="60" spans="1:16" customFormat="1" ht="15" customHeight="1">
      <c r="A60" s="287" t="s">
        <v>279</v>
      </c>
      <c r="B60" s="290"/>
      <c r="C60" s="216"/>
      <c r="D60" s="46"/>
      <c r="E60" s="46"/>
      <c r="F60" s="46"/>
      <c r="G60" s="46"/>
      <c r="H60" s="46"/>
      <c r="I60" s="46"/>
      <c r="J60" s="46">
        <v>4</v>
      </c>
      <c r="K60" s="46">
        <v>14</v>
      </c>
      <c r="L60" s="46">
        <v>5</v>
      </c>
      <c r="M60" s="46">
        <v>10</v>
      </c>
      <c r="N60" s="289">
        <f t="shared" si="3"/>
        <v>33</v>
      </c>
      <c r="O60" s="285">
        <f t="shared" si="4"/>
        <v>8.25</v>
      </c>
      <c r="P60" s="286">
        <f t="shared" si="5"/>
        <v>0.17272061132628494</v>
      </c>
    </row>
    <row r="61" spans="1:16" customFormat="1" ht="15" customHeight="1">
      <c r="A61" s="287" t="s">
        <v>280</v>
      </c>
      <c r="B61" s="290"/>
      <c r="C61" s="216"/>
      <c r="D61" s="46"/>
      <c r="E61" s="46"/>
      <c r="F61" s="46"/>
      <c r="G61" s="46"/>
      <c r="H61" s="46"/>
      <c r="I61" s="46"/>
      <c r="J61" s="46">
        <v>26</v>
      </c>
      <c r="K61" s="46">
        <v>51</v>
      </c>
      <c r="L61" s="46">
        <v>43</v>
      </c>
      <c r="M61" s="46">
        <v>47</v>
      </c>
      <c r="N61" s="289">
        <f t="shared" si="3"/>
        <v>167</v>
      </c>
      <c r="O61" s="285">
        <f t="shared" si="4"/>
        <v>41.75</v>
      </c>
      <c r="P61" s="286">
        <f t="shared" si="5"/>
        <v>0.87407097246938126</v>
      </c>
    </row>
    <row r="62" spans="1:16" customFormat="1" ht="15" customHeight="1">
      <c r="A62" s="287" t="s">
        <v>281</v>
      </c>
      <c r="B62" s="290"/>
      <c r="C62" s="216"/>
      <c r="D62" s="46"/>
      <c r="E62" s="46"/>
      <c r="F62" s="46"/>
      <c r="G62" s="46"/>
      <c r="H62" s="46"/>
      <c r="I62" s="46"/>
      <c r="J62" s="46">
        <v>25</v>
      </c>
      <c r="K62" s="46">
        <v>54</v>
      </c>
      <c r="L62" s="46">
        <v>52</v>
      </c>
      <c r="M62" s="46">
        <v>38</v>
      </c>
      <c r="N62" s="289">
        <f t="shared" si="3"/>
        <v>169</v>
      </c>
      <c r="O62" s="285">
        <f t="shared" si="4"/>
        <v>42.25</v>
      </c>
      <c r="P62" s="286">
        <f t="shared" si="5"/>
        <v>0.88453888830733807</v>
      </c>
    </row>
    <row r="63" spans="1:16" customFormat="1" ht="15" customHeight="1">
      <c r="A63" s="287" t="s">
        <v>282</v>
      </c>
      <c r="B63" s="290"/>
      <c r="C63" s="216"/>
      <c r="D63" s="46"/>
      <c r="E63" s="46"/>
      <c r="F63" s="46"/>
      <c r="G63" s="46"/>
      <c r="H63" s="46"/>
      <c r="I63" s="46"/>
      <c r="J63" s="46">
        <v>46</v>
      </c>
      <c r="K63" s="46">
        <v>57</v>
      </c>
      <c r="L63" s="46">
        <v>34</v>
      </c>
      <c r="M63" s="46">
        <v>42</v>
      </c>
      <c r="N63" s="289">
        <f t="shared" si="3"/>
        <v>179</v>
      </c>
      <c r="O63" s="285">
        <f t="shared" si="4"/>
        <v>44.75</v>
      </c>
      <c r="P63" s="286">
        <f t="shared" si="5"/>
        <v>0.93687846749712123</v>
      </c>
    </row>
    <row r="64" spans="1:16" customFormat="1" ht="15" customHeight="1">
      <c r="A64" s="287" t="s">
        <v>283</v>
      </c>
      <c r="B64" s="290"/>
      <c r="C64" s="216"/>
      <c r="D64" s="46"/>
      <c r="E64" s="46"/>
      <c r="F64" s="46"/>
      <c r="G64" s="46"/>
      <c r="H64" s="46"/>
      <c r="I64" s="46"/>
      <c r="J64" s="46">
        <v>69</v>
      </c>
      <c r="K64" s="46">
        <v>68</v>
      </c>
      <c r="L64" s="46">
        <v>51</v>
      </c>
      <c r="M64" s="46">
        <v>44</v>
      </c>
      <c r="N64" s="289">
        <f t="shared" si="3"/>
        <v>232</v>
      </c>
      <c r="O64" s="285">
        <f t="shared" si="4"/>
        <v>58</v>
      </c>
      <c r="P64" s="286">
        <f t="shared" si="5"/>
        <v>1.214278237202973</v>
      </c>
    </row>
    <row r="65" spans="1:16" customFormat="1" ht="15" customHeight="1">
      <c r="A65" s="287" t="s">
        <v>284</v>
      </c>
      <c r="B65" s="290"/>
      <c r="C65" s="216"/>
      <c r="D65" s="46"/>
      <c r="E65" s="46"/>
      <c r="F65" s="46"/>
      <c r="G65" s="46"/>
      <c r="H65" s="46"/>
      <c r="I65" s="46"/>
      <c r="J65" s="46">
        <v>17</v>
      </c>
      <c r="K65" s="46">
        <v>27</v>
      </c>
      <c r="L65" s="46">
        <v>34</v>
      </c>
      <c r="M65" s="46">
        <v>32</v>
      </c>
      <c r="N65" s="289">
        <f t="shared" si="3"/>
        <v>110</v>
      </c>
      <c r="O65" s="285">
        <f t="shared" si="4"/>
        <v>27.5</v>
      </c>
      <c r="P65" s="286">
        <f t="shared" si="5"/>
        <v>0.57573537108761641</v>
      </c>
    </row>
    <row r="66" spans="1:16" customFormat="1" ht="15.75" customHeight="1">
      <c r="A66" s="287" t="s">
        <v>285</v>
      </c>
      <c r="B66" s="290"/>
      <c r="C66" s="216"/>
      <c r="D66" s="46"/>
      <c r="E66" s="46"/>
      <c r="F66" s="46"/>
      <c r="G66" s="46"/>
      <c r="H66" s="46"/>
      <c r="I66" s="46"/>
      <c r="J66" s="46">
        <v>17</v>
      </c>
      <c r="K66" s="46">
        <v>17</v>
      </c>
      <c r="L66" s="46">
        <v>20</v>
      </c>
      <c r="M66" s="46">
        <v>10</v>
      </c>
      <c r="N66" s="289">
        <f t="shared" si="3"/>
        <v>64</v>
      </c>
      <c r="O66" s="285">
        <f t="shared" si="4"/>
        <v>16</v>
      </c>
      <c r="P66" s="286">
        <f t="shared" si="5"/>
        <v>0.33497330681461324</v>
      </c>
    </row>
    <row r="67" spans="1:16" customFormat="1" ht="15.75" customHeight="1">
      <c r="A67" s="287" t="s">
        <v>286</v>
      </c>
      <c r="B67" s="290"/>
      <c r="C67" s="216"/>
      <c r="D67" s="46"/>
      <c r="E67" s="46"/>
      <c r="F67" s="46"/>
      <c r="G67" s="46"/>
      <c r="H67" s="46"/>
      <c r="I67" s="46"/>
      <c r="J67" s="46">
        <v>19</v>
      </c>
      <c r="K67" s="46">
        <v>21</v>
      </c>
      <c r="L67" s="46">
        <v>12</v>
      </c>
      <c r="M67" s="46">
        <v>23</v>
      </c>
      <c r="N67" s="289">
        <f t="shared" si="3"/>
        <v>75</v>
      </c>
      <c r="O67" s="285">
        <f t="shared" si="4"/>
        <v>18.75</v>
      </c>
      <c r="P67" s="286">
        <f t="shared" si="5"/>
        <v>0.39254684392337491</v>
      </c>
    </row>
    <row r="68" spans="1:16" customFormat="1" ht="15" customHeight="1">
      <c r="A68" s="287" t="s">
        <v>287</v>
      </c>
      <c r="B68" s="290"/>
      <c r="C68" s="216"/>
      <c r="D68" s="46"/>
      <c r="E68" s="46"/>
      <c r="F68" s="46"/>
      <c r="G68" s="46"/>
      <c r="H68" s="47"/>
      <c r="I68" s="46"/>
      <c r="J68" s="46">
        <v>63</v>
      </c>
      <c r="K68" s="46">
        <v>78</v>
      </c>
      <c r="L68" s="46">
        <v>72</v>
      </c>
      <c r="M68" s="46">
        <v>46</v>
      </c>
      <c r="N68" s="289">
        <f t="shared" si="3"/>
        <v>259</v>
      </c>
      <c r="O68" s="285">
        <f t="shared" si="4"/>
        <v>64.75</v>
      </c>
      <c r="P68" s="286">
        <f t="shared" si="5"/>
        <v>1.3555951010153877</v>
      </c>
    </row>
    <row r="69" spans="1:16" customFormat="1" ht="15">
      <c r="A69" s="287" t="s">
        <v>288</v>
      </c>
      <c r="B69" s="290"/>
      <c r="C69" s="216"/>
      <c r="D69" s="46"/>
      <c r="E69" s="46"/>
      <c r="F69" s="46"/>
      <c r="G69" s="46"/>
      <c r="H69" s="47"/>
      <c r="I69" s="46"/>
      <c r="J69" s="46">
        <v>27</v>
      </c>
      <c r="K69" s="46">
        <v>27</v>
      </c>
      <c r="L69" s="46">
        <v>42</v>
      </c>
      <c r="M69" s="46">
        <v>28</v>
      </c>
      <c r="N69" s="289">
        <f t="shared" ref="N69:N71" si="6">SUM(B69:M69)</f>
        <v>124</v>
      </c>
      <c r="O69" s="285">
        <f t="shared" si="4"/>
        <v>31</v>
      </c>
      <c r="P69" s="286">
        <f t="shared" si="5"/>
        <v>0.64901078195331308</v>
      </c>
    </row>
    <row r="70" spans="1:16" customFormat="1" ht="15">
      <c r="A70" s="287" t="s">
        <v>289</v>
      </c>
      <c r="B70" s="290"/>
      <c r="C70" s="216"/>
      <c r="D70" s="46"/>
      <c r="E70" s="46"/>
      <c r="F70" s="46"/>
      <c r="G70" s="46"/>
      <c r="H70" s="47"/>
      <c r="I70" s="46"/>
      <c r="J70" s="46">
        <v>39</v>
      </c>
      <c r="K70" s="46">
        <v>65</v>
      </c>
      <c r="L70" s="46">
        <v>59</v>
      </c>
      <c r="M70" s="46">
        <v>48</v>
      </c>
      <c r="N70" s="289">
        <f t="shared" si="6"/>
        <v>211</v>
      </c>
      <c r="O70" s="285">
        <f t="shared" si="4"/>
        <v>52.75</v>
      </c>
      <c r="P70" s="286">
        <f t="shared" si="5"/>
        <v>1.1043651209044281</v>
      </c>
    </row>
    <row r="71" spans="1:16" customFormat="1" ht="15.75" thickBot="1">
      <c r="A71" s="292" t="s">
        <v>290</v>
      </c>
      <c r="B71" s="293"/>
      <c r="C71" s="294"/>
      <c r="D71" s="295"/>
      <c r="E71" s="295"/>
      <c r="F71" s="295"/>
      <c r="G71" s="295"/>
      <c r="H71" s="296"/>
      <c r="I71" s="295"/>
      <c r="J71" s="55">
        <v>57</v>
      </c>
      <c r="K71" s="46">
        <v>44</v>
      </c>
      <c r="L71" s="55">
        <v>32</v>
      </c>
      <c r="M71" s="55">
        <v>17</v>
      </c>
      <c r="N71" s="297">
        <f t="shared" si="6"/>
        <v>150</v>
      </c>
      <c r="O71" s="298">
        <f t="shared" si="4"/>
        <v>37.5</v>
      </c>
      <c r="P71" s="299">
        <f t="shared" si="5"/>
        <v>0.78509368784674982</v>
      </c>
    </row>
    <row r="72" spans="1:16" customFormat="1" ht="15.75" thickBot="1">
      <c r="A72" s="277" t="s">
        <v>5</v>
      </c>
      <c r="B72" s="300"/>
      <c r="C72" s="62"/>
      <c r="D72" s="300"/>
      <c r="E72" s="301"/>
      <c r="F72" s="301"/>
      <c r="G72" s="301"/>
      <c r="H72" s="301"/>
      <c r="I72" s="302"/>
      <c r="J72" s="65">
        <f>SUM(J5:J71)</f>
        <v>4687</v>
      </c>
      <c r="K72" s="65">
        <f>SUM(K5:K71)</f>
        <v>5517</v>
      </c>
      <c r="L72" s="65">
        <f>SUM(L5:L71)</f>
        <v>4645</v>
      </c>
      <c r="M72" s="66">
        <f>SUM(M5:M71)</f>
        <v>4257</v>
      </c>
      <c r="N72" s="303">
        <f>SUM(N5:N71)</f>
        <v>19106</v>
      </c>
      <c r="O72" s="66">
        <f t="shared" si="4"/>
        <v>4776.5</v>
      </c>
      <c r="P72" s="304">
        <f>SUM(P5:P71)</f>
        <v>100.00000000000001</v>
      </c>
    </row>
    <row r="73" spans="1:16" customFormat="1" ht="15">
      <c r="A73" s="208"/>
      <c r="B73" s="209"/>
      <c r="C73" s="209"/>
      <c r="D73" s="209"/>
      <c r="E73" s="209"/>
      <c r="F73" s="209"/>
      <c r="G73" s="182"/>
      <c r="H73" s="209"/>
      <c r="I73" s="209"/>
      <c r="J73" s="209"/>
      <c r="K73" s="209"/>
      <c r="L73" s="209"/>
      <c r="M73" s="210"/>
      <c r="N73" s="210"/>
      <c r="O73" s="13"/>
      <c r="P73" s="13"/>
    </row>
    <row r="74" spans="1:16">
      <c r="A74" s="305" t="s">
        <v>291</v>
      </c>
    </row>
    <row r="75" spans="1:16">
      <c r="A75" s="305" t="s">
        <v>292</v>
      </c>
    </row>
  </sheetData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21</vt:i4>
      </vt:variant>
    </vt:vector>
  </HeadingPairs>
  <TitlesOfParts>
    <vt:vector size="21" baseType="lpstr">
      <vt:lpstr>Texto</vt:lpstr>
      <vt:lpstr>Protocolos</vt:lpstr>
      <vt:lpstr>Canais_atendimento</vt:lpstr>
      <vt:lpstr>Assuntos</vt:lpstr>
      <vt:lpstr>10_Assuntos_+_demadados_2023</vt:lpstr>
      <vt:lpstr>Assuntos-variação_10_mais_2023</vt:lpstr>
      <vt:lpstr>ASSUNTOS_10+_últimos_3_meses</vt:lpstr>
      <vt:lpstr>10_ASSUNTOS_+_demandados_ABR_23</vt:lpstr>
      <vt:lpstr>UNIDADES</vt:lpstr>
      <vt:lpstr>10_UNIDADES_+_demandadas_2023</vt:lpstr>
      <vt:lpstr>Unidades_-variação_10_mais_2023</vt:lpstr>
      <vt:lpstr>UNIDADES_-_10+_últimos_3_meses</vt:lpstr>
      <vt:lpstr>10_Unidades+_demandados__MAR_23</vt:lpstr>
      <vt:lpstr>Subprefeituras_2023</vt:lpstr>
      <vt:lpstr>10_SUB's_+_demandadas_2023</vt:lpstr>
      <vt:lpstr>Subs_-Variação_10_mais_2023</vt:lpstr>
      <vt:lpstr>Ranking_subprefeituras_ABR_23</vt:lpstr>
      <vt:lpstr>Denúncia_Protocolos_2023</vt:lpstr>
      <vt:lpstr>e-SIC_2023</vt:lpstr>
      <vt:lpstr>P</vt:lpstr>
      <vt:lpstr>Pandemia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Marcio Ramires</cp:lastModifiedBy>
  <cp:lastPrinted>2022-10-05T13:14:48Z</cp:lastPrinted>
  <dcterms:created xsi:type="dcterms:W3CDTF">2018-08-01T11:52:47Z</dcterms:created>
  <dcterms:modified xsi:type="dcterms:W3CDTF">2023-08-27T20:56:38Z</dcterms:modified>
</cp:coreProperties>
</file>