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adscops001\COVS\TRIMESTRAIS_TCM\Trimestrais revistos_2022\"/>
    </mc:Choice>
  </mc:AlternateContent>
  <xr:revisionPtr revIDLastSave="0" documentId="13_ncr:1_{17AD2352-7E99-4CD4-8602-32E76F1A7FA8}" xr6:coauthVersionLast="47" xr6:coauthVersionMax="47" xr10:uidLastSave="{00000000-0000-0000-0000-000000000000}"/>
  <bookViews>
    <workbookView xWindow="3375" yWindow="3795" windowWidth="12540" windowHeight="10665" firstSheet="24" activeTab="25" xr2:uid="{21C381EB-659D-46CF-95B8-170CF77367AA}"/>
  </bookViews>
  <sheets>
    <sheet name="NPJ CPOP" sheetId="40" r:id="rId1"/>
    <sheet name=" NPJ CREAS" sheetId="39" r:id="rId2"/>
    <sheet name="NCPOPR" sheetId="38" r:id="rId3"/>
    <sheet name="CIRCO SOCIAL" sheetId="37" r:id="rId4"/>
    <sheet name="CRECI" sheetId="36" r:id="rId5"/>
    <sheet name="FAMÍLIA ACOLHEDORA" sheetId="35" r:id="rId6"/>
    <sheet name="Abordagem_CCr_Adol (2)" sheetId="21" r:id="rId7"/>
    <sheet name="Abordagem_Adultos (2)" sheetId="22" r:id="rId8"/>
    <sheet name="ILPI (2)" sheetId="25" r:id="rId9"/>
    <sheet name="Casa Lar (2)" sheetId="23" r:id="rId10"/>
    <sheet name="SAICA (2)" sheetId="24" r:id="rId11"/>
    <sheet name="CAE Famílias (2)" sheetId="26" r:id="rId12"/>
    <sheet name="CA_Convalescente (2)" sheetId="27" r:id="rId13"/>
    <sheet name="República Adultos (2)" sheetId="28" r:id="rId14"/>
    <sheet name="República Jovem" sheetId="12" r:id="rId15"/>
    <sheet name="CA Mulheres Pop Rua_Trans_Imigr" sheetId="9" r:id="rId16"/>
    <sheet name="CAE Idoso (2)" sheetId="29" r:id="rId17"/>
    <sheet name="CA 24h (2)" sheetId="30" r:id="rId18"/>
    <sheet name="CCA" sheetId="16" r:id="rId19"/>
    <sheet name="CJ" sheetId="18" r:id="rId20"/>
    <sheet name="CEDESP" sheetId="17" r:id="rId21"/>
    <sheet name="CCINTER (2)" sheetId="31" r:id="rId22"/>
    <sheet name="SASF (2)" sheetId="32" r:id="rId23"/>
    <sheet name="NCI_Domiciliar" sheetId="33" r:id="rId24"/>
    <sheet name="NCI_Convivência" sheetId="34" r:id="rId25"/>
    <sheet name="NAISPD" sheetId="42" r:id="rId26"/>
  </sheets>
  <definedNames>
    <definedName name="_xlnm.Print_Area" localSheetId="7">'Abordagem_Adultos (2)'!$B$1:$F$103</definedName>
    <definedName name="_xlnm.Print_Area" localSheetId="6">'Abordagem_CCr_Adol (2)'!$B$1:$F$104</definedName>
    <definedName name="_xlnm.Print_Area" localSheetId="11">'CAE Famílias (2)'!$D$2:$D$3</definedName>
    <definedName name="_xlnm.Print_Area" localSheetId="18">CCA!$A$1:$X$41</definedName>
    <definedName name="_xlnm.Print_Area" localSheetId="19">CJ!$B$1:$M$24</definedName>
    <definedName name="_xlnm.Print_Area" localSheetId="10">'SAICA (2)'!$D$2:$D$2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42" l="1"/>
  <c r="C24" i="42"/>
  <c r="J14" i="42"/>
  <c r="M9" i="38" l="1"/>
  <c r="J9" i="38"/>
  <c r="G9" i="38"/>
  <c r="D9" i="38"/>
  <c r="Q35" i="39"/>
  <c r="M35" i="39"/>
  <c r="I35" i="39"/>
  <c r="E35" i="39"/>
  <c r="P35" i="39"/>
  <c r="L35" i="39"/>
  <c r="H35" i="39"/>
  <c r="D35" i="39"/>
  <c r="E10" i="40"/>
  <c r="I10" i="40"/>
  <c r="Q10" i="40"/>
  <c r="M10" i="40"/>
  <c r="P10" i="40"/>
  <c r="L10" i="40"/>
  <c r="H10" i="40"/>
  <c r="D10" i="40"/>
  <c r="O10" i="40"/>
  <c r="N10" i="40"/>
  <c r="K10" i="40"/>
  <c r="J10" i="40"/>
  <c r="G10" i="40"/>
  <c r="F10" i="40"/>
  <c r="C10" i="40"/>
  <c r="B10" i="40"/>
  <c r="Q9" i="40"/>
  <c r="M9" i="40"/>
  <c r="I9" i="40"/>
  <c r="E9" i="40"/>
  <c r="Q8" i="40"/>
  <c r="M8" i="40"/>
  <c r="I8" i="40"/>
  <c r="Q7" i="40"/>
  <c r="M7" i="40"/>
  <c r="I7" i="40"/>
  <c r="E7" i="40"/>
  <c r="Q6" i="40"/>
  <c r="M6" i="40"/>
  <c r="I6" i="40"/>
  <c r="E6" i="40"/>
  <c r="Q5" i="40"/>
  <c r="M5" i="40"/>
  <c r="I5" i="40"/>
  <c r="E5" i="40"/>
  <c r="O35" i="39"/>
  <c r="N35" i="39"/>
  <c r="K35" i="39"/>
  <c r="J35" i="39"/>
  <c r="G35" i="39"/>
  <c r="F35" i="39"/>
  <c r="C35" i="39"/>
  <c r="B35" i="39"/>
  <c r="Q34" i="39"/>
  <c r="M34" i="39"/>
  <c r="I34" i="39"/>
  <c r="E34" i="39"/>
  <c r="Q33" i="39"/>
  <c r="M33" i="39"/>
  <c r="I33" i="39"/>
  <c r="E33" i="39"/>
  <c r="Q32" i="39"/>
  <c r="M32" i="39"/>
  <c r="I32" i="39"/>
  <c r="E32" i="39"/>
  <c r="Q31" i="39"/>
  <c r="M31" i="39"/>
  <c r="I31" i="39"/>
  <c r="E31" i="39"/>
  <c r="Q30" i="39"/>
  <c r="M30" i="39"/>
  <c r="I30" i="39"/>
  <c r="E30" i="39"/>
  <c r="Q29" i="39"/>
  <c r="M29" i="39"/>
  <c r="I29" i="39"/>
  <c r="E29" i="39"/>
  <c r="Q28" i="39"/>
  <c r="M28" i="39"/>
  <c r="I28" i="39"/>
  <c r="E28" i="39"/>
  <c r="Q27" i="39"/>
  <c r="M27" i="39"/>
  <c r="I27" i="39"/>
  <c r="E27" i="39"/>
  <c r="Q26" i="39"/>
  <c r="M26" i="39"/>
  <c r="I26" i="39"/>
  <c r="E26" i="39"/>
  <c r="Q25" i="39"/>
  <c r="M25" i="39"/>
  <c r="I25" i="39"/>
  <c r="E25" i="39"/>
  <c r="Q24" i="39"/>
  <c r="M24" i="39"/>
  <c r="I24" i="39"/>
  <c r="E24" i="39"/>
  <c r="Q23" i="39"/>
  <c r="M23" i="39"/>
  <c r="I23" i="39"/>
  <c r="E23" i="39"/>
  <c r="Q22" i="39"/>
  <c r="M22" i="39"/>
  <c r="I22" i="39"/>
  <c r="E22" i="39"/>
  <c r="Q21" i="39"/>
  <c r="M21" i="39"/>
  <c r="I21" i="39"/>
  <c r="E21" i="39"/>
  <c r="Q20" i="39"/>
  <c r="M20" i="39"/>
  <c r="I20" i="39"/>
  <c r="E20" i="39"/>
  <c r="Q19" i="39"/>
  <c r="M19" i="39"/>
  <c r="I19" i="39"/>
  <c r="E19" i="39"/>
  <c r="Q18" i="39"/>
  <c r="M18" i="39"/>
  <c r="I18" i="39"/>
  <c r="E18" i="39"/>
  <c r="Q17" i="39"/>
  <c r="M17" i="39"/>
  <c r="I17" i="39"/>
  <c r="E17" i="39"/>
  <c r="Q16" i="39"/>
  <c r="M16" i="39"/>
  <c r="I16" i="39"/>
  <c r="E16" i="39"/>
  <c r="Q15" i="39"/>
  <c r="M15" i="39"/>
  <c r="I15" i="39"/>
  <c r="E15" i="39"/>
  <c r="Q14" i="39"/>
  <c r="M14" i="39"/>
  <c r="I14" i="39"/>
  <c r="E14" i="39"/>
  <c r="Q13" i="39"/>
  <c r="M13" i="39"/>
  <c r="I13" i="39"/>
  <c r="E13" i="39"/>
  <c r="Q12" i="39"/>
  <c r="M12" i="39"/>
  <c r="I12" i="39"/>
  <c r="E12" i="39"/>
  <c r="Q11" i="39"/>
  <c r="M11" i="39"/>
  <c r="I11" i="39"/>
  <c r="E11" i="39"/>
  <c r="Q10" i="39"/>
  <c r="M10" i="39"/>
  <c r="I10" i="39"/>
  <c r="E10" i="39"/>
  <c r="Q9" i="39"/>
  <c r="M9" i="39"/>
  <c r="I9" i="39"/>
  <c r="E9" i="39"/>
  <c r="Q8" i="39"/>
  <c r="M8" i="39"/>
  <c r="I8" i="39"/>
  <c r="E8" i="39"/>
  <c r="Q7" i="39"/>
  <c r="M7" i="39"/>
  <c r="I7" i="39"/>
  <c r="E7" i="39"/>
  <c r="Q6" i="39"/>
  <c r="M6" i="39"/>
  <c r="I6" i="39"/>
  <c r="E6" i="39"/>
  <c r="Q5" i="39"/>
  <c r="M5" i="39"/>
  <c r="I5" i="39"/>
  <c r="E5" i="39"/>
  <c r="L9" i="38"/>
  <c r="K9" i="38"/>
  <c r="I9" i="38"/>
  <c r="H9" i="38"/>
  <c r="F9" i="38"/>
  <c r="E9" i="38"/>
  <c r="C9" i="38"/>
  <c r="B9" i="38"/>
  <c r="L10" i="37"/>
  <c r="K10" i="37"/>
  <c r="I10" i="37"/>
  <c r="H10" i="37"/>
  <c r="F10" i="37"/>
  <c r="E10" i="37"/>
  <c r="C10" i="37"/>
  <c r="B10" i="37"/>
  <c r="Q6" i="36"/>
  <c r="M6" i="36"/>
  <c r="I6" i="36"/>
  <c r="E6" i="36"/>
  <c r="O8" i="35"/>
  <c r="N8" i="35"/>
  <c r="M8" i="35"/>
  <c r="L8" i="35"/>
  <c r="K8" i="35"/>
  <c r="J8" i="35"/>
  <c r="I8" i="35"/>
  <c r="H8" i="35"/>
  <c r="G8" i="35"/>
  <c r="F8" i="35"/>
  <c r="E8" i="35"/>
  <c r="D8" i="35"/>
  <c r="C8" i="35"/>
  <c r="B8" i="35"/>
  <c r="C36" i="34" l="1"/>
  <c r="C36" i="33"/>
  <c r="O10" i="26"/>
  <c r="H10" i="26"/>
  <c r="O37" i="24"/>
  <c r="H37" i="24"/>
  <c r="O8" i="23"/>
  <c r="H8" i="23"/>
  <c r="L33" i="32"/>
  <c r="K33" i="32"/>
  <c r="I33" i="32"/>
  <c r="H33" i="32"/>
  <c r="F33" i="32"/>
  <c r="E33" i="32"/>
  <c r="C33" i="32"/>
  <c r="B33" i="32"/>
  <c r="M32" i="32"/>
  <c r="J32" i="32"/>
  <c r="G32" i="32"/>
  <c r="D32" i="32"/>
  <c r="M31" i="32"/>
  <c r="J31" i="32"/>
  <c r="G31" i="32"/>
  <c r="D31" i="32"/>
  <c r="M30" i="32"/>
  <c r="J30" i="32"/>
  <c r="G30" i="32"/>
  <c r="D30" i="32"/>
  <c r="M29" i="32"/>
  <c r="J29" i="32"/>
  <c r="G29" i="32"/>
  <c r="D29" i="32"/>
  <c r="M28" i="32"/>
  <c r="J28" i="32"/>
  <c r="G28" i="32"/>
  <c r="D28" i="32"/>
  <c r="M27" i="32"/>
  <c r="J27" i="32"/>
  <c r="G27" i="32"/>
  <c r="D27" i="32"/>
  <c r="M26" i="32"/>
  <c r="J26" i="32"/>
  <c r="G26" i="32"/>
  <c r="D26" i="32"/>
  <c r="M25" i="32"/>
  <c r="J25" i="32"/>
  <c r="G25" i="32"/>
  <c r="D25" i="32"/>
  <c r="M24" i="32"/>
  <c r="J24" i="32"/>
  <c r="G24" i="32"/>
  <c r="M23" i="32"/>
  <c r="J23" i="32"/>
  <c r="G23" i="32"/>
  <c r="D23" i="32"/>
  <c r="M22" i="32"/>
  <c r="J22" i="32"/>
  <c r="G22" i="32"/>
  <c r="D22" i="32"/>
  <c r="M21" i="32"/>
  <c r="J21" i="32"/>
  <c r="G21" i="32"/>
  <c r="D21" i="32"/>
  <c r="M20" i="32"/>
  <c r="J20" i="32"/>
  <c r="G20" i="32"/>
  <c r="D20" i="32"/>
  <c r="M19" i="32"/>
  <c r="J19" i="32"/>
  <c r="G19" i="32"/>
  <c r="D19" i="32"/>
  <c r="M18" i="32"/>
  <c r="J18" i="32"/>
  <c r="G18" i="32"/>
  <c r="D18" i="32"/>
  <c r="M17" i="32"/>
  <c r="J17" i="32"/>
  <c r="G17" i="32"/>
  <c r="D17" i="32"/>
  <c r="M16" i="32"/>
  <c r="J16" i="32"/>
  <c r="G16" i="32"/>
  <c r="D16" i="32"/>
  <c r="M15" i="32"/>
  <c r="J15" i="32"/>
  <c r="G15" i="32"/>
  <c r="D15" i="32"/>
  <c r="M14" i="32"/>
  <c r="J14" i="32"/>
  <c r="G14" i="32"/>
  <c r="D14" i="32"/>
  <c r="M13" i="32"/>
  <c r="J13" i="32"/>
  <c r="G13" i="32"/>
  <c r="D13" i="32"/>
  <c r="M12" i="32"/>
  <c r="J12" i="32"/>
  <c r="G12" i="32"/>
  <c r="D12" i="32"/>
  <c r="M11" i="32"/>
  <c r="J11" i="32"/>
  <c r="G11" i="32"/>
  <c r="D11" i="32"/>
  <c r="M10" i="32"/>
  <c r="J10" i="32"/>
  <c r="G10" i="32"/>
  <c r="D10" i="32"/>
  <c r="M9" i="32"/>
  <c r="J9" i="32"/>
  <c r="G9" i="32"/>
  <c r="D9" i="32"/>
  <c r="M8" i="32"/>
  <c r="J8" i="32"/>
  <c r="G8" i="32"/>
  <c r="D8" i="32"/>
  <c r="M7" i="32"/>
  <c r="J7" i="32"/>
  <c r="G7" i="32"/>
  <c r="D7" i="32"/>
  <c r="M6" i="32"/>
  <c r="M33" i="32" s="1"/>
  <c r="J6" i="32"/>
  <c r="J33" i="32" s="1"/>
  <c r="G6" i="32"/>
  <c r="G33" i="32" s="1"/>
  <c r="D6" i="32"/>
  <c r="D33" i="32" s="1"/>
  <c r="O20" i="31"/>
  <c r="N20" i="31"/>
  <c r="K20" i="31"/>
  <c r="J20" i="31"/>
  <c r="G20" i="31"/>
  <c r="F20" i="31"/>
  <c r="C20" i="31"/>
  <c r="B20" i="31"/>
  <c r="Q19" i="31"/>
  <c r="P19" i="31"/>
  <c r="M19" i="31"/>
  <c r="L19" i="31"/>
  <c r="I19" i="31"/>
  <c r="H19" i="31"/>
  <c r="E19" i="31"/>
  <c r="D19" i="31"/>
  <c r="P18" i="31"/>
  <c r="L18" i="31"/>
  <c r="I18" i="31"/>
  <c r="H18" i="31"/>
  <c r="E18" i="31"/>
  <c r="D18" i="31"/>
  <c r="Q17" i="31"/>
  <c r="P17" i="31"/>
  <c r="M17" i="31"/>
  <c r="L17" i="31"/>
  <c r="I17" i="31"/>
  <c r="H17" i="31"/>
  <c r="E17" i="31"/>
  <c r="D17" i="31"/>
  <c r="Q16" i="31"/>
  <c r="P16" i="31"/>
  <c r="M16" i="31"/>
  <c r="L16" i="31"/>
  <c r="I16" i="31"/>
  <c r="H16" i="31"/>
  <c r="E16" i="31"/>
  <c r="D16" i="31"/>
  <c r="Q15" i="31"/>
  <c r="P15" i="31"/>
  <c r="M15" i="31"/>
  <c r="L15" i="31"/>
  <c r="H15" i="31"/>
  <c r="E15" i="31"/>
  <c r="D15" i="31"/>
  <c r="Q14" i="31"/>
  <c r="P14" i="31"/>
  <c r="M14" i="31"/>
  <c r="L14" i="31"/>
  <c r="I14" i="31"/>
  <c r="H14" i="31"/>
  <c r="E14" i="31"/>
  <c r="D14" i="31"/>
  <c r="Q13" i="31"/>
  <c r="P13" i="31"/>
  <c r="M13" i="31"/>
  <c r="L13" i="31"/>
  <c r="I13" i="31"/>
  <c r="H13" i="31"/>
  <c r="E13" i="31"/>
  <c r="D13" i="31"/>
  <c r="Q12" i="31"/>
  <c r="P12" i="31"/>
  <c r="M12" i="31"/>
  <c r="L12" i="31"/>
  <c r="I12" i="31"/>
  <c r="I20" i="31" s="1"/>
  <c r="H12" i="31"/>
  <c r="E12" i="31"/>
  <c r="E20" i="31" s="1"/>
  <c r="D12" i="31"/>
  <c r="Q11" i="31"/>
  <c r="P11" i="31"/>
  <c r="M11" i="31"/>
  <c r="L11" i="31"/>
  <c r="L20" i="31" s="1"/>
  <c r="H11" i="31"/>
  <c r="E11" i="31"/>
  <c r="D11" i="31"/>
  <c r="D20" i="31" s="1"/>
  <c r="Q10" i="31"/>
  <c r="P10" i="31"/>
  <c r="M10" i="31"/>
  <c r="L10" i="31"/>
  <c r="H10" i="31"/>
  <c r="E10" i="31"/>
  <c r="D10" i="31"/>
  <c r="Q9" i="31"/>
  <c r="P9" i="31"/>
  <c r="M9" i="31"/>
  <c r="L9" i="31"/>
  <c r="I9" i="31"/>
  <c r="H9" i="31"/>
  <c r="E9" i="31"/>
  <c r="D9" i="31"/>
  <c r="Q8" i="31"/>
  <c r="P8" i="31"/>
  <c r="M8" i="31"/>
  <c r="L8" i="31"/>
  <c r="I8" i="31"/>
  <c r="H8" i="31"/>
  <c r="E8" i="31"/>
  <c r="D8" i="31"/>
  <c r="Q7" i="31"/>
  <c r="P7" i="31"/>
  <c r="M7" i="31"/>
  <c r="L7" i="31"/>
  <c r="I7" i="31"/>
  <c r="H7" i="31"/>
  <c r="E7" i="31"/>
  <c r="D7" i="31"/>
  <c r="Q6" i="31"/>
  <c r="Q20" i="31" s="1"/>
  <c r="P6" i="31"/>
  <c r="P20" i="31" s="1"/>
  <c r="M6" i="31"/>
  <c r="M20" i="31" s="1"/>
  <c r="L6" i="31"/>
  <c r="I6" i="31"/>
  <c r="H6" i="31"/>
  <c r="H20" i="31" s="1"/>
  <c r="E6" i="31"/>
  <c r="D6" i="31"/>
  <c r="M28" i="30"/>
  <c r="L28" i="30"/>
  <c r="J28" i="30"/>
  <c r="I28" i="30"/>
  <c r="F28" i="30"/>
  <c r="E28" i="30"/>
  <c r="C28" i="30"/>
  <c r="B28" i="30"/>
  <c r="N27" i="30"/>
  <c r="K27" i="30"/>
  <c r="G27" i="30"/>
  <c r="D27" i="30"/>
  <c r="N26" i="30"/>
  <c r="K26" i="30"/>
  <c r="G26" i="30"/>
  <c r="D26" i="30"/>
  <c r="N25" i="30"/>
  <c r="K25" i="30"/>
  <c r="G25" i="30"/>
  <c r="D25" i="30"/>
  <c r="N24" i="30"/>
  <c r="K24" i="30"/>
  <c r="G24" i="30"/>
  <c r="D24" i="30"/>
  <c r="N23" i="30"/>
  <c r="K23" i="30"/>
  <c r="G23" i="30"/>
  <c r="D23" i="30"/>
  <c r="N22" i="30"/>
  <c r="K22" i="30"/>
  <c r="G22" i="30"/>
  <c r="D22" i="30"/>
  <c r="N21" i="30"/>
  <c r="K21" i="30"/>
  <c r="G21" i="30"/>
  <c r="D21" i="30"/>
  <c r="N20" i="30"/>
  <c r="K20" i="30"/>
  <c r="G20" i="30"/>
  <c r="D20" i="30"/>
  <c r="N19" i="30"/>
  <c r="K19" i="30"/>
  <c r="G19" i="30"/>
  <c r="D19" i="30"/>
  <c r="N18" i="30"/>
  <c r="K18" i="30"/>
  <c r="G18" i="30"/>
  <c r="D18" i="30"/>
  <c r="N17" i="30"/>
  <c r="K17" i="30"/>
  <c r="G17" i="30"/>
  <c r="D17" i="30"/>
  <c r="N16" i="30"/>
  <c r="K16" i="30"/>
  <c r="G16" i="30"/>
  <c r="D16" i="30"/>
  <c r="N15" i="30"/>
  <c r="K15" i="30"/>
  <c r="G15" i="30"/>
  <c r="D15" i="30"/>
  <c r="N14" i="30"/>
  <c r="K14" i="30"/>
  <c r="G14" i="30"/>
  <c r="D14" i="30"/>
  <c r="N13" i="30"/>
  <c r="K13" i="30"/>
  <c r="G13" i="30"/>
  <c r="D13" i="30"/>
  <c r="N12" i="30"/>
  <c r="K12" i="30"/>
  <c r="G12" i="30"/>
  <c r="D12" i="30"/>
  <c r="N11" i="30"/>
  <c r="G11" i="30"/>
  <c r="D11" i="30"/>
  <c r="N10" i="30"/>
  <c r="K10" i="30"/>
  <c r="G10" i="30"/>
  <c r="D10" i="30"/>
  <c r="N9" i="30"/>
  <c r="K9" i="30"/>
  <c r="G9" i="30"/>
  <c r="D9" i="30"/>
  <c r="N8" i="30"/>
  <c r="K8" i="30"/>
  <c r="G8" i="30"/>
  <c r="D8" i="30"/>
  <c r="N7" i="30"/>
  <c r="K7" i="30"/>
  <c r="N6" i="30"/>
  <c r="K6" i="30"/>
  <c r="G6" i="30"/>
  <c r="D6" i="30"/>
  <c r="N5" i="30"/>
  <c r="K5" i="30"/>
  <c r="G5" i="30"/>
  <c r="D5" i="30"/>
  <c r="M10" i="29"/>
  <c r="L10" i="29"/>
  <c r="J10" i="29"/>
  <c r="I10" i="29"/>
  <c r="F10" i="29"/>
  <c r="E10" i="29"/>
  <c r="C10" i="29"/>
  <c r="B10" i="29"/>
  <c r="N9" i="29"/>
  <c r="N8" i="29"/>
  <c r="K8" i="29"/>
  <c r="G8" i="29"/>
  <c r="D8" i="29"/>
  <c r="N7" i="29"/>
  <c r="K7" i="29"/>
  <c r="G7" i="29"/>
  <c r="D7" i="29"/>
  <c r="N6" i="29"/>
  <c r="K6" i="29"/>
  <c r="G6" i="29"/>
  <c r="D6" i="29"/>
  <c r="N5" i="29"/>
  <c r="K5" i="29"/>
  <c r="G5" i="29"/>
  <c r="D5" i="29"/>
  <c r="N4" i="29"/>
  <c r="K4" i="29"/>
  <c r="G4" i="29"/>
  <c r="D4" i="29"/>
  <c r="N12" i="9"/>
  <c r="N11" i="9"/>
  <c r="N10" i="9"/>
  <c r="N9" i="9"/>
  <c r="N8" i="9"/>
  <c r="N7" i="9"/>
  <c r="N6" i="9"/>
  <c r="N5" i="9"/>
  <c r="K12" i="9"/>
  <c r="K11" i="9"/>
  <c r="K10" i="9"/>
  <c r="K9" i="9"/>
  <c r="K8" i="9"/>
  <c r="K7" i="9"/>
  <c r="K6" i="9"/>
  <c r="K5" i="9"/>
  <c r="G12" i="9"/>
  <c r="G11" i="9"/>
  <c r="G10" i="9"/>
  <c r="G9" i="9"/>
  <c r="G8" i="9"/>
  <c r="G7" i="9"/>
  <c r="G6" i="9"/>
  <c r="G5" i="9"/>
  <c r="D12" i="9"/>
  <c r="D11" i="9"/>
  <c r="D10" i="9"/>
  <c r="D9" i="9"/>
  <c r="D8" i="9"/>
  <c r="D7" i="9"/>
  <c r="D6" i="9"/>
  <c r="D5" i="9"/>
  <c r="M21" i="12"/>
  <c r="M20" i="12"/>
  <c r="M19" i="12"/>
  <c r="M18" i="12"/>
  <c r="M17" i="12"/>
  <c r="M16" i="12"/>
  <c r="M15" i="12"/>
  <c r="M14" i="12"/>
  <c r="M5" i="12"/>
  <c r="J21" i="12"/>
  <c r="J20" i="12"/>
  <c r="J19" i="12"/>
  <c r="J18" i="12"/>
  <c r="J17" i="12"/>
  <c r="J16" i="12"/>
  <c r="J15" i="12"/>
  <c r="J14" i="12"/>
  <c r="J5" i="12"/>
  <c r="G21" i="12"/>
  <c r="G20" i="12"/>
  <c r="G19" i="12"/>
  <c r="G18" i="12"/>
  <c r="G16" i="12"/>
  <c r="G15" i="12"/>
  <c r="G14" i="12"/>
  <c r="G5" i="12"/>
  <c r="D21" i="12"/>
  <c r="D20" i="12"/>
  <c r="D19" i="12"/>
  <c r="D18" i="12"/>
  <c r="D16" i="12"/>
  <c r="D15" i="12"/>
  <c r="D5" i="12"/>
  <c r="M10" i="28"/>
  <c r="L10" i="28"/>
  <c r="J10" i="28"/>
  <c r="I10" i="28"/>
  <c r="F10" i="28"/>
  <c r="E10" i="28"/>
  <c r="C10" i="28"/>
  <c r="B10" i="28"/>
  <c r="N9" i="28"/>
  <c r="K9" i="28"/>
  <c r="G9" i="28"/>
  <c r="D9" i="28"/>
  <c r="N8" i="28"/>
  <c r="K8" i="28"/>
  <c r="G8" i="28"/>
  <c r="N7" i="28"/>
  <c r="K7" i="28"/>
  <c r="G7" i="28"/>
  <c r="D7" i="28"/>
  <c r="N6" i="28"/>
  <c r="K6" i="28"/>
  <c r="G6" i="28"/>
  <c r="D6" i="28"/>
  <c r="N5" i="28"/>
  <c r="K5" i="28"/>
  <c r="G5" i="28"/>
  <c r="G104" i="27"/>
  <c r="D104" i="27"/>
  <c r="N44" i="27"/>
  <c r="K44" i="27"/>
  <c r="G44" i="27"/>
  <c r="D44" i="27"/>
  <c r="M10" i="26"/>
  <c r="L10" i="26"/>
  <c r="J10" i="26"/>
  <c r="I10" i="26"/>
  <c r="F10" i="26"/>
  <c r="E10" i="26"/>
  <c r="C10" i="26"/>
  <c r="B10" i="26"/>
  <c r="N9" i="26"/>
  <c r="K9" i="26"/>
  <c r="G9" i="26"/>
  <c r="D9" i="26"/>
  <c r="N8" i="26"/>
  <c r="N7" i="26"/>
  <c r="K7" i="26"/>
  <c r="G7" i="26"/>
  <c r="D7" i="26"/>
  <c r="N6" i="26"/>
  <c r="K6" i="26"/>
  <c r="G6" i="26"/>
  <c r="D6" i="26"/>
  <c r="N5" i="26"/>
  <c r="K5" i="26"/>
  <c r="G5" i="26"/>
  <c r="D5" i="26"/>
  <c r="N4" i="26"/>
  <c r="K4" i="26"/>
  <c r="G4" i="26"/>
  <c r="D4" i="26"/>
  <c r="D10" i="26" s="1"/>
  <c r="L18" i="25"/>
  <c r="K18" i="25"/>
  <c r="I18" i="25"/>
  <c r="H18" i="25"/>
  <c r="F18" i="25"/>
  <c r="E18" i="25"/>
  <c r="C18" i="25"/>
  <c r="B18" i="25"/>
  <c r="M17" i="25"/>
  <c r="J17" i="25"/>
  <c r="G17" i="25"/>
  <c r="D17" i="25"/>
  <c r="M16" i="25"/>
  <c r="J16" i="25"/>
  <c r="G16" i="25"/>
  <c r="D16" i="25"/>
  <c r="M15" i="25"/>
  <c r="J15" i="25"/>
  <c r="G15" i="25"/>
  <c r="D15" i="25"/>
  <c r="M14" i="25"/>
  <c r="J14" i="25"/>
  <c r="G14" i="25"/>
  <c r="D14" i="25"/>
  <c r="M13" i="25"/>
  <c r="J13" i="25"/>
  <c r="G13" i="25"/>
  <c r="D13" i="25"/>
  <c r="M12" i="25"/>
  <c r="J12" i="25"/>
  <c r="G12" i="25"/>
  <c r="D12" i="25"/>
  <c r="M11" i="25"/>
  <c r="J11" i="25"/>
  <c r="G11" i="25"/>
  <c r="D11" i="25"/>
  <c r="M10" i="25"/>
  <c r="J10" i="25"/>
  <c r="G10" i="25"/>
  <c r="D10" i="25"/>
  <c r="M9" i="25"/>
  <c r="J9" i="25"/>
  <c r="G9" i="25"/>
  <c r="D9" i="25"/>
  <c r="M8" i="25"/>
  <c r="J8" i="25"/>
  <c r="G8" i="25"/>
  <c r="D8" i="25"/>
  <c r="M7" i="25"/>
  <c r="J7" i="25"/>
  <c r="G7" i="25"/>
  <c r="D7" i="25"/>
  <c r="M6" i="25"/>
  <c r="J6" i="25"/>
  <c r="G6" i="25"/>
  <c r="D6" i="25"/>
  <c r="M5" i="25"/>
  <c r="M18" i="25" s="1"/>
  <c r="J5" i="25"/>
  <c r="J18" i="25" s="1"/>
  <c r="G5" i="25"/>
  <c r="G18" i="25" s="1"/>
  <c r="D5" i="25"/>
  <c r="D18" i="25" s="1"/>
  <c r="M37" i="24"/>
  <c r="L37" i="24"/>
  <c r="J37" i="24"/>
  <c r="I37" i="24"/>
  <c r="F37" i="24"/>
  <c r="E37" i="24"/>
  <c r="C37" i="24"/>
  <c r="B37" i="24"/>
  <c r="N36" i="24"/>
  <c r="K36" i="24"/>
  <c r="G36" i="24"/>
  <c r="D36" i="24"/>
  <c r="N35" i="24"/>
  <c r="K35" i="24"/>
  <c r="G35" i="24"/>
  <c r="D35" i="24"/>
  <c r="N34" i="24"/>
  <c r="K34" i="24"/>
  <c r="G34" i="24"/>
  <c r="D34" i="24"/>
  <c r="N33" i="24"/>
  <c r="K33" i="24"/>
  <c r="G33" i="24"/>
  <c r="D33" i="24"/>
  <c r="N32" i="24"/>
  <c r="K32" i="24"/>
  <c r="G32" i="24"/>
  <c r="D32" i="24"/>
  <c r="N31" i="24"/>
  <c r="K31" i="24"/>
  <c r="G31" i="24"/>
  <c r="D31" i="24"/>
  <c r="N30" i="24"/>
  <c r="K30" i="24"/>
  <c r="G30" i="24"/>
  <c r="D30" i="24"/>
  <c r="N29" i="24"/>
  <c r="K29" i="24"/>
  <c r="G29" i="24"/>
  <c r="D29" i="24"/>
  <c r="N28" i="24"/>
  <c r="K28" i="24"/>
  <c r="G28" i="24"/>
  <c r="D28" i="24"/>
  <c r="N27" i="24"/>
  <c r="K27" i="24"/>
  <c r="G27" i="24"/>
  <c r="D27" i="24"/>
  <c r="N26" i="24"/>
  <c r="K26" i="24"/>
  <c r="G26" i="24"/>
  <c r="D26" i="24"/>
  <c r="N25" i="24"/>
  <c r="K25" i="24"/>
  <c r="G25" i="24"/>
  <c r="D25" i="24"/>
  <c r="N24" i="24"/>
  <c r="K24" i="24"/>
  <c r="G24" i="24"/>
  <c r="D24" i="24"/>
  <c r="N23" i="24"/>
  <c r="K23" i="24"/>
  <c r="G23" i="24"/>
  <c r="D23" i="24"/>
  <c r="N22" i="24"/>
  <c r="K22" i="24"/>
  <c r="G22" i="24"/>
  <c r="D22" i="24"/>
  <c r="N21" i="24"/>
  <c r="K21" i="24"/>
  <c r="G21" i="24"/>
  <c r="D21" i="24"/>
  <c r="N20" i="24"/>
  <c r="K20" i="24"/>
  <c r="G20" i="24"/>
  <c r="D20" i="24"/>
  <c r="N19" i="24"/>
  <c r="K19" i="24"/>
  <c r="G19" i="24"/>
  <c r="D19" i="24"/>
  <c r="N18" i="24"/>
  <c r="K18" i="24"/>
  <c r="G18" i="24"/>
  <c r="D18" i="24"/>
  <c r="N17" i="24"/>
  <c r="K17" i="24"/>
  <c r="G17" i="24"/>
  <c r="D17" i="24"/>
  <c r="N16" i="24"/>
  <c r="K16" i="24"/>
  <c r="G16" i="24"/>
  <c r="D16" i="24"/>
  <c r="N15" i="24"/>
  <c r="K15" i="24"/>
  <c r="G15" i="24"/>
  <c r="D15" i="24"/>
  <c r="N14" i="24"/>
  <c r="K14" i="24"/>
  <c r="G14" i="24"/>
  <c r="D14" i="24"/>
  <c r="N13" i="24"/>
  <c r="K13" i="24"/>
  <c r="G13" i="24"/>
  <c r="D13" i="24"/>
  <c r="N12" i="24"/>
  <c r="K12" i="24"/>
  <c r="G12" i="24"/>
  <c r="D12" i="24"/>
  <c r="N11" i="24"/>
  <c r="K11" i="24"/>
  <c r="G11" i="24"/>
  <c r="D11" i="24"/>
  <c r="N10" i="24"/>
  <c r="K10" i="24"/>
  <c r="G10" i="24"/>
  <c r="D10" i="24"/>
  <c r="N9" i="24"/>
  <c r="K9" i="24"/>
  <c r="G9" i="24"/>
  <c r="D9" i="24"/>
  <c r="N8" i="24"/>
  <c r="K8" i="24"/>
  <c r="G8" i="24"/>
  <c r="D8" i="24"/>
  <c r="N7" i="24"/>
  <c r="K7" i="24"/>
  <c r="G7" i="24"/>
  <c r="D7" i="24"/>
  <c r="N6" i="24"/>
  <c r="K6" i="24"/>
  <c r="G6" i="24"/>
  <c r="D6" i="24"/>
  <c r="N5" i="24"/>
  <c r="N37" i="24" s="1"/>
  <c r="K5" i="24"/>
  <c r="K37" i="24" s="1"/>
  <c r="G5" i="24"/>
  <c r="G37" i="24" s="1"/>
  <c r="D5" i="24"/>
  <c r="D37" i="24" s="1"/>
  <c r="N8" i="23"/>
  <c r="M8" i="23"/>
  <c r="L8" i="23"/>
  <c r="J8" i="23"/>
  <c r="I8" i="23"/>
  <c r="F8" i="23"/>
  <c r="E8" i="23"/>
  <c r="N7" i="23"/>
  <c r="K7" i="23"/>
  <c r="G7" i="23"/>
  <c r="D7" i="23"/>
  <c r="N6" i="23"/>
  <c r="K6" i="23"/>
  <c r="G6" i="23"/>
  <c r="D6" i="23"/>
  <c r="N5" i="23"/>
  <c r="K5" i="23"/>
  <c r="K8" i="23" s="1"/>
  <c r="G5" i="23"/>
  <c r="G8" i="23" s="1"/>
  <c r="D5" i="23"/>
  <c r="D8" i="23" s="1"/>
  <c r="N101" i="22"/>
  <c r="M101" i="22"/>
  <c r="K101" i="22"/>
  <c r="J101" i="22"/>
  <c r="I101" i="22"/>
  <c r="H101" i="22"/>
  <c r="G101" i="22"/>
  <c r="E101" i="22"/>
  <c r="D101" i="22"/>
  <c r="O100" i="22"/>
  <c r="L100" i="22"/>
  <c r="I100" i="22"/>
  <c r="F100" i="22"/>
  <c r="O92" i="22"/>
  <c r="L92" i="22"/>
  <c r="I92" i="22"/>
  <c r="F92" i="22"/>
  <c r="O89" i="22"/>
  <c r="L89" i="22"/>
  <c r="I89" i="22"/>
  <c r="F89" i="22"/>
  <c r="O87" i="22"/>
  <c r="L87" i="22"/>
  <c r="I87" i="22"/>
  <c r="F87" i="22"/>
  <c r="O85" i="22"/>
  <c r="L85" i="22"/>
  <c r="I85" i="22"/>
  <c r="F85" i="22"/>
  <c r="O82" i="22"/>
  <c r="L82" i="22"/>
  <c r="I82" i="22"/>
  <c r="F82" i="22"/>
  <c r="O80" i="22"/>
  <c r="L80" i="22"/>
  <c r="I80" i="22"/>
  <c r="F80" i="22"/>
  <c r="O74" i="22"/>
  <c r="L74" i="22"/>
  <c r="O69" i="22"/>
  <c r="L69" i="22"/>
  <c r="I69" i="22"/>
  <c r="F69" i="22"/>
  <c r="O67" i="22"/>
  <c r="L67" i="22"/>
  <c r="I67" i="22"/>
  <c r="F67" i="22"/>
  <c r="O65" i="22"/>
  <c r="L65" i="22"/>
  <c r="O58" i="22"/>
  <c r="L58" i="22"/>
  <c r="I58" i="22"/>
  <c r="F58" i="22"/>
  <c r="O54" i="22"/>
  <c r="L54" i="22"/>
  <c r="I54" i="22"/>
  <c r="F54" i="22"/>
  <c r="O48" i="22"/>
  <c r="L48" i="22"/>
  <c r="I48" i="22"/>
  <c r="F48" i="22"/>
  <c r="O46" i="22"/>
  <c r="L46" i="22"/>
  <c r="I46" i="22"/>
  <c r="F46" i="22"/>
  <c r="O45" i="22"/>
  <c r="L45" i="22"/>
  <c r="I45" i="22"/>
  <c r="F45" i="22"/>
  <c r="O44" i="22"/>
  <c r="L44" i="22"/>
  <c r="I44" i="22"/>
  <c r="F44" i="22"/>
  <c r="O38" i="22"/>
  <c r="L38" i="22"/>
  <c r="I38" i="22"/>
  <c r="F38" i="22"/>
  <c r="O32" i="22"/>
  <c r="L32" i="22"/>
  <c r="I32" i="22"/>
  <c r="F32" i="22"/>
  <c r="O24" i="22"/>
  <c r="L24" i="22"/>
  <c r="I24" i="22"/>
  <c r="F24" i="22"/>
  <c r="O20" i="22"/>
  <c r="L20" i="22"/>
  <c r="I20" i="22"/>
  <c r="O15" i="22"/>
  <c r="L15" i="22"/>
  <c r="I15" i="22"/>
  <c r="F15" i="22"/>
  <c r="O11" i="22"/>
  <c r="L11" i="22"/>
  <c r="I11" i="22"/>
  <c r="F11" i="22"/>
  <c r="O9" i="22"/>
  <c r="O101" i="22" s="1"/>
  <c r="L9" i="22"/>
  <c r="L101" i="22" s="1"/>
  <c r="I9" i="22"/>
  <c r="F9" i="22"/>
  <c r="F101" i="22" s="1"/>
  <c r="N102" i="21"/>
  <c r="M102" i="21"/>
  <c r="K102" i="21"/>
  <c r="J102" i="21"/>
  <c r="H102" i="21"/>
  <c r="G102" i="21"/>
  <c r="E102" i="21"/>
  <c r="D102" i="21"/>
  <c r="O101" i="21"/>
  <c r="L101" i="21"/>
  <c r="I101" i="21"/>
  <c r="F101" i="21"/>
  <c r="O93" i="21"/>
  <c r="L93" i="21"/>
  <c r="I93" i="21"/>
  <c r="F93" i="21"/>
  <c r="O90" i="21"/>
  <c r="L90" i="21"/>
  <c r="I90" i="21"/>
  <c r="F90" i="21"/>
  <c r="O88" i="21"/>
  <c r="L88" i="21"/>
  <c r="I88" i="21"/>
  <c r="F88" i="21"/>
  <c r="O86" i="21"/>
  <c r="L86" i="21"/>
  <c r="I86" i="21"/>
  <c r="F86" i="21"/>
  <c r="O83" i="21"/>
  <c r="L83" i="21"/>
  <c r="I83" i="21"/>
  <c r="F83" i="21"/>
  <c r="O81" i="21"/>
  <c r="L81" i="21"/>
  <c r="I81" i="21"/>
  <c r="F81" i="21"/>
  <c r="O75" i="21"/>
  <c r="L75" i="21"/>
  <c r="O70" i="21"/>
  <c r="L70" i="21"/>
  <c r="I70" i="21"/>
  <c r="F70" i="21"/>
  <c r="O68" i="21"/>
  <c r="L68" i="21"/>
  <c r="I68" i="21"/>
  <c r="F68" i="21"/>
  <c r="O66" i="21"/>
  <c r="L66" i="21"/>
  <c r="O59" i="21"/>
  <c r="L59" i="21"/>
  <c r="I59" i="21"/>
  <c r="F59" i="21"/>
  <c r="O55" i="21"/>
  <c r="L55" i="21"/>
  <c r="I55" i="21"/>
  <c r="F55" i="21"/>
  <c r="O49" i="21"/>
  <c r="L49" i="21"/>
  <c r="I49" i="21"/>
  <c r="F49" i="21"/>
  <c r="O46" i="21"/>
  <c r="L46" i="21"/>
  <c r="I46" i="21"/>
  <c r="F46" i="21"/>
  <c r="O45" i="21"/>
  <c r="L45" i="21"/>
  <c r="I45" i="21"/>
  <c r="F45" i="21"/>
  <c r="O44" i="21"/>
  <c r="L44" i="21"/>
  <c r="I44" i="21"/>
  <c r="F44" i="21"/>
  <c r="O38" i="21"/>
  <c r="L38" i="21"/>
  <c r="I38" i="21"/>
  <c r="F38" i="21"/>
  <c r="O32" i="21"/>
  <c r="L32" i="21"/>
  <c r="I32" i="21"/>
  <c r="F32" i="21"/>
  <c r="O24" i="21"/>
  <c r="L24" i="21"/>
  <c r="I24" i="21"/>
  <c r="I102" i="21" s="1"/>
  <c r="F24" i="21"/>
  <c r="O20" i="21"/>
  <c r="O102" i="21" s="1"/>
  <c r="L20" i="21"/>
  <c r="I20" i="21"/>
  <c r="O15" i="21"/>
  <c r="L15" i="21"/>
  <c r="I15" i="21"/>
  <c r="F15" i="21"/>
  <c r="O11" i="21"/>
  <c r="L11" i="21"/>
  <c r="I11" i="21"/>
  <c r="F11" i="21"/>
  <c r="O9" i="21"/>
  <c r="L9" i="21"/>
  <c r="L102" i="21" s="1"/>
  <c r="I9" i="21"/>
  <c r="F9" i="21"/>
  <c r="F102" i="21" s="1"/>
  <c r="D28" i="30" l="1"/>
  <c r="K28" i="30"/>
  <c r="G28" i="30"/>
  <c r="N28" i="30"/>
  <c r="G10" i="26"/>
  <c r="K10" i="26"/>
  <c r="N10" i="26"/>
  <c r="R33" i="17"/>
  <c r="Q33" i="17"/>
  <c r="M33" i="17"/>
  <c r="L33" i="17"/>
  <c r="H33" i="17" l="1"/>
  <c r="G33" i="17"/>
  <c r="C33" i="17" l="1"/>
  <c r="B33" i="17"/>
  <c r="U24" i="18" l="1"/>
  <c r="T24" i="18"/>
  <c r="O24" i="18" l="1"/>
  <c r="N24" i="18"/>
  <c r="I24" i="18" l="1"/>
  <c r="H24" i="18"/>
  <c r="C24" i="18" l="1"/>
  <c r="B24" i="18"/>
  <c r="X38" i="16" l="1"/>
  <c r="W38" i="16"/>
  <c r="Q38" i="16" l="1"/>
  <c r="P38" i="16"/>
  <c r="J38" i="16" l="1"/>
  <c r="I38" i="16"/>
  <c r="C38" i="16" l="1"/>
  <c r="B38" i="16"/>
  <c r="F22" i="12" l="1"/>
  <c r="E22" i="12"/>
  <c r="I22" i="12" l="1"/>
  <c r="H22" i="12"/>
  <c r="L22" i="12" l="1"/>
  <c r="K22" i="12"/>
  <c r="C22" i="12"/>
  <c r="B22" i="12"/>
  <c r="F13" i="9" l="1"/>
  <c r="E13" i="9"/>
  <c r="J13" i="9"/>
  <c r="I13" i="9"/>
  <c r="M13" i="9" l="1"/>
  <c r="L13" i="9"/>
  <c r="C13" i="9"/>
  <c r="B13" i="9"/>
</calcChain>
</file>

<file path=xl/sharedStrings.xml><?xml version="1.0" encoding="utf-8"?>
<sst xmlns="http://schemas.openxmlformats.org/spreadsheetml/2006/main" count="1313" uniqueCount="312">
  <si>
    <t>Região</t>
  </si>
  <si>
    <t>Subprefeitura</t>
  </si>
  <si>
    <t>Distrito</t>
  </si>
  <si>
    <t>Nº Médio de Convênios</t>
  </si>
  <si>
    <t>Nº Médio de Vagas</t>
  </si>
  <si>
    <t>Percentual médio de Cças e Adol. abordados em relação à meta conveniada para o serviço                                Meta 100%</t>
  </si>
  <si>
    <t>NORTE 1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</si>
  <si>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</si>
  <si>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</si>
  <si>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</si>
  <si>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</si>
  <si>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</si>
  <si>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</si>
  <si>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</si>
  <si>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</si>
  <si>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Vila Guilherme</t>
  </si>
  <si>
    <t>Vila Maria</t>
  </si>
  <si>
    <t>Vila Medeiros</t>
  </si>
  <si>
    <t>NORTE 2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</si>
  <si>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</si>
  <si>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</si>
  <si>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</si>
  <si>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</si>
  <si>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</si>
  <si>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</si>
  <si>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</si>
  <si>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</si>
  <si>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</si>
  <si>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</si>
  <si>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</si>
  <si>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</si>
  <si>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</si>
  <si>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São Domingos</t>
  </si>
  <si>
    <t>OESTE</t>
  </si>
  <si>
    <t>BUTANTÃ</t>
  </si>
  <si>
    <t>Butantã</t>
  </si>
  <si>
    <t>Morumbi</t>
  </si>
  <si>
    <t>Raposo Tavares</t>
  </si>
  <si>
    <t>Rio Pequeno</t>
  </si>
  <si>
    <t>Vila Sônia</t>
  </si>
  <si>
    <t>LAPA</t>
  </si>
  <si>
    <t>Barra Funda</t>
  </si>
  <si>
    <t>Jaguara</t>
  </si>
  <si>
    <t>Jaguaré</t>
  </si>
  <si>
    <t>Lapa</t>
  </si>
  <si>
    <t>Perdizes</t>
  </si>
  <si>
    <t>Vila Leopoldina</t>
  </si>
  <si>
    <t>PINHEIROS</t>
  </si>
  <si>
    <t>Alto de Pinheiros</t>
  </si>
  <si>
    <t>Itaim Bibi</t>
  </si>
  <si>
    <t>Jardim Paulista</t>
  </si>
  <si>
    <t>Pinheiros</t>
  </si>
  <si>
    <t>CENTRO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</si>
  <si>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</si>
  <si>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</si>
  <si>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</si>
  <si>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</si>
  <si>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</si>
  <si>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</si>
  <si>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</si>
  <si>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</si>
  <si>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Santa Cecília</t>
  </si>
  <si>
    <t>LESTE  1</t>
  </si>
  <si>
    <t>ARICANDUVA</t>
  </si>
  <si>
    <t>Aricanduva</t>
  </si>
  <si>
    <t>Carrão</t>
  </si>
  <si>
    <t>Vila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</si>
  <si>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</si>
  <si>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</si>
  <si>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</si>
  <si>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</si>
  <si>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</si>
  <si>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</si>
  <si>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</si>
  <si>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</si>
  <si>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</si>
  <si>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</si>
  <si>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</si>
  <si>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Vila Matilde</t>
  </si>
  <si>
    <t>São Lucas</t>
  </si>
  <si>
    <t>Sapopemba</t>
  </si>
  <si>
    <t>Vila Prudente</t>
  </si>
  <si>
    <t>LESTE 2</t>
  </si>
  <si>
    <t>CIDADE TIRADENTES</t>
  </si>
  <si>
    <t>Cidade Tiradentes</t>
  </si>
  <si>
    <t>ERMELINO MATARAZZO</t>
  </si>
  <si>
    <t>Ermelino Matarazzo</t>
  </si>
  <si>
    <t>Ponte Rasa</t>
  </si>
  <si>
    <t>GUAIANASES</t>
  </si>
  <si>
    <t>Guaianases</t>
  </si>
  <si>
    <t>Lajeado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</si>
  <si>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</si>
  <si>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</si>
  <si>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</si>
  <si>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</si>
  <si>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</si>
  <si>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</si>
  <si>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</si>
  <si>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Parque do Carmo</t>
  </si>
  <si>
    <t>SÃO MATEUS</t>
  </si>
  <si>
    <t>Iguatemi</t>
  </si>
  <si>
    <t>São Mateus</t>
  </si>
  <si>
    <t>São Rafael</t>
  </si>
  <si>
    <t>SÃO MIGUEL</t>
  </si>
  <si>
    <t>Jardim Helena</t>
  </si>
  <si>
    <t>São Miguel</t>
  </si>
  <si>
    <t>Vila Jacuí</t>
  </si>
  <si>
    <t>SUL 1</t>
  </si>
  <si>
    <t>IPIRANGA</t>
  </si>
  <si>
    <t>Cursino</t>
  </si>
  <si>
    <t>Ipiranga</t>
  </si>
  <si>
    <t>Sacomã</t>
  </si>
  <si>
    <t>JABAQUARA</t>
  </si>
  <si>
    <t>Jabaquara</t>
  </si>
  <si>
    <t>VILA MARIANA</t>
  </si>
  <si>
    <t>Moema</t>
  </si>
  <si>
    <t>Saúde</t>
  </si>
  <si>
    <t>Vila Mariana</t>
  </si>
  <si>
    <t>SUL 2</t>
  </si>
  <si>
    <t>CAMPO LIMPO</t>
  </si>
  <si>
    <t>Campo Limpo</t>
  </si>
  <si>
    <t>Capão Redondo</t>
  </si>
  <si>
    <t>Vila Andrade</t>
  </si>
  <si>
    <t>CAPELA DO SOCORRO</t>
  </si>
  <si>
    <t>Cidade Dutra</t>
  </si>
  <si>
    <t>Grajaú</t>
  </si>
  <si>
    <t>Socorro</t>
  </si>
  <si>
    <t>CIDADE ADEMAR</t>
  </si>
  <si>
    <t>Cidade Ademar</t>
  </si>
  <si>
    <t>Pedreira</t>
  </si>
  <si>
    <t>M'BOI MIRIM</t>
  </si>
  <si>
    <t>Jardim Ângela</t>
  </si>
  <si>
    <t>Jardim São Luis</t>
  </si>
  <si>
    <t>PARELHEIROS</t>
  </si>
  <si>
    <t>Marsilac</t>
  </si>
  <si>
    <t>Parelheiros</t>
  </si>
  <si>
    <t>SANTO AMARO</t>
  </si>
  <si>
    <t>Campo Belo</t>
  </si>
  <si>
    <t>Campo Grande</t>
  </si>
  <si>
    <t>Santo Amaro</t>
  </si>
  <si>
    <t>Total Geral</t>
  </si>
  <si>
    <t>SEAS - Serviço de Abordagem a pessoas em situação de rua - segmento criança/adolescente</t>
  </si>
  <si>
    <t>1º trimestre de 2021</t>
  </si>
  <si>
    <t>2º trimestre de 2021</t>
  </si>
  <si>
    <t>3º trimestre de 2021</t>
  </si>
  <si>
    <t>4º trimestre de 2021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</si>
  <si>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SMADS/GSUAS/COVS, CUBOS/SISRUA, 2021 e CGPar - planilhas de parcerias, 2021</t>
    </r>
  </si>
  <si>
    <t>SAPOPEMBA</t>
  </si>
  <si>
    <t>VILA PRUDENTE</t>
  </si>
  <si>
    <r>
      <t xml:space="preserve">Elaboração: </t>
    </r>
    <r>
      <rPr>
        <sz val="10"/>
        <color rgb="FF000000"/>
        <rFont val="Calibri"/>
        <family val="2"/>
      </rPr>
      <t>SMADS/GSUAS/COVS/SMAGI, março de 2022</t>
    </r>
  </si>
  <si>
    <t>SEAS - Serviço de Abordagem a pessoas em situação de rua - segmento pessoas adultas</t>
  </si>
  <si>
    <t>Percentual médio de pessoas abordados em relação à meta conveniada para o serviço                                Meta 100%</t>
  </si>
  <si>
    <t>Serviço: Instituto de Longa Permanência para Idosos</t>
  </si>
  <si>
    <t>Nº Unidades</t>
  </si>
  <si>
    <t>Nº de Vagas</t>
  </si>
  <si>
    <t>Taxa média de ocupação (%)</t>
  </si>
  <si>
    <t>ARICANDUVA- FORMOSA- CARRÃO</t>
  </si>
  <si>
    <t>CID. TIRADENTES</t>
  </si>
  <si>
    <t>S. MATEUS</t>
  </si>
  <si>
    <t>S. MIGUEL</t>
  </si>
  <si>
    <t>V. MARIANA</t>
  </si>
  <si>
    <t>CID. ADEMAR</t>
  </si>
  <si>
    <t>Média de Nº de Serviços</t>
  </si>
  <si>
    <t>Média de Vagas</t>
  </si>
  <si>
    <t>Taxa Média de Ocupação                   %</t>
  </si>
  <si>
    <t>CASA VERDE/CACHOEIRINHA</t>
  </si>
  <si>
    <t>FREGUESIA/BRASILANDIA</t>
  </si>
  <si>
    <t>M BOI MIRIM</t>
  </si>
  <si>
    <t>SANTANA/TUCURUVI</t>
  </si>
  <si>
    <t>SAO MATEUS</t>
  </si>
  <si>
    <t>SAO MIGUEL</t>
  </si>
  <si>
    <t>SE</t>
  </si>
  <si>
    <t>VILA MARIA/VILA GUILHERME</t>
  </si>
  <si>
    <t>Casa Lar</t>
  </si>
  <si>
    <t>SAICA - Serviço de Acolhimento Institucional para Crianças e Adolescentes</t>
  </si>
  <si>
    <t>JAÇANÃ/TREMEMBÉ</t>
  </si>
  <si>
    <t>Percentual de crianças e adolescentes desligados pelo retorno à família de origem ou família substituta*                       Meta: =&gt;25% no semestre</t>
  </si>
  <si>
    <t>Percentual de crianças e adolescentes desligados pelo retorno à família de origem ou família substituta no semestre*                       Meta: =&gt;25%</t>
  </si>
  <si>
    <t>Serviço: Centro de Acolhida Especial para Famílias</t>
  </si>
  <si>
    <t>Nº Médio de Unidades</t>
  </si>
  <si>
    <t>Taxa Média de Ocupação</t>
  </si>
  <si>
    <t>Percentual de adultos desligados pela resolução do caso durante o semestre. Meta 30% *</t>
  </si>
  <si>
    <t>Total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</si>
  <si>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SMADS/GSUAS/COVS, CUBOS/SISA, 2021 e CGPar - planilhas de parcerias, 2021</t>
    </r>
  </si>
  <si>
    <t>Serviço: Centro de Acolhida Especial para Idosos</t>
  </si>
  <si>
    <t>Nº Vagas</t>
  </si>
  <si>
    <t>V. PRUDENTE- SAPOPEMBA</t>
  </si>
  <si>
    <t>Casa Verde/Cachoeirinha</t>
  </si>
  <si>
    <t xml:space="preserve">Percentual de adultos desligados pela resolução do caso durante o semestre. Meta 30% </t>
  </si>
  <si>
    <t>Mooca: um serviço novo a partir da segunda quinzena de setembro</t>
  </si>
  <si>
    <t>Mooca*</t>
  </si>
  <si>
    <t>Sé*</t>
  </si>
  <si>
    <t>Sé: um serviço novo em junho</t>
  </si>
  <si>
    <t>Serviço: Centro de Acolhida Especial para Mulheres</t>
  </si>
  <si>
    <t>Nº Médio de Serviços</t>
  </si>
  <si>
    <t xml:space="preserve">Nº Médio de Vagas </t>
  </si>
  <si>
    <t>Serviço: Centro de Acolhida Especial para Convalescentes</t>
  </si>
  <si>
    <t>Taxa Média de Ocupação em %</t>
  </si>
  <si>
    <r>
      <t xml:space="preserve">Percentual de adultos desligados pela resolução do caso durante o semestre  Meta: </t>
    </r>
    <r>
      <rPr>
        <b/>
        <sz val="12"/>
        <rFont val="Calibri"/>
        <family val="2"/>
      </rPr>
      <t>›</t>
    </r>
    <r>
      <rPr>
        <b/>
        <sz val="9"/>
        <rFont val="Calibri"/>
        <family val="2"/>
      </rPr>
      <t>=30%</t>
    </r>
  </si>
  <si>
    <t>Serviço: República Jovem</t>
  </si>
  <si>
    <t>Percentual de adultos desligados pelo alcance da autonomia, no semestre META: &gt;=25%</t>
  </si>
  <si>
    <t>Serviço: República Adultos</t>
  </si>
  <si>
    <t>ARICANDUVA*</t>
  </si>
  <si>
    <t>CAPELA DO SOCORRO*</t>
  </si>
  <si>
    <t>Serviço: Centro de Acolhida II - 24 horas</t>
  </si>
  <si>
    <t>Nº Médio de Vagas Noite</t>
  </si>
  <si>
    <t>Taxa Média de Ocupação - NOITE</t>
  </si>
  <si>
    <t xml:space="preserve">Percentual de adultos desligados pela resolução do caso (República, Autonomia Financeira ou Retorno à Família) no semestre    Meta: =&gt;30%  </t>
  </si>
  <si>
    <t>Serviço: Centro para Crianças e Adolescentes</t>
  </si>
  <si>
    <t>Nº Médio de serviços</t>
  </si>
  <si>
    <t xml:space="preserve">Taxa Média de Ocupação % </t>
  </si>
  <si>
    <t>Percentual de crianças de 06 a 11 anos que abandonaram o serviço              Meta: &lt;10%</t>
  </si>
  <si>
    <t>Percentual de crianças de 12 a 14 anos que abandonaram o serviço           Meta: &lt;10%</t>
  </si>
  <si>
    <t>Percentual médio de cças, adol com deficiência atendidos Meta:&gt;=10%</t>
  </si>
  <si>
    <t>Percentual Médio de participação de famílias de usuários nos trabalhos com famílias              Meta: &gt;=80%</t>
  </si>
  <si>
    <t>Serviço: CEDESP</t>
  </si>
  <si>
    <t>Percentual de Jovens e Adultos que abandonaram o serviço                   Meta: &lt;10%</t>
  </si>
  <si>
    <t>Percentual médio de Jovens E Adultos com deficiência atendidos   Meta:&gt;=5%</t>
  </si>
  <si>
    <t>Serviço: Centro para Juventude</t>
  </si>
  <si>
    <t>Percentual de jovens que abandonaram o serviço           Meta: &lt;10%</t>
  </si>
  <si>
    <t>Percentual médio de jovens com deficiência atendidos Meta:&gt;=10%</t>
  </si>
  <si>
    <t>Percentual Médio de participação de famílias de usuários nos trabalhos com famílias Meta: &gt;=80%</t>
  </si>
  <si>
    <t>Nº Serviços</t>
  </si>
  <si>
    <t>Percentual médio de famílias participantes em "Trabalho com Famílias"                 META: &gt;=80%</t>
  </si>
  <si>
    <t>Serviço: Serviço de Assistência Social à Família - SASF</t>
  </si>
  <si>
    <t>Nº Médio de unidades</t>
  </si>
  <si>
    <t>Taxa média de ocupação</t>
  </si>
  <si>
    <t>Serviço: CCInter</t>
  </si>
  <si>
    <t>JAÇANÃ - TREMEMBÉ</t>
  </si>
  <si>
    <t>SANTANA</t>
  </si>
  <si>
    <t>CASA VERDE</t>
  </si>
  <si>
    <t>SÃO MIGUEL PAULISTA</t>
  </si>
  <si>
    <t>TOTAL</t>
  </si>
  <si>
    <t>CIDADE ADEMAR*</t>
  </si>
  <si>
    <t>Nota: Foi excluída a faixa etária "não informado" dos dados depessoas atendidas</t>
  </si>
  <si>
    <t>SEAS Mboi - serviço só foi criado no SISRUA em 2022</t>
  </si>
  <si>
    <t>Guaianases*</t>
  </si>
  <si>
    <t>Nota: SEAS Guaianases - os dados do último trimestre são relativos a um único mês</t>
  </si>
  <si>
    <t>Foi excluída a faixa etária "não informado" dos dados informados acima</t>
  </si>
  <si>
    <t>Nota: ILPI de SAS São Miguel passou por aditamento de vagas no terceiro trimestre, mas devido às necessidades de adequação do imóvel passou a atender apenas no 4º trimestre</t>
  </si>
  <si>
    <t>ILPI de Pinheiros - serviço encerrado em dezembro</t>
  </si>
  <si>
    <t>SANTO AMARO*</t>
  </si>
  <si>
    <t>Nota: serviço de SAS Santo Amaro iniciou suas atividades em dezembro</t>
  </si>
  <si>
    <t>Nota: Aricanduva - serviço com parceria formalizada no mês de março, mas só iniciou o atendimento no mês de maio.</t>
  </si>
  <si>
    <t>São Mateus: parceria iniciada no mês de maio.</t>
  </si>
  <si>
    <t>Nota: Capela do Socorro - parceria formalizada no mês de março, mas iniciou o atendimento no mês de junho</t>
  </si>
  <si>
    <t>Itaquera - serviço iniciou o atendimento no mês de fevereiro</t>
  </si>
  <si>
    <t>ITAQUERA*</t>
  </si>
  <si>
    <t>PENHA *</t>
  </si>
  <si>
    <t>PIRITUBA*</t>
  </si>
  <si>
    <t>Penha e Pirituba - implantação da segunda casa demorou mais que o previsto</t>
  </si>
  <si>
    <t xml:space="preserve">Nota: </t>
  </si>
  <si>
    <t>GUAIANASES*</t>
  </si>
  <si>
    <t>SE*</t>
  </si>
  <si>
    <t>VILA MARIA/VILA GUILHERME*</t>
  </si>
  <si>
    <t>Nota:</t>
  </si>
  <si>
    <t>os serviços CA 16 horas localizados na Sé, Vila Maria, Capela do Socorro e Mooca (um serviço em cada Subprefeitura) funcionaram como CA 24 horas em 2021 por conta da pandemia provocada pelo COVID-19</t>
  </si>
  <si>
    <t>GUAIANASES* - serviço novo iniciando o atendimento no mês de agosto</t>
  </si>
  <si>
    <t xml:space="preserve">TOTAL </t>
  </si>
  <si>
    <t>CAMPO LIMPO*</t>
  </si>
  <si>
    <t>ITAIM PAULISTA*</t>
  </si>
  <si>
    <t>MBOI MIRIM*</t>
  </si>
  <si>
    <t>SÃO MATEUS*</t>
  </si>
  <si>
    <t>V. MARIA- V. GUILHERME*</t>
  </si>
  <si>
    <t>nota - Cidade Ademar -1 serviço iniciou em novembro</t>
  </si>
  <si>
    <t>Vila Maria - encerramento e inicio do novo serviço no mês de abril</t>
  </si>
  <si>
    <t>Campo Limpo - encerramento de um serviço e início de outro em junho</t>
  </si>
  <si>
    <t>Guaianases* - dois serviços encerrados e substituídos em agosto</t>
  </si>
  <si>
    <t>Itaim Paulista* - um serviço substituído e outro iniciando no segundo semestre</t>
  </si>
  <si>
    <t>São Mateus - um serviço novo no terceiro trimestre e mais um no quarto trimestre</t>
  </si>
  <si>
    <t>Serviço: Núcleo de Convivência para Idosos - Domiciliar</t>
  </si>
  <si>
    <t>Nº Médio de Vagas Domiciliar</t>
  </si>
  <si>
    <t>Taxa média de ocupação %</t>
  </si>
  <si>
    <t>Percentual de idosos beneficiários BPC atendidos  %                 Meta: 40%</t>
  </si>
  <si>
    <t>Percentual médio de idosos atendidos c/ PDU desenvolvido        %                    Meta: 100%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</si>
  <si>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SMADS/GSUAS/COVS, FMR, 2021 e CGPar - planilhas de parcerias, 2021</t>
    </r>
  </si>
  <si>
    <t>Nota: O mês de janeiro não foi considerado nos cálculos devido às férias coletivas nos serviços</t>
  </si>
  <si>
    <t>Nº Médio de Vagas Convivência</t>
  </si>
  <si>
    <t>Serviço: Núcleo de Convivência para Idosos - Convivência</t>
  </si>
  <si>
    <t>Família Acolhedora</t>
  </si>
  <si>
    <r>
      <t xml:space="preserve">Elaboração: </t>
    </r>
    <r>
      <rPr>
        <sz val="10"/>
        <color rgb="FF000000"/>
        <rFont val="Calibri"/>
        <family val="2"/>
      </rPr>
      <t>SMADS/GSUAS/COVS/SMAGI, maio de 2022</t>
    </r>
  </si>
  <si>
    <t>CRECI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</si>
  <si>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SMADS/GSUAS/COVS, FMR/2021 e CGPar - planilhas de parcerias, 2021</t>
    </r>
  </si>
  <si>
    <t>CIRCO SOCIAL</t>
  </si>
  <si>
    <t>FREGUESIA DO O</t>
  </si>
  <si>
    <t>NÚCLEO DE CONVIVÊNCIA PARA PESSOAS EM SITUAÇÃO DE RUA</t>
  </si>
  <si>
    <t>NÚCLEO DE PROTEÇÃO JURÍDICO SOCIAL - apoio CREAS</t>
  </si>
  <si>
    <t>Fonte: Ministério da Cidadania/Registro Mensal de Atendimento, 2021</t>
  </si>
  <si>
    <r>
      <t xml:space="preserve">Elaboração: </t>
    </r>
    <r>
      <rPr>
        <sz val="9"/>
        <color rgb="FF000000"/>
        <rFont val="Calibri"/>
        <family val="2"/>
      </rPr>
      <t>SMADS/GSUAS/COVS/SMAGI, maio de 2022</t>
    </r>
  </si>
  <si>
    <t>RMA</t>
  </si>
  <si>
    <t>NÚCLEO DE PROTEÇÃO JURÍDICO SOCIAL - apoio CPOP</t>
  </si>
  <si>
    <t>VILA MARIA - GUILHERME</t>
  </si>
  <si>
    <t>Média de pessoas atendidas</t>
  </si>
  <si>
    <t>Média de casos em acompanhamento</t>
  </si>
  <si>
    <t>Núcleo de Apoio à Inclusão Social para Pessoas com Deficiência - 2021</t>
  </si>
  <si>
    <t>1º Trimestre</t>
  </si>
  <si>
    <t>2º Trimestre</t>
  </si>
  <si>
    <t>3º Trimestre</t>
  </si>
  <si>
    <t>4º Trimestre</t>
  </si>
  <si>
    <t>Nº de serviços</t>
  </si>
  <si>
    <t>Média de Atendidos</t>
  </si>
  <si>
    <t>Taxa de ocupação %</t>
  </si>
  <si>
    <t>Capela Do Socorro</t>
  </si>
  <si>
    <t>Casa Verde-Cachoeirinha</t>
  </si>
  <si>
    <t>Freguesia-Brasilandia</t>
  </si>
  <si>
    <t>Jacana-Tremembe</t>
  </si>
  <si>
    <t>M'Boi Mirim</t>
  </si>
  <si>
    <t>-</t>
  </si>
  <si>
    <t>Sao Mateus</t>
  </si>
  <si>
    <t>Sao Miguel</t>
  </si>
  <si>
    <t>Fonte: Painel da IN04 em Smads intranet</t>
  </si>
  <si>
    <t>Elaboração: SMADS/GSUAS/COVS/SMAGI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</si>
</sst>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rgb="FF000000"/>
      <name val="Calibri"/>
      <family val="2"/>
    </font>
    <font>
      <b/>
      <i/>
      <sz val="28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lightDown"/>
    </fill>
    <fill>
      <patternFill patternType="solid">
        <fgColor theme="4"/>
        <bgColor indexed="64"/>
      </patternFill>
    </fill>
    <fill>
      <patternFill patternType="lightDown">
        <bgColor theme="0" tint="-0.249977111117893"/>
      </patternFill>
    </fill>
    <fill>
      <patternFill patternType="gray125">
        <bgColor theme="0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theme="6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39" fillId="0" borderId="0" applyFont="0" applyFill="0" applyBorder="0" applyAlignment="0" applyProtection="0"/>
    <xf numFmtId="0" fontId="1" fillId="14" borderId="0" applyNumberFormat="0" applyBorder="0" applyAlignment="0" applyProtection="0"/>
  </cellStyleXfs>
  <cellXfs count="357">
    <xf numFmtId="0" fontId="0" fillId="0" borderId="0" xfId="0"/>
    <xf numFmtId="0" fontId="0" fillId="2" borderId="0" xfId="0" applyFill="1"/>
    <xf numFmtId="0" fontId="6" fillId="2" borderId="1" xfId="0" applyFont="1" applyFill="1" applyBorder="1"/>
    <xf numFmtId="0" fontId="7" fillId="6" borderId="1" xfId="0" applyFont="1" applyFill="1" applyBorder="1" applyAlignment="1">
      <alignment horizontal="center"/>
    </xf>
    <xf numFmtId="1" fontId="7" fillId="6" borderId="1" xfId="0" applyNumberFormat="1" applyFont="1" applyFill="1" applyBorder="1" applyAlignment="1">
      <alignment horizontal="center" vertical="center"/>
    </xf>
    <xf numFmtId="3" fontId="8" fillId="6" borderId="1" xfId="4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5" borderId="1" xfId="0" applyFont="1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9" fontId="8" fillId="0" borderId="1" xfId="4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9" fontId="8" fillId="0" borderId="1" xfId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9" fontId="8" fillId="6" borderId="1" xfId="1" applyFont="1" applyFill="1" applyBorder="1" applyAlignment="1">
      <alignment horizontal="center"/>
    </xf>
    <xf numFmtId="9" fontId="10" fillId="4" borderId="1" xfId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9" fontId="8" fillId="0" borderId="1" xfId="1" applyFont="1" applyBorder="1" applyAlignment="1">
      <alignment horizontal="center"/>
    </xf>
    <xf numFmtId="0" fontId="3" fillId="5" borderId="1" xfId="0" applyFont="1" applyFill="1" applyBorder="1" applyAlignment="1">
      <alignment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" fontId="7" fillId="6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0" borderId="0" xfId="0" applyFont="1"/>
    <xf numFmtId="1" fontId="10" fillId="4" borderId="1" xfId="5" applyNumberFormat="1" applyFont="1" applyFill="1" applyBorder="1" applyAlignment="1">
      <alignment horizontal="center"/>
    </xf>
    <xf numFmtId="0" fontId="13" fillId="2" borderId="2" xfId="4" applyFont="1" applyFill="1" applyBorder="1"/>
    <xf numFmtId="0" fontId="0" fillId="2" borderId="0" xfId="0" applyFill="1" applyAlignment="1">
      <alignment horizontal="center"/>
    </xf>
    <xf numFmtId="0" fontId="15" fillId="2" borderId="0" xfId="0" applyFont="1" applyFill="1"/>
    <xf numFmtId="0" fontId="14" fillId="2" borderId="0" xfId="0" applyFont="1" applyFill="1"/>
    <xf numFmtId="2" fontId="14" fillId="2" borderId="0" xfId="0" applyNumberFormat="1" applyFont="1" applyFill="1"/>
    <xf numFmtId="0" fontId="0" fillId="0" borderId="0" xfId="0" applyAlignment="1">
      <alignment horizontal="center"/>
    </xf>
    <xf numFmtId="2" fontId="2" fillId="3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2" fillId="2" borderId="2" xfId="6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center" wrapText="1"/>
    </xf>
    <xf numFmtId="0" fontId="3" fillId="5" borderId="1" xfId="3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21" fillId="0" borderId="1" xfId="4" applyNumberFormat="1" applyFont="1" applyBorder="1" applyAlignment="1">
      <alignment horizontal="center"/>
    </xf>
    <xf numFmtId="3" fontId="22" fillId="4" borderId="1" xfId="0" applyNumberFormat="1" applyFont="1" applyFill="1" applyBorder="1" applyAlignment="1">
      <alignment horizontal="center"/>
    </xf>
    <xf numFmtId="1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1" fontId="25" fillId="0" borderId="1" xfId="0" applyNumberFormat="1" applyFont="1" applyBorder="1" applyAlignment="1">
      <alignment horizontal="center"/>
    </xf>
    <xf numFmtId="9" fontId="25" fillId="0" borderId="1" xfId="0" applyNumberFormat="1" applyFont="1" applyBorder="1" applyAlignment="1">
      <alignment horizontal="center"/>
    </xf>
    <xf numFmtId="9" fontId="8" fillId="2" borderId="1" xfId="4" applyNumberFormat="1" applyFont="1" applyFill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9" fontId="25" fillId="2" borderId="1" xfId="0" applyNumberFormat="1" applyFont="1" applyFill="1" applyBorder="1" applyAlignment="1">
      <alignment horizontal="center"/>
    </xf>
    <xf numFmtId="9" fontId="10" fillId="4" borderId="1" xfId="4" applyNumberFormat="1" applyFont="1" applyFill="1" applyBorder="1" applyAlignment="1">
      <alignment horizontal="left" vertical="center" wrapText="1"/>
    </xf>
    <xf numFmtId="1" fontId="10" fillId="4" borderId="1" xfId="4" applyNumberFormat="1" applyFont="1" applyFill="1" applyBorder="1" applyAlignment="1">
      <alignment horizontal="center" vertical="center" wrapText="1"/>
    </xf>
    <xf numFmtId="9" fontId="10" fillId="4" borderId="1" xfId="4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21" fillId="0" borderId="1" xfId="5" applyFont="1" applyBorder="1" applyAlignment="1">
      <alignment horizontal="center" vertical="center" wrapText="1"/>
    </xf>
    <xf numFmtId="9" fontId="8" fillId="0" borderId="1" xfId="4" applyNumberFormat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 applyProtection="1">
      <alignment vertical="center"/>
      <protection locked="0"/>
    </xf>
    <xf numFmtId="1" fontId="3" fillId="4" borderId="1" xfId="4" applyNumberFormat="1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19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8" fillId="2" borderId="0" xfId="0" applyFont="1" applyFill="1" applyAlignment="1">
      <alignment horizontal="left"/>
    </xf>
    <xf numFmtId="2" fontId="11" fillId="0" borderId="1" xfId="0" applyNumberFormat="1" applyFont="1" applyBorder="1" applyAlignment="1" applyProtection="1">
      <alignment vertical="center" wrapText="1"/>
      <protection locked="0"/>
    </xf>
    <xf numFmtId="1" fontId="29" fillId="4" borderId="1" xfId="4" applyNumberFormat="1" applyFont="1" applyFill="1" applyBorder="1" applyAlignment="1">
      <alignment horizontal="center" vertical="center" wrapText="1"/>
    </xf>
    <xf numFmtId="9" fontId="30" fillId="4" borderId="1" xfId="4" applyNumberFormat="1" applyFont="1" applyFill="1" applyBorder="1" applyAlignment="1">
      <alignment horizontal="center" vertical="center" wrapText="1"/>
    </xf>
    <xf numFmtId="0" fontId="20" fillId="4" borderId="1" xfId="6" applyFont="1" applyFill="1" applyBorder="1" applyAlignment="1">
      <alignment horizontal="center" vertical="center" wrapText="1"/>
    </xf>
    <xf numFmtId="9" fontId="0" fillId="1" borderId="1" xfId="0" applyNumberFormat="1" applyFill="1" applyBorder="1" applyAlignment="1">
      <alignment horizontal="center"/>
    </xf>
    <xf numFmtId="1" fontId="19" fillId="4" borderId="1" xfId="0" applyNumberFormat="1" applyFont="1" applyFill="1" applyBorder="1" applyAlignment="1">
      <alignment horizontal="center" vertical="center" wrapText="1"/>
    </xf>
    <xf numFmtId="0" fontId="1" fillId="0" borderId="0" xfId="7"/>
    <xf numFmtId="3" fontId="8" fillId="8" borderId="1" xfId="6" applyNumberFormat="1" applyFont="1" applyFill="1" applyBorder="1"/>
    <xf numFmtId="1" fontId="22" fillId="2" borderId="0" xfId="0" applyNumberFormat="1" applyFont="1" applyFill="1"/>
    <xf numFmtId="0" fontId="22" fillId="2" borderId="0" xfId="0" applyFont="1" applyFill="1"/>
    <xf numFmtId="3" fontId="10" fillId="4" borderId="1" xfId="0" applyNumberFormat="1" applyFont="1" applyFill="1" applyBorder="1" applyAlignment="1">
      <alignment horizontal="center"/>
    </xf>
    <xf numFmtId="1" fontId="30" fillId="4" borderId="1" xfId="4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2" fillId="9" borderId="9" xfId="3" applyFont="1" applyFill="1" applyBorder="1" applyAlignment="1">
      <alignment vertical="center" wrapText="1"/>
    </xf>
    <xf numFmtId="0" fontId="32" fillId="9" borderId="9" xfId="4" applyFont="1" applyFill="1" applyBorder="1" applyAlignment="1">
      <alignment vertical="center" wrapText="1"/>
    </xf>
    <xf numFmtId="0" fontId="32" fillId="9" borderId="9" xfId="4" applyFont="1" applyFill="1" applyBorder="1" applyAlignment="1">
      <alignment vertical="center"/>
    </xf>
    <xf numFmtId="9" fontId="8" fillId="8" borderId="1" xfId="1" applyFont="1" applyFill="1" applyBorder="1" applyProtection="1"/>
    <xf numFmtId="3" fontId="32" fillId="9" borderId="1" xfId="4" applyNumberFormat="1" applyFont="1" applyFill="1" applyBorder="1" applyAlignment="1">
      <alignment horizontal="center"/>
    </xf>
    <xf numFmtId="9" fontId="32" fillId="9" borderId="1" xfId="1" applyFont="1" applyFill="1" applyBorder="1" applyAlignment="1">
      <alignment horizontal="center"/>
    </xf>
    <xf numFmtId="3" fontId="8" fillId="0" borderId="1" xfId="6" applyNumberFormat="1" applyFont="1" applyBorder="1" applyAlignment="1">
      <alignment horizontal="center"/>
    </xf>
    <xf numFmtId="9" fontId="8" fillId="0" borderId="1" xfId="1" applyFont="1" applyFill="1" applyBorder="1" applyAlignment="1" applyProtection="1">
      <alignment horizontal="center"/>
    </xf>
    <xf numFmtId="9" fontId="0" fillId="0" borderId="1" xfId="1" applyFont="1" applyBorder="1" applyAlignment="1">
      <alignment horizontal="center"/>
    </xf>
    <xf numFmtId="3" fontId="3" fillId="10" borderId="1" xfId="6" applyNumberFormat="1" applyFont="1" applyFill="1" applyBorder="1" applyAlignment="1">
      <alignment horizontal="center"/>
    </xf>
    <xf numFmtId="9" fontId="3" fillId="10" borderId="1" xfId="1" applyFont="1" applyFill="1" applyBorder="1" applyAlignment="1" applyProtection="1">
      <alignment horizontal="center"/>
    </xf>
    <xf numFmtId="0" fontId="10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9" fontId="8" fillId="2" borderId="1" xfId="4" applyNumberFormat="1" applyFont="1" applyFill="1" applyBorder="1"/>
    <xf numFmtId="0" fontId="3" fillId="5" borderId="1" xfId="3" applyFont="1" applyFill="1" applyBorder="1" applyAlignment="1">
      <alignment vertical="center" wrapText="1"/>
    </xf>
    <xf numFmtId="0" fontId="12" fillId="2" borderId="0" xfId="6" applyFont="1" applyFill="1" applyAlignment="1">
      <alignment horizontal="left"/>
    </xf>
    <xf numFmtId="0" fontId="8" fillId="2" borderId="1" xfId="4" applyFont="1" applyFill="1" applyBorder="1" applyAlignment="1">
      <alignment horizontal="center"/>
    </xf>
    <xf numFmtId="1" fontId="8" fillId="2" borderId="1" xfId="4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" borderId="1" xfId="0" applyFill="1" applyBorder="1"/>
    <xf numFmtId="0" fontId="25" fillId="1" borderId="1" xfId="0" applyFont="1" applyFill="1" applyBorder="1"/>
    <xf numFmtId="0" fontId="6" fillId="11" borderId="1" xfId="0" applyFont="1" applyFill="1" applyBorder="1"/>
    <xf numFmtId="9" fontId="6" fillId="11" borderId="1" xfId="0" applyNumberFormat="1" applyFont="1" applyFill="1" applyBorder="1"/>
    <xf numFmtId="2" fontId="0" fillId="0" borderId="0" xfId="0" applyNumberFormat="1" applyAlignment="1">
      <alignment horizontal="center" vertical="center"/>
    </xf>
    <xf numFmtId="0" fontId="35" fillId="0" borderId="1" xfId="0" applyFont="1" applyBorder="1" applyAlignment="1">
      <alignment horizontal="left"/>
    </xf>
    <xf numFmtId="1" fontId="35" fillId="0" borderId="1" xfId="0" applyNumberFormat="1" applyFont="1" applyBorder="1" applyAlignment="1">
      <alignment horizontal="center"/>
    </xf>
    <xf numFmtId="3" fontId="8" fillId="0" borderId="1" xfId="5" quotePrefix="1" applyNumberFormat="1" applyFont="1" applyBorder="1" applyAlignment="1">
      <alignment horizontal="center"/>
    </xf>
    <xf numFmtId="9" fontId="9" fillId="0" borderId="1" xfId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10" fillId="4" borderId="6" xfId="5" applyFont="1" applyFill="1" applyBorder="1" applyAlignment="1">
      <alignment horizontal="right"/>
    </xf>
    <xf numFmtId="3" fontId="10" fillId="4" borderId="1" xfId="5" quotePrefix="1" applyNumberFormat="1" applyFont="1" applyFill="1" applyBorder="1" applyAlignment="1">
      <alignment horizontal="center"/>
    </xf>
    <xf numFmtId="0" fontId="38" fillId="2" borderId="0" xfId="0" applyFont="1" applyFill="1"/>
    <xf numFmtId="3" fontId="0" fillId="0" borderId="0" xfId="0" applyNumberFormat="1" applyAlignment="1">
      <alignment horizontal="center"/>
    </xf>
    <xf numFmtId="3" fontId="9" fillId="0" borderId="1" xfId="5" quotePrefix="1" applyNumberFormat="1" applyFont="1" applyBorder="1" applyAlignment="1">
      <alignment horizontal="center"/>
    </xf>
    <xf numFmtId="9" fontId="22" fillId="4" borderId="1" xfId="1" applyFont="1" applyFill="1" applyBorder="1" applyAlignment="1">
      <alignment horizontal="center"/>
    </xf>
    <xf numFmtId="3" fontId="8" fillId="2" borderId="1" xfId="5" quotePrefix="1" applyNumberFormat="1" applyFont="1" applyFill="1" applyBorder="1" applyAlignment="1">
      <alignment horizontal="center"/>
    </xf>
    <xf numFmtId="0" fontId="9" fillId="0" borderId="0" xfId="2" applyFont="1"/>
    <xf numFmtId="3" fontId="9" fillId="0" borderId="1" xfId="2" applyNumberFormat="1" applyFont="1" applyBorder="1" applyAlignment="1">
      <alignment horizontal="center"/>
    </xf>
    <xf numFmtId="9" fontId="9" fillId="0" borderId="1" xfId="1" applyFont="1" applyBorder="1" applyAlignment="1">
      <alignment horizontal="center"/>
    </xf>
    <xf numFmtId="9" fontId="9" fillId="0" borderId="1" xfId="1" applyFont="1" applyBorder="1" applyAlignment="1">
      <alignment horizontal="center" vertical="center"/>
    </xf>
    <xf numFmtId="9" fontId="9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9" fontId="9" fillId="0" borderId="1" xfId="2" applyNumberFormat="1" applyFont="1" applyBorder="1" applyAlignment="1">
      <alignment horizontal="center"/>
    </xf>
    <xf numFmtId="0" fontId="41" fillId="12" borderId="1" xfId="2" applyFont="1" applyFill="1" applyBorder="1" applyAlignment="1">
      <alignment horizontal="right" wrapText="1"/>
    </xf>
    <xf numFmtId="0" fontId="13" fillId="2" borderId="0" xfId="4" applyFont="1" applyFill="1"/>
    <xf numFmtId="0" fontId="40" fillId="0" borderId="0" xfId="2" applyFont="1" applyAlignment="1">
      <alignment wrapText="1"/>
    </xf>
    <xf numFmtId="9" fontId="6" fillId="0" borderId="1" xfId="10" applyFont="1" applyBorder="1" applyAlignment="1">
      <alignment horizontal="center"/>
    </xf>
    <xf numFmtId="9" fontId="25" fillId="0" borderId="1" xfId="1" applyFont="1" applyBorder="1" applyAlignment="1">
      <alignment horizontal="center"/>
    </xf>
    <xf numFmtId="9" fontId="6" fillId="0" borderId="1" xfId="10" applyFont="1" applyFill="1" applyBorder="1" applyAlignment="1">
      <alignment horizontal="center"/>
    </xf>
    <xf numFmtId="9" fontId="25" fillId="0" borderId="1" xfId="1" applyFont="1" applyFill="1" applyBorder="1" applyAlignment="1">
      <alignment horizontal="center"/>
    </xf>
    <xf numFmtId="9" fontId="8" fillId="0" borderId="1" xfId="1" quotePrefix="1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 vertical="center"/>
    </xf>
    <xf numFmtId="9" fontId="10" fillId="4" borderId="1" xfId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0" fillId="4" borderId="5" xfId="5" applyFont="1" applyFill="1" applyBorder="1" applyAlignment="1">
      <alignment horizontal="right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left" vertical="center"/>
    </xf>
    <xf numFmtId="3" fontId="10" fillId="4" borderId="5" xfId="5" applyNumberFormat="1" applyFont="1" applyFill="1" applyBorder="1" applyAlignment="1">
      <alignment horizontal="center"/>
    </xf>
    <xf numFmtId="3" fontId="8" fillId="11" borderId="1" xfId="5" quotePrefix="1" applyNumberFormat="1" applyFont="1" applyFill="1" applyBorder="1" applyAlignment="1">
      <alignment horizontal="center"/>
    </xf>
    <xf numFmtId="3" fontId="9" fillId="1" borderId="1" xfId="5" quotePrefix="1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3" fillId="5" borderId="10" xfId="0" applyFont="1" applyFill="1" applyBorder="1" applyAlignment="1">
      <alignment vertical="center"/>
    </xf>
    <xf numFmtId="0" fontId="3" fillId="5" borderId="9" xfId="0" applyFont="1" applyFill="1" applyBorder="1"/>
    <xf numFmtId="3" fontId="8" fillId="1" borderId="1" xfId="0" applyNumberFormat="1" applyFont="1" applyFill="1" applyBorder="1" applyAlignment="1">
      <alignment horizontal="center"/>
    </xf>
    <xf numFmtId="9" fontId="25" fillId="1" borderId="1" xfId="1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0" fontId="2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3" fillId="4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/>
    </xf>
    <xf numFmtId="0" fontId="32" fillId="9" borderId="1" xfId="0" applyFont="1" applyFill="1" applyBorder="1" applyAlignment="1">
      <alignment horizontal="right"/>
    </xf>
    <xf numFmtId="0" fontId="20" fillId="0" borderId="8" xfId="0" applyFont="1" applyBorder="1"/>
    <xf numFmtId="0" fontId="19" fillId="5" borderId="1" xfId="3" applyFont="1" applyFill="1" applyBorder="1" applyAlignment="1">
      <alignment vertical="center" wrapText="1"/>
    </xf>
    <xf numFmtId="9" fontId="21" fillId="0" borderId="1" xfId="1" applyFont="1" applyBorder="1" applyAlignment="1">
      <alignment horizontal="center" vertical="center"/>
    </xf>
    <xf numFmtId="9" fontId="21" fillId="0" borderId="1" xfId="4" applyNumberFormat="1" applyFont="1" applyBorder="1" applyAlignment="1">
      <alignment horizontal="center" vertical="center"/>
    </xf>
    <xf numFmtId="9" fontId="23" fillId="4" borderId="1" xfId="4" applyNumberFormat="1" applyFont="1" applyFill="1" applyBorder="1" applyAlignment="1">
      <alignment horizontal="center"/>
    </xf>
    <xf numFmtId="0" fontId="42" fillId="2" borderId="3" xfId="0" applyFont="1" applyFill="1" applyBorder="1" applyAlignment="1">
      <alignment horizontal="left"/>
    </xf>
    <xf numFmtId="0" fontId="10" fillId="5" borderId="1" xfId="0" applyFont="1" applyFill="1" applyBorder="1" applyAlignment="1">
      <alignment vertical="center"/>
    </xf>
    <xf numFmtId="9" fontId="0" fillId="2" borderId="1" xfId="1" applyFont="1" applyFill="1" applyBorder="1" applyAlignment="1">
      <alignment horizontal="center"/>
    </xf>
    <xf numFmtId="9" fontId="3" fillId="5" borderId="1" xfId="3" applyNumberFormat="1" applyFon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/>
    </xf>
    <xf numFmtId="9" fontId="35" fillId="2" borderId="1" xfId="0" applyNumberFormat="1" applyFont="1" applyFill="1" applyBorder="1" applyAlignment="1">
      <alignment horizontal="center" wrapText="1"/>
    </xf>
    <xf numFmtId="9" fontId="0" fillId="11" borderId="1" xfId="0" applyNumberFormat="1" applyFill="1" applyBorder="1" applyAlignment="1">
      <alignment horizontal="center"/>
    </xf>
    <xf numFmtId="1" fontId="35" fillId="1" borderId="1" xfId="0" applyNumberFormat="1" applyFont="1" applyFill="1" applyBorder="1" applyAlignment="1">
      <alignment horizontal="center"/>
    </xf>
    <xf numFmtId="9" fontId="25" fillId="1" borderId="1" xfId="0" applyNumberFormat="1" applyFont="1" applyFill="1" applyBorder="1" applyAlignment="1">
      <alignment horizontal="center"/>
    </xf>
    <xf numFmtId="0" fontId="24" fillId="0" borderId="1" xfId="7" applyFont="1" applyBorder="1"/>
    <xf numFmtId="3" fontId="25" fillId="0" borderId="1" xfId="0" applyNumberFormat="1" applyFont="1" applyBorder="1" applyAlignment="1">
      <alignment horizontal="center"/>
    </xf>
    <xf numFmtId="0" fontId="43" fillId="2" borderId="0" xfId="0" applyFont="1" applyFill="1" applyProtection="1">
      <protection locked="0"/>
    </xf>
    <xf numFmtId="164" fontId="8" fillId="0" borderId="1" xfId="0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37" fillId="4" borderId="1" xfId="1" applyNumberFormat="1" applyFont="1" applyFill="1" applyBorder="1" applyAlignment="1">
      <alignment horizontal="center"/>
    </xf>
    <xf numFmtId="164" fontId="44" fillId="4" borderId="1" xfId="1" applyNumberFormat="1" applyFont="1" applyFill="1" applyBorder="1" applyAlignment="1">
      <alignment horizontal="center"/>
    </xf>
    <xf numFmtId="164" fontId="8" fillId="2" borderId="1" xfId="5" quotePrefix="1" applyNumberFormat="1" applyFont="1" applyFill="1" applyBorder="1" applyAlignment="1">
      <alignment horizontal="center"/>
    </xf>
    <xf numFmtId="164" fontId="10" fillId="4" borderId="5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164" fontId="9" fillId="1" borderId="1" xfId="1" quotePrefix="1" applyNumberFormat="1" applyFont="1" applyFill="1" applyBorder="1" applyAlignment="1">
      <alignment horizontal="center"/>
    </xf>
    <xf numFmtId="0" fontId="10" fillId="4" borderId="1" xfId="5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0" fillId="4" borderId="1" xfId="4" applyNumberFormat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9" fontId="6" fillId="11" borderId="1" xfId="0" applyNumberFormat="1" applyFont="1" applyFill="1" applyBorder="1" applyAlignment="1">
      <alignment horizontal="center"/>
    </xf>
    <xf numFmtId="164" fontId="25" fillId="2" borderId="1" xfId="0" applyNumberFormat="1" applyFont="1" applyFill="1" applyBorder="1" applyAlignment="1">
      <alignment horizontal="center"/>
    </xf>
    <xf numFmtId="164" fontId="3" fillId="5" borderId="1" xfId="3" applyNumberFormat="1" applyFont="1" applyFill="1" applyBorder="1" applyAlignment="1">
      <alignment horizontal="center" vertical="center" wrapText="1"/>
    </xf>
    <xf numFmtId="164" fontId="8" fillId="2" borderId="1" xfId="4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0" fillId="1" borderId="1" xfId="0" applyNumberFormat="1" applyFill="1" applyBorder="1"/>
    <xf numFmtId="164" fontId="10" fillId="4" borderId="1" xfId="0" applyNumberFormat="1" applyFont="1" applyFill="1" applyBorder="1" applyAlignment="1">
      <alignment horizontal="right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25" fillId="1" borderId="1" xfId="0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 vertical="center" wrapText="1"/>
    </xf>
    <xf numFmtId="164" fontId="25" fillId="0" borderId="1" xfId="1" applyNumberFormat="1" applyFont="1" applyBorder="1" applyAlignment="1">
      <alignment horizontal="center"/>
    </xf>
    <xf numFmtId="1" fontId="10" fillId="4" borderId="5" xfId="5" applyNumberFormat="1" applyFont="1" applyFill="1" applyBorder="1" applyAlignment="1">
      <alignment horizontal="center"/>
    </xf>
    <xf numFmtId="164" fontId="10" fillId="4" borderId="5" xfId="5" applyNumberFormat="1" applyFont="1" applyFill="1" applyBorder="1" applyAlignment="1">
      <alignment horizontal="center"/>
    </xf>
    <xf numFmtId="0" fontId="10" fillId="4" borderId="5" xfId="5" applyFont="1" applyFill="1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46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164" fontId="0" fillId="0" borderId="1" xfId="0" applyNumberFormat="1" applyBorder="1"/>
    <xf numFmtId="10" fontId="0" fillId="0" borderId="1" xfId="0" applyNumberFormat="1" applyBorder="1"/>
    <xf numFmtId="9" fontId="0" fillId="0" borderId="1" xfId="0" applyNumberFormat="1" applyBorder="1"/>
    <xf numFmtId="0" fontId="19" fillId="5" borderId="4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vertical="center"/>
    </xf>
    <xf numFmtId="0" fontId="19" fillId="5" borderId="4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/>
    </xf>
    <xf numFmtId="0" fontId="19" fillId="5" borderId="12" xfId="0" applyFont="1" applyFill="1" applyBorder="1" applyAlignment="1">
      <alignment vertical="center" wrapText="1"/>
    </xf>
    <xf numFmtId="0" fontId="19" fillId="5" borderId="13" xfId="0" applyFont="1" applyFill="1" applyBorder="1" applyAlignment="1">
      <alignment vertical="center" wrapText="1"/>
    </xf>
    <xf numFmtId="0" fontId="43" fillId="0" borderId="0" xfId="0" applyFont="1"/>
    <xf numFmtId="165" fontId="0" fillId="0" borderId="2" xfId="0" applyNumberFormat="1" applyBorder="1"/>
    <xf numFmtId="165" fontId="0" fillId="0" borderId="0" xfId="0" applyNumberFormat="1"/>
    <xf numFmtId="0" fontId="0" fillId="13" borderId="1" xfId="0" applyFill="1" applyBorder="1"/>
    <xf numFmtId="0" fontId="0" fillId="0" borderId="4" xfId="0" applyBorder="1"/>
    <xf numFmtId="0" fontId="19" fillId="5" borderId="4" xfId="0" applyFont="1" applyFill="1" applyBorder="1" applyAlignment="1">
      <alignment horizontal="right" vertical="center"/>
    </xf>
    <xf numFmtId="165" fontId="0" fillId="13" borderId="1" xfId="0" applyNumberFormat="1" applyFill="1" applyBorder="1"/>
    <xf numFmtId="165" fontId="19" fillId="5" borderId="4" xfId="0" applyNumberFormat="1" applyFont="1" applyFill="1" applyBorder="1" applyAlignment="1">
      <alignment horizontal="right" vertical="center"/>
    </xf>
    <xf numFmtId="9" fontId="19" fillId="5" borderId="4" xfId="1" applyFont="1" applyFill="1" applyBorder="1" applyAlignment="1">
      <alignment horizontal="right" vertical="center"/>
    </xf>
    <xf numFmtId="9" fontId="10" fillId="4" borderId="1" xfId="1" applyFont="1" applyFill="1" applyBorder="1" applyAlignment="1">
      <alignment horizontal="right"/>
    </xf>
    <xf numFmtId="164" fontId="19" fillId="4" borderId="1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/>
    </xf>
    <xf numFmtId="3" fontId="41" fillId="4" borderId="1" xfId="2" applyNumberFormat="1" applyFont="1" applyFill="1" applyBorder="1" applyAlignment="1">
      <alignment horizontal="center"/>
    </xf>
    <xf numFmtId="9" fontId="41" fillId="4" borderId="1" xfId="2" applyNumberFormat="1" applyFont="1" applyFill="1" applyBorder="1" applyAlignment="1">
      <alignment horizontal="center"/>
    </xf>
    <xf numFmtId="9" fontId="41" fillId="4" borderId="1" xfId="1" applyFont="1" applyFill="1" applyBorder="1" applyAlignment="1">
      <alignment horizontal="center" vertical="center"/>
    </xf>
    <xf numFmtId="164" fontId="0" fillId="0" borderId="0" xfId="1" applyNumberFormat="1" applyFont="1"/>
    <xf numFmtId="0" fontId="16" fillId="0" borderId="0" xfId="0" applyFont="1" applyAlignment="1">
      <alignment horizontal="center"/>
    </xf>
    <xf numFmtId="0" fontId="20" fillId="4" borderId="1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4" borderId="1" xfId="4" applyFont="1" applyFill="1" applyBorder="1" applyAlignment="1">
      <alignment horizontal="center" vertical="center" wrapText="1"/>
    </xf>
    <xf numFmtId="9" fontId="26" fillId="4" borderId="1" xfId="4" applyNumberFormat="1" applyFont="1" applyFill="1" applyBorder="1" applyAlignment="1">
      <alignment horizontal="center" vertical="center" wrapText="1"/>
    </xf>
    <xf numFmtId="0" fontId="26" fillId="4" borderId="9" xfId="4" applyFont="1" applyFill="1" applyBorder="1" applyAlignment="1">
      <alignment horizontal="center" vertical="center" wrapText="1"/>
    </xf>
    <xf numFmtId="0" fontId="26" fillId="4" borderId="11" xfId="4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 wrapText="1"/>
    </xf>
    <xf numFmtId="0" fontId="34" fillId="0" borderId="0" xfId="2" applyFont="1" applyAlignment="1">
      <alignment horizontal="center" wrapText="1"/>
    </xf>
    <xf numFmtId="0" fontId="45" fillId="0" borderId="0" xfId="0" applyFont="1" applyAlignment="1">
      <alignment horizontal="center"/>
    </xf>
    <xf numFmtId="9" fontId="26" fillId="4" borderId="1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2" fillId="4" borderId="1" xfId="3" applyFont="1" applyFill="1" applyBorder="1" applyAlignment="1">
      <alignment horizontal="center" vertical="center" wrapText="1"/>
    </xf>
    <xf numFmtId="0" fontId="2" fillId="4" borderId="1" xfId="4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right"/>
    </xf>
    <xf numFmtId="0" fontId="6" fillId="7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" fillId="5" borderId="1" xfId="3" applyFont="1" applyFill="1" applyBorder="1" applyAlignment="1">
      <alignment horizontal="center" vertical="center" wrapText="1"/>
    </xf>
    <xf numFmtId="0" fontId="24" fillId="4" borderId="1" xfId="4" applyFont="1" applyFill="1" applyBorder="1" applyAlignment="1">
      <alignment horizontal="center" vertical="center" wrapText="1"/>
    </xf>
    <xf numFmtId="9" fontId="24" fillId="4" borderId="1" xfId="4" applyNumberFormat="1" applyFont="1" applyFill="1" applyBorder="1" applyAlignment="1">
      <alignment horizontal="center" vertical="center" wrapText="1"/>
    </xf>
    <xf numFmtId="9" fontId="24" fillId="4" borderId="1" xfId="0" applyNumberFormat="1" applyFont="1" applyFill="1" applyBorder="1" applyAlignment="1">
      <alignment horizontal="center" vertical="center" wrapText="1"/>
    </xf>
    <xf numFmtId="2" fontId="27" fillId="3" borderId="7" xfId="0" applyNumberFormat="1" applyFont="1" applyFill="1" applyBorder="1" applyAlignment="1" applyProtection="1">
      <alignment horizontal="center" vertical="center"/>
      <protection locked="0"/>
    </xf>
    <xf numFmtId="2" fontId="27" fillId="3" borderId="8" xfId="0" applyNumberFormat="1" applyFont="1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>
      <alignment horizontal="left" vertical="center" wrapText="1"/>
    </xf>
    <xf numFmtId="2" fontId="31" fillId="0" borderId="7" xfId="0" applyNumberFormat="1" applyFont="1" applyBorder="1" applyAlignment="1" applyProtection="1">
      <alignment horizontal="center" vertical="center" wrapText="1"/>
      <protection locked="0"/>
    </xf>
    <xf numFmtId="2" fontId="31" fillId="0" borderId="8" xfId="0" applyNumberFormat="1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0" xfId="4" applyFont="1" applyFill="1" applyBorder="1" applyAlignment="1">
      <alignment horizontal="center" vertical="center" wrapText="1"/>
    </xf>
    <xf numFmtId="0" fontId="2" fillId="4" borderId="11" xfId="4" applyFont="1" applyFill="1" applyBorder="1" applyAlignment="1">
      <alignment horizontal="center" vertical="center" wrapText="1"/>
    </xf>
    <xf numFmtId="0" fontId="2" fillId="4" borderId="10" xfId="4" applyFont="1" applyFill="1" applyBorder="1" applyAlignment="1">
      <alignment horizontal="center" vertical="center"/>
    </xf>
    <xf numFmtId="0" fontId="2" fillId="4" borderId="11" xfId="4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4" borderId="10" xfId="3" applyFont="1" applyFill="1" applyBorder="1" applyAlignment="1">
      <alignment horizontal="center" vertical="center" wrapText="1"/>
    </xf>
    <xf numFmtId="0" fontId="2" fillId="4" borderId="11" xfId="3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0" fontId="34" fillId="0" borderId="7" xfId="3" applyFont="1" applyBorder="1" applyAlignment="1">
      <alignment horizontal="center" vertical="center" wrapText="1"/>
    </xf>
    <xf numFmtId="0" fontId="34" fillId="0" borderId="8" xfId="3" applyFont="1" applyBorder="1" applyAlignment="1">
      <alignment horizontal="center" vertical="center" wrapText="1"/>
    </xf>
    <xf numFmtId="0" fontId="2" fillId="5" borderId="1" xfId="6" applyFont="1" applyFill="1" applyBorder="1" applyAlignment="1">
      <alignment horizontal="center" vertical="center" wrapText="1"/>
    </xf>
    <xf numFmtId="0" fontId="2" fillId="5" borderId="1" xfId="6" applyFont="1" applyFill="1" applyBorder="1" applyAlignment="1">
      <alignment horizontal="center" vertical="center"/>
    </xf>
    <xf numFmtId="2" fontId="36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36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2" xfId="0" applyNumberFormat="1" applyFont="1" applyBorder="1" applyAlignment="1" applyProtection="1">
      <alignment horizontal="center" vertical="center" wrapText="1"/>
      <protection locked="0"/>
    </xf>
    <xf numFmtId="2" fontId="16" fillId="0" borderId="0" xfId="0" applyNumberFormat="1" applyFont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left" vertical="center" wrapText="1"/>
    </xf>
    <xf numFmtId="0" fontId="2" fillId="5" borderId="9" xfId="5" applyFont="1" applyFill="1" applyBorder="1" applyAlignment="1">
      <alignment horizontal="center" vertical="center" wrapText="1"/>
    </xf>
    <xf numFmtId="0" fontId="2" fillId="5" borderId="11" xfId="5" applyFont="1" applyFill="1" applyBorder="1" applyAlignment="1">
      <alignment horizontal="center" vertical="center" wrapText="1"/>
    </xf>
    <xf numFmtId="0" fontId="2" fillId="5" borderId="9" xfId="4" applyFont="1" applyFill="1" applyBorder="1" applyAlignment="1">
      <alignment horizontal="center" vertical="center" wrapText="1"/>
    </xf>
    <xf numFmtId="0" fontId="2" fillId="5" borderId="11" xfId="4" applyFont="1" applyFill="1" applyBorder="1" applyAlignment="1">
      <alignment horizontal="center" vertical="center" wrapText="1"/>
    </xf>
    <xf numFmtId="0" fontId="2" fillId="5" borderId="1" xfId="4" applyFont="1" applyFill="1" applyBorder="1" applyAlignment="1">
      <alignment horizontal="center" vertical="center" wrapText="1"/>
    </xf>
    <xf numFmtId="2" fontId="24" fillId="0" borderId="12" xfId="0" applyNumberFormat="1" applyFont="1" applyBorder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0" fontId="21" fillId="5" borderId="9" xfId="5" applyFont="1" applyFill="1" applyBorder="1" applyAlignment="1">
      <alignment horizontal="center" vertical="center" wrapText="1"/>
    </xf>
    <xf numFmtId="0" fontId="21" fillId="5" borderId="11" xfId="5" applyFont="1" applyFill="1" applyBorder="1" applyAlignment="1">
      <alignment horizontal="center" vertical="center" wrapText="1"/>
    </xf>
    <xf numFmtId="0" fontId="21" fillId="5" borderId="9" xfId="4" applyFont="1" applyFill="1" applyBorder="1" applyAlignment="1">
      <alignment horizontal="center" vertical="center" wrapText="1"/>
    </xf>
    <xf numFmtId="0" fontId="21" fillId="5" borderId="11" xfId="4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/>
    </xf>
    <xf numFmtId="0" fontId="2" fillId="5" borderId="1" xfId="5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5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16" fillId="0" borderId="7" xfId="7" applyFont="1" applyBorder="1" applyAlignment="1">
      <alignment horizontal="center"/>
    </xf>
    <xf numFmtId="0" fontId="16" fillId="0" borderId="8" xfId="7" applyFont="1" applyBorder="1" applyAlignment="1">
      <alignment horizontal="center"/>
    </xf>
    <xf numFmtId="0" fontId="43" fillId="2" borderId="0" xfId="0" applyFont="1" applyFill="1" applyAlignment="1" applyProtection="1">
      <alignment horizontal="left"/>
      <protection locked="0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14" borderId="1" xfId="11" applyFont="1" applyBorder="1" applyAlignment="1">
      <alignment horizontal="center" vertical="center"/>
    </xf>
    <xf numFmtId="0" fontId="48" fillId="15" borderId="7" xfId="11" applyFont="1" applyFill="1" applyBorder="1" applyAlignment="1">
      <alignment horizontal="center"/>
    </xf>
    <xf numFmtId="0" fontId="48" fillId="15" borderId="8" xfId="11" applyFont="1" applyFill="1" applyBorder="1" applyAlignment="1">
      <alignment horizontal="center"/>
    </xf>
    <xf numFmtId="0" fontId="24" fillId="5" borderId="1" xfId="11" applyFont="1" applyFill="1" applyBorder="1" applyAlignment="1">
      <alignment horizontal="center"/>
    </xf>
    <xf numFmtId="0" fontId="24" fillId="5" borderId="4" xfId="11" applyFont="1" applyFill="1" applyBorder="1" applyAlignment="1">
      <alignment horizontal="center"/>
    </xf>
    <xf numFmtId="0" fontId="24" fillId="4" borderId="9" xfId="11" applyFont="1" applyFill="1" applyBorder="1" applyAlignment="1"/>
    <xf numFmtId="0" fontId="24" fillId="5" borderId="6" xfId="11" applyFont="1" applyFill="1" applyBorder="1" applyAlignment="1">
      <alignment horizontal="center"/>
    </xf>
    <xf numFmtId="0" fontId="24" fillId="7" borderId="1" xfId="11" applyFont="1" applyFill="1" applyBorder="1"/>
    <xf numFmtId="0" fontId="24" fillId="7" borderId="4" xfId="11" applyFont="1" applyFill="1" applyBorder="1"/>
    <xf numFmtId="0" fontId="24" fillId="4" borderId="10" xfId="11" applyFont="1" applyFill="1" applyBorder="1" applyAlignment="1"/>
    <xf numFmtId="0" fontId="24" fillId="7" borderId="6" xfId="11" applyFont="1" applyFill="1" applyBorder="1"/>
    <xf numFmtId="165" fontId="0" fillId="0" borderId="1" xfId="0" applyNumberForma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24" fillId="4" borderId="10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4" fillId="4" borderId="1" xfId="0" applyFont="1" applyFill="1" applyBorder="1"/>
    <xf numFmtId="1" fontId="24" fillId="4" borderId="1" xfId="0" applyNumberFormat="1" applyFont="1" applyFill="1" applyBorder="1" applyAlignment="1">
      <alignment horizontal="center" vertical="center"/>
    </xf>
    <xf numFmtId="165" fontId="24" fillId="4" borderId="1" xfId="0" applyNumberFormat="1" applyFont="1" applyFill="1" applyBorder="1" applyAlignment="1">
      <alignment horizontal="center" vertical="center"/>
    </xf>
    <xf numFmtId="164" fontId="24" fillId="4" borderId="4" xfId="1" applyNumberFormat="1" applyFont="1" applyFill="1" applyBorder="1" applyAlignment="1">
      <alignment horizontal="center" vertical="center"/>
    </xf>
    <xf numFmtId="164" fontId="24" fillId="4" borderId="11" xfId="1" applyNumberFormat="1" applyFont="1" applyFill="1" applyBorder="1" applyAlignment="1">
      <alignment horizontal="center" vertical="center"/>
    </xf>
    <xf numFmtId="164" fontId="24" fillId="4" borderId="1" xfId="1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5" fillId="0" borderId="0" xfId="0" applyFont="1"/>
    <xf numFmtId="0" fontId="24" fillId="0" borderId="0" xfId="0" applyFont="1"/>
  </cellXfs>
  <cellStyles count="12">
    <cellStyle name="60% - Ênfase3" xfId="11" builtinId="40"/>
    <cellStyle name="Normal" xfId="0" builtinId="0"/>
    <cellStyle name="Normal 2 3" xfId="2" xr:uid="{26FFDA69-99F0-4312-B96D-72E42218ACCD}"/>
    <cellStyle name="Normal 3" xfId="9" xr:uid="{0151CFB7-D7B7-42DD-A4AF-9B5E7E10A59B}"/>
    <cellStyle name="Normal 4" xfId="7" xr:uid="{CEB5A4A6-71F0-45C4-A1A0-45B6649E9465}"/>
    <cellStyle name="Normal 4 2" xfId="8" xr:uid="{E759CC51-EB28-4C45-AA6C-F7022F861B86}"/>
    <cellStyle name="Normal 8" xfId="4" xr:uid="{B478ECBC-9C70-4EC8-B3A2-8EA961540802}"/>
    <cellStyle name="Normal 8 2 2" xfId="6" xr:uid="{44FC22AA-3915-4FCB-A946-81238B7F1022}"/>
    <cellStyle name="Normal_INSTRUMENTAIS DE OUTUBRO PREENCHIDOS" xfId="5" xr:uid="{665F5575-5DE5-4819-9DED-913ED45039C6}"/>
    <cellStyle name="Normal_RelatórioMensal_AgenteJovem" xfId="3" xr:uid="{41AD450E-E9A7-46FD-BC29-DC4F2A53138F}"/>
    <cellStyle name="Porcentagem" xfId="1" builtinId="5"/>
    <cellStyle name="Porcentagem 2" xfId="10" xr:uid="{B8579506-EB71-4324-941D-F46A513C1B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106</xdr:row>
      <xdr:rowOff>0</xdr:rowOff>
    </xdr:from>
    <xdr:to>
      <xdr:col>0</xdr:col>
      <xdr:colOff>13692</xdr:colOff>
      <xdr:row>106</xdr:row>
      <xdr:rowOff>185330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A44BC98D-F5F2-47FC-9EC1-559C8E34E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14800"/>
          <a:ext cx="13692" cy="1853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89B7E-6F59-48DF-A9CB-996F4AB9E981}">
  <dimension ref="A1:Q12"/>
  <sheetViews>
    <sheetView topLeftCell="C1" workbookViewId="0">
      <selection activeCell="F17" sqref="F17"/>
    </sheetView>
  </sheetViews>
  <sheetFormatPr defaultRowHeight="15" x14ac:dyDescent="0.25"/>
  <cols>
    <col min="1" max="1" width="23.85546875" customWidth="1"/>
    <col min="2" max="2" width="12.28515625" customWidth="1"/>
    <col min="4" max="4" width="12.85546875" customWidth="1"/>
    <col min="5" max="5" width="11.28515625" customWidth="1"/>
    <col min="6" max="6" width="11.85546875" customWidth="1"/>
    <col min="7" max="7" width="10.28515625" customWidth="1"/>
    <col min="8" max="8" width="11.28515625" customWidth="1"/>
    <col min="9" max="10" width="11.7109375" customWidth="1"/>
    <col min="12" max="12" width="10.42578125" customWidth="1"/>
    <col min="13" max="13" width="11.140625" customWidth="1"/>
    <col min="14" max="14" width="11.5703125" customWidth="1"/>
    <col min="16" max="16" width="9.42578125" customWidth="1"/>
    <col min="17" max="17" width="11.140625" customWidth="1"/>
  </cols>
  <sheetData>
    <row r="1" spans="1:17" ht="18.75" x14ac:dyDescent="0.3">
      <c r="A1" s="244" t="s">
        <v>290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ht="15.75" x14ac:dyDescent="0.25">
      <c r="A2" s="245" t="s">
        <v>1</v>
      </c>
      <c r="B2" s="246" t="s">
        <v>142</v>
      </c>
      <c r="C2" s="247"/>
      <c r="D2" s="247"/>
      <c r="E2" s="247"/>
      <c r="F2" s="246" t="s">
        <v>143</v>
      </c>
      <c r="G2" s="247"/>
      <c r="H2" s="247"/>
      <c r="I2" s="247"/>
      <c r="J2" s="246" t="s">
        <v>144</v>
      </c>
      <c r="K2" s="247"/>
      <c r="L2" s="247"/>
      <c r="M2" s="247"/>
      <c r="N2" s="248" t="s">
        <v>145</v>
      </c>
      <c r="O2" s="248"/>
      <c r="P2" s="248"/>
      <c r="Q2" s="248"/>
    </row>
    <row r="3" spans="1:17" x14ac:dyDescent="0.25">
      <c r="A3" s="245"/>
      <c r="B3" s="249" t="s">
        <v>162</v>
      </c>
      <c r="C3" s="249" t="s">
        <v>163</v>
      </c>
      <c r="D3" s="249" t="s">
        <v>292</v>
      </c>
      <c r="E3" s="250" t="s">
        <v>164</v>
      </c>
      <c r="F3" s="249" t="s">
        <v>162</v>
      </c>
      <c r="G3" s="249" t="s">
        <v>163</v>
      </c>
      <c r="H3" s="249" t="s">
        <v>292</v>
      </c>
      <c r="I3" s="250" t="s">
        <v>164</v>
      </c>
      <c r="J3" s="249" t="s">
        <v>162</v>
      </c>
      <c r="K3" s="249" t="s">
        <v>163</v>
      </c>
      <c r="L3" s="249" t="s">
        <v>292</v>
      </c>
      <c r="M3" s="250" t="s">
        <v>164</v>
      </c>
      <c r="N3" s="249" t="s">
        <v>162</v>
      </c>
      <c r="O3" s="249" t="s">
        <v>163</v>
      </c>
      <c r="P3" s="249" t="s">
        <v>292</v>
      </c>
      <c r="Q3" s="250" t="s">
        <v>164</v>
      </c>
    </row>
    <row r="4" spans="1:17" ht="33.75" customHeight="1" x14ac:dyDescent="0.25">
      <c r="A4" s="245"/>
      <c r="B4" s="249"/>
      <c r="C4" s="249"/>
      <c r="D4" s="249"/>
      <c r="E4" s="250"/>
      <c r="F4" s="249"/>
      <c r="G4" s="249"/>
      <c r="H4" s="249"/>
      <c r="I4" s="250"/>
      <c r="J4" s="249"/>
      <c r="K4" s="249"/>
      <c r="L4" s="249"/>
      <c r="M4" s="250"/>
      <c r="N4" s="249"/>
      <c r="O4" s="249"/>
      <c r="P4" s="249"/>
      <c r="Q4" s="250"/>
    </row>
    <row r="5" spans="1:17" x14ac:dyDescent="0.25">
      <c r="A5" s="222" t="s">
        <v>67</v>
      </c>
      <c r="B5" s="215">
        <v>1</v>
      </c>
      <c r="C5" s="215">
        <v>120</v>
      </c>
      <c r="D5" s="215">
        <v>525</v>
      </c>
      <c r="E5" s="216">
        <f>D5/C5*100</f>
        <v>437.5</v>
      </c>
      <c r="F5" s="215">
        <v>1</v>
      </c>
      <c r="G5" s="215">
        <v>120</v>
      </c>
      <c r="H5" s="215">
        <v>491</v>
      </c>
      <c r="I5" s="216">
        <f t="shared" ref="I5:I9" si="0">H5/G5*100</f>
        <v>409.16666666666669</v>
      </c>
      <c r="J5" s="215">
        <v>1</v>
      </c>
      <c r="K5" s="215">
        <v>120</v>
      </c>
      <c r="L5" s="215">
        <v>423</v>
      </c>
      <c r="M5" s="216">
        <f t="shared" ref="M5:M9" si="1">L5/K5*100</f>
        <v>352.5</v>
      </c>
      <c r="N5" s="215">
        <v>1</v>
      </c>
      <c r="O5" s="215">
        <v>120</v>
      </c>
      <c r="P5" s="215">
        <v>346</v>
      </c>
      <c r="Q5" s="216">
        <f t="shared" ref="Q5:Q9" si="2">P5/O5*100</f>
        <v>288.33333333333331</v>
      </c>
    </row>
    <row r="6" spans="1:17" x14ac:dyDescent="0.25">
      <c r="A6" s="222" t="s">
        <v>10</v>
      </c>
      <c r="B6" s="215">
        <v>1</v>
      </c>
      <c r="C6" s="215">
        <v>120</v>
      </c>
      <c r="D6" s="215">
        <v>256</v>
      </c>
      <c r="E6" s="216">
        <f t="shared" ref="E6:E9" si="3">D6/C6*100</f>
        <v>213.33333333333334</v>
      </c>
      <c r="F6" s="215">
        <v>1</v>
      </c>
      <c r="G6" s="215">
        <v>120</v>
      </c>
      <c r="H6" s="215">
        <v>263</v>
      </c>
      <c r="I6" s="216">
        <f t="shared" si="0"/>
        <v>219.16666666666669</v>
      </c>
      <c r="J6" s="215">
        <v>1</v>
      </c>
      <c r="K6" s="215">
        <v>120</v>
      </c>
      <c r="L6" s="215">
        <v>361</v>
      </c>
      <c r="M6" s="216">
        <f t="shared" si="1"/>
        <v>300.83333333333331</v>
      </c>
      <c r="N6" s="215">
        <v>1</v>
      </c>
      <c r="O6" s="215">
        <v>120</v>
      </c>
      <c r="P6" s="215">
        <v>405</v>
      </c>
      <c r="Q6" s="216">
        <f t="shared" si="2"/>
        <v>337.5</v>
      </c>
    </row>
    <row r="7" spans="1:17" x14ac:dyDescent="0.25">
      <c r="A7" s="223" t="s">
        <v>136</v>
      </c>
      <c r="B7" s="215">
        <v>1</v>
      </c>
      <c r="C7" s="215">
        <v>120</v>
      </c>
      <c r="D7" s="215">
        <v>209</v>
      </c>
      <c r="E7" s="216">
        <f t="shared" si="3"/>
        <v>174.16666666666666</v>
      </c>
      <c r="F7" s="215">
        <v>1</v>
      </c>
      <c r="G7" s="215">
        <v>120</v>
      </c>
      <c r="H7" s="215">
        <v>368</v>
      </c>
      <c r="I7" s="216">
        <f t="shared" si="0"/>
        <v>306.66666666666669</v>
      </c>
      <c r="J7" s="215">
        <v>1</v>
      </c>
      <c r="K7" s="215">
        <v>120</v>
      </c>
      <c r="L7" s="215">
        <v>529</v>
      </c>
      <c r="M7" s="216">
        <f t="shared" si="1"/>
        <v>440.83333333333331</v>
      </c>
      <c r="N7" s="215">
        <v>1</v>
      </c>
      <c r="O7" s="215">
        <v>120</v>
      </c>
      <c r="P7" s="215">
        <v>536</v>
      </c>
      <c r="Q7" s="216">
        <f t="shared" si="2"/>
        <v>446.66666666666669</v>
      </c>
    </row>
    <row r="8" spans="1:17" x14ac:dyDescent="0.25">
      <c r="A8" s="223" t="s">
        <v>53</v>
      </c>
      <c r="B8" s="231"/>
      <c r="C8" s="231"/>
      <c r="D8" s="231"/>
      <c r="E8" s="234"/>
      <c r="F8" s="215">
        <v>2</v>
      </c>
      <c r="G8" s="215">
        <v>240</v>
      </c>
      <c r="H8" s="215">
        <v>899</v>
      </c>
      <c r="I8" s="216">
        <f t="shared" si="0"/>
        <v>374.58333333333331</v>
      </c>
      <c r="J8" s="215">
        <v>2</v>
      </c>
      <c r="K8" s="215">
        <v>240</v>
      </c>
      <c r="L8" s="215">
        <v>990</v>
      </c>
      <c r="M8" s="216">
        <f t="shared" si="1"/>
        <v>412.5</v>
      </c>
      <c r="N8" s="215">
        <v>2</v>
      </c>
      <c r="O8" s="215">
        <v>240</v>
      </c>
      <c r="P8" s="215">
        <v>1203</v>
      </c>
      <c r="Q8" s="216">
        <f t="shared" si="2"/>
        <v>501.25</v>
      </c>
    </row>
    <row r="9" spans="1:17" x14ac:dyDescent="0.25">
      <c r="A9" s="223" t="s">
        <v>291</v>
      </c>
      <c r="B9" s="215">
        <v>1</v>
      </c>
      <c r="C9" s="215">
        <v>120</v>
      </c>
      <c r="D9" s="215">
        <v>695</v>
      </c>
      <c r="E9" s="216">
        <f t="shared" si="3"/>
        <v>579.16666666666674</v>
      </c>
      <c r="F9" s="215">
        <v>1</v>
      </c>
      <c r="G9" s="215">
        <v>120</v>
      </c>
      <c r="H9" s="232">
        <v>686</v>
      </c>
      <c r="I9" s="216">
        <f t="shared" si="0"/>
        <v>571.66666666666663</v>
      </c>
      <c r="J9" s="215">
        <v>1</v>
      </c>
      <c r="K9" s="215">
        <v>120</v>
      </c>
      <c r="L9" s="232">
        <v>449</v>
      </c>
      <c r="M9" s="216">
        <f t="shared" si="1"/>
        <v>374.16666666666669</v>
      </c>
      <c r="N9" s="215">
        <v>1</v>
      </c>
      <c r="O9" s="215">
        <v>120</v>
      </c>
      <c r="P9" s="232">
        <v>534</v>
      </c>
      <c r="Q9" s="216">
        <f t="shared" si="2"/>
        <v>445</v>
      </c>
    </row>
    <row r="10" spans="1:17" x14ac:dyDescent="0.25">
      <c r="A10" s="233" t="s">
        <v>232</v>
      </c>
      <c r="B10" s="233">
        <f>SUM(B5:B9)</f>
        <v>4</v>
      </c>
      <c r="C10" s="233">
        <f>SUM(C5:C9)</f>
        <v>480</v>
      </c>
      <c r="D10" s="233">
        <f>SUM(D5:D9)</f>
        <v>1685</v>
      </c>
      <c r="E10" s="236">
        <f>D10/C10</f>
        <v>3.5104166666666665</v>
      </c>
      <c r="F10" s="233">
        <f t="shared" ref="F10:G10" si="4">SUM(F5:F9)</f>
        <v>6</v>
      </c>
      <c r="G10" s="233">
        <f t="shared" si="4"/>
        <v>720</v>
      </c>
      <c r="H10" s="235">
        <f>SUM(H5:H9)</f>
        <v>2707</v>
      </c>
      <c r="I10" s="236">
        <f>H10/G10</f>
        <v>3.7597222222222224</v>
      </c>
      <c r="J10" s="233">
        <f t="shared" ref="J10:K10" si="5">SUM(J5:J9)</f>
        <v>6</v>
      </c>
      <c r="K10" s="233">
        <f t="shared" si="5"/>
        <v>720</v>
      </c>
      <c r="L10" s="233">
        <f>SUM(L5:L9)</f>
        <v>2752</v>
      </c>
      <c r="M10" s="236">
        <f>L10/K10</f>
        <v>3.8222222222222224</v>
      </c>
      <c r="N10" s="233">
        <f t="shared" ref="N10:O10" si="6">SUM(N5:N9)</f>
        <v>6</v>
      </c>
      <c r="O10" s="233">
        <f t="shared" si="6"/>
        <v>720</v>
      </c>
      <c r="P10" s="233">
        <f>SUM(P5:P9)</f>
        <v>3024</v>
      </c>
      <c r="Q10" s="236">
        <f>P10/O10</f>
        <v>4.2</v>
      </c>
    </row>
    <row r="11" spans="1:17" x14ac:dyDescent="0.25">
      <c r="A11" s="228" t="s">
        <v>287</v>
      </c>
    </row>
    <row r="12" spans="1:17" x14ac:dyDescent="0.25">
      <c r="A12" s="102" t="s">
        <v>288</v>
      </c>
    </row>
  </sheetData>
  <mergeCells count="22">
    <mergeCell ref="N3:N4"/>
    <mergeCell ref="G3:G4"/>
    <mergeCell ref="I3:I4"/>
    <mergeCell ref="J3:J4"/>
    <mergeCell ref="K3:K4"/>
    <mergeCell ref="M3:M4"/>
    <mergeCell ref="A1:Q1"/>
    <mergeCell ref="A2:A4"/>
    <mergeCell ref="B2:E2"/>
    <mergeCell ref="F2:I2"/>
    <mergeCell ref="J2:M2"/>
    <mergeCell ref="N2:Q2"/>
    <mergeCell ref="B3:B4"/>
    <mergeCell ref="C3:C4"/>
    <mergeCell ref="E3:E4"/>
    <mergeCell ref="F3:F4"/>
    <mergeCell ref="D3:D4"/>
    <mergeCell ref="H3:H4"/>
    <mergeCell ref="L3:L4"/>
    <mergeCell ref="P3:P4"/>
    <mergeCell ref="O3:O4"/>
    <mergeCell ref="Q3:Q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E908-5C26-485E-9F58-BD5408301764}">
  <dimension ref="A1:O10"/>
  <sheetViews>
    <sheetView zoomScaleNormal="100" workbookViewId="0">
      <pane xSplit="1" ySplit="4" topLeftCell="F5" activePane="bottomRight" state="frozen"/>
      <selection activeCell="B214" sqref="B214"/>
      <selection pane="topRight" activeCell="B214" sqref="B214"/>
      <selection pane="bottomLeft" activeCell="B214" sqref="B214"/>
      <selection pane="bottomRight" activeCell="H3" sqref="H3:H4"/>
    </sheetView>
  </sheetViews>
  <sheetFormatPr defaultRowHeight="15" x14ac:dyDescent="0.25"/>
  <cols>
    <col min="1" max="1" width="28.85546875" customWidth="1"/>
    <col min="2" max="2" width="12.5703125" customWidth="1"/>
    <col min="3" max="3" width="11" customWidth="1"/>
    <col min="4" max="4" width="12.28515625" customWidth="1"/>
    <col min="5" max="5" width="11.7109375" customWidth="1"/>
    <col min="6" max="6" width="10" customWidth="1"/>
    <col min="7" max="7" width="12" customWidth="1"/>
    <col min="8" max="8" width="23.85546875" customWidth="1"/>
    <col min="11" max="11" width="12.140625" customWidth="1"/>
    <col min="15" max="15" width="22.7109375" customWidth="1"/>
  </cols>
  <sheetData>
    <row r="1" spans="1:15" ht="18.75" x14ac:dyDescent="0.3">
      <c r="A1" s="244" t="s">
        <v>173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15" customHeight="1" x14ac:dyDescent="0.25">
      <c r="A2" s="245" t="s">
        <v>1</v>
      </c>
      <c r="B2" s="246" t="s">
        <v>142</v>
      </c>
      <c r="C2" s="247"/>
      <c r="D2" s="247"/>
      <c r="E2" s="246" t="s">
        <v>143</v>
      </c>
      <c r="F2" s="247"/>
      <c r="G2" s="247"/>
      <c r="H2" s="258"/>
      <c r="I2" s="246" t="s">
        <v>144</v>
      </c>
      <c r="J2" s="247"/>
      <c r="K2" s="247"/>
      <c r="L2" s="246" t="s">
        <v>145</v>
      </c>
      <c r="M2" s="247"/>
      <c r="N2" s="247"/>
      <c r="O2" s="258"/>
    </row>
    <row r="3" spans="1:15" ht="54" customHeight="1" x14ac:dyDescent="0.25">
      <c r="A3" s="245"/>
      <c r="B3" s="249" t="s">
        <v>162</v>
      </c>
      <c r="C3" s="249" t="s">
        <v>163</v>
      </c>
      <c r="D3" s="250" t="s">
        <v>164</v>
      </c>
      <c r="E3" s="249" t="s">
        <v>162</v>
      </c>
      <c r="F3" s="249" t="s">
        <v>163</v>
      </c>
      <c r="G3" s="250" t="s">
        <v>164</v>
      </c>
      <c r="H3" s="257" t="s">
        <v>177</v>
      </c>
      <c r="I3" s="249" t="s">
        <v>162</v>
      </c>
      <c r="J3" s="249" t="s">
        <v>163</v>
      </c>
      <c r="K3" s="250" t="s">
        <v>164</v>
      </c>
      <c r="L3" s="249" t="s">
        <v>162</v>
      </c>
      <c r="M3" s="249" t="s">
        <v>163</v>
      </c>
      <c r="N3" s="250" t="s">
        <v>164</v>
      </c>
      <c r="O3" s="257" t="s">
        <v>177</v>
      </c>
    </row>
    <row r="4" spans="1:15" ht="30" customHeight="1" x14ac:dyDescent="0.25">
      <c r="A4" s="245"/>
      <c r="B4" s="249"/>
      <c r="C4" s="249"/>
      <c r="D4" s="250"/>
      <c r="E4" s="249"/>
      <c r="F4" s="249"/>
      <c r="G4" s="250"/>
      <c r="H4" s="257"/>
      <c r="I4" s="249"/>
      <c r="J4" s="249"/>
      <c r="K4" s="250"/>
      <c r="L4" s="249"/>
      <c r="M4" s="249"/>
      <c r="N4" s="250"/>
      <c r="O4" s="257"/>
    </row>
    <row r="5" spans="1:15" ht="18.75" customHeight="1" x14ac:dyDescent="0.25">
      <c r="A5" s="45" t="s">
        <v>123</v>
      </c>
      <c r="B5" s="57">
        <v>1</v>
      </c>
      <c r="C5" s="57">
        <v>20</v>
      </c>
      <c r="D5" s="58">
        <f>15/20</f>
        <v>0.75</v>
      </c>
      <c r="E5" s="57">
        <v>1</v>
      </c>
      <c r="F5" s="57">
        <v>20</v>
      </c>
      <c r="G5" s="94">
        <f>17/20</f>
        <v>0.85</v>
      </c>
      <c r="H5" s="196">
        <v>0.25700000000000001</v>
      </c>
      <c r="I5" s="57">
        <v>1</v>
      </c>
      <c r="J5" s="57">
        <v>20</v>
      </c>
      <c r="K5" s="94">
        <f>17/20</f>
        <v>0.85</v>
      </c>
      <c r="L5" s="57">
        <v>1</v>
      </c>
      <c r="M5" s="57">
        <v>20</v>
      </c>
      <c r="N5" s="94">
        <f>16/20</f>
        <v>0.8</v>
      </c>
      <c r="O5" s="197">
        <v>0.32400000000000001</v>
      </c>
    </row>
    <row r="6" spans="1:15" ht="18.75" customHeight="1" x14ac:dyDescent="0.25">
      <c r="A6" s="45" t="s">
        <v>29</v>
      </c>
      <c r="B6" s="57">
        <v>3</v>
      </c>
      <c r="C6" s="57">
        <v>60</v>
      </c>
      <c r="D6" s="58">
        <f>57/60</f>
        <v>0.95</v>
      </c>
      <c r="E6" s="57">
        <v>3</v>
      </c>
      <c r="F6" s="57">
        <v>60</v>
      </c>
      <c r="G6" s="94">
        <f>58/60</f>
        <v>0.96666666666666667</v>
      </c>
      <c r="H6" s="196">
        <v>6.2E-2</v>
      </c>
      <c r="I6" s="57">
        <v>3</v>
      </c>
      <c r="J6" s="57">
        <v>60</v>
      </c>
      <c r="K6" s="94">
        <f>52/60</f>
        <v>0.8666666666666667</v>
      </c>
      <c r="L6" s="57">
        <v>3</v>
      </c>
      <c r="M6" s="57">
        <v>60</v>
      </c>
      <c r="N6" s="94">
        <f>50/60</f>
        <v>0.83333333333333337</v>
      </c>
      <c r="O6" s="197">
        <v>2.5000000000000001E-2</v>
      </c>
    </row>
    <row r="7" spans="1:15" ht="18.75" customHeight="1" x14ac:dyDescent="0.25">
      <c r="A7" s="45" t="s">
        <v>136</v>
      </c>
      <c r="B7" s="57">
        <v>2</v>
      </c>
      <c r="C7" s="57">
        <v>30</v>
      </c>
      <c r="D7" s="58">
        <f>27/30</f>
        <v>0.9</v>
      </c>
      <c r="E7" s="57">
        <v>2</v>
      </c>
      <c r="F7" s="57">
        <v>30</v>
      </c>
      <c r="G7" s="94">
        <f>28/30</f>
        <v>0.93333333333333335</v>
      </c>
      <c r="H7" s="196">
        <v>7.1999999999999995E-2</v>
      </c>
      <c r="I7" s="57">
        <v>2</v>
      </c>
      <c r="J7" s="57">
        <v>30</v>
      </c>
      <c r="K7" s="94">
        <f>28/30</f>
        <v>0.93333333333333335</v>
      </c>
      <c r="L7" s="57">
        <v>2</v>
      </c>
      <c r="M7" s="57">
        <v>30</v>
      </c>
      <c r="N7" s="94">
        <f>26/30</f>
        <v>0.8666666666666667</v>
      </c>
      <c r="O7" s="197">
        <v>3.9E-2</v>
      </c>
    </row>
    <row r="8" spans="1:15" ht="18.75" customHeight="1" x14ac:dyDescent="0.25">
      <c r="A8" s="59" t="s">
        <v>140</v>
      </c>
      <c r="B8" s="62">
        <v>6</v>
      </c>
      <c r="C8" s="62">
        <v>110</v>
      </c>
      <c r="D8" s="166">
        <f>AVERAGE(D5:D7)</f>
        <v>0.8666666666666667</v>
      </c>
      <c r="E8" s="61">
        <f>SUM(E5:E7)</f>
        <v>6</v>
      </c>
      <c r="F8" s="61">
        <f>SUM(F5:F7)</f>
        <v>110</v>
      </c>
      <c r="G8" s="166">
        <f>AVERAGE(G5:G7)</f>
        <v>0.91666666666666663</v>
      </c>
      <c r="H8" s="166">
        <f>AVERAGE(H5:H7)</f>
        <v>0.13033333333333333</v>
      </c>
      <c r="I8" s="61">
        <f t="shared" ref="I8:J8" si="0">SUM(I5:I7)</f>
        <v>6</v>
      </c>
      <c r="J8" s="61">
        <f t="shared" si="0"/>
        <v>110</v>
      </c>
      <c r="K8" s="166">
        <f>AVERAGE(K5:K7)</f>
        <v>0.88333333333333341</v>
      </c>
      <c r="L8" s="61">
        <f t="shared" ref="L8:M8" si="1">SUM(L5:L7)</f>
        <v>6</v>
      </c>
      <c r="M8" s="61">
        <f t="shared" si="1"/>
        <v>110</v>
      </c>
      <c r="N8" s="166">
        <f>AVERAGE(N5:N7)</f>
        <v>0.83333333333333337</v>
      </c>
      <c r="O8" s="166">
        <f>AVERAGE(O5:O7)</f>
        <v>0.12933333333333333</v>
      </c>
    </row>
    <row r="9" spans="1:15" x14ac:dyDescent="0.25">
      <c r="A9" s="37" t="s">
        <v>183</v>
      </c>
    </row>
    <row r="10" spans="1:15" x14ac:dyDescent="0.25">
      <c r="A10" s="37" t="s">
        <v>149</v>
      </c>
      <c r="B10" s="30"/>
    </row>
  </sheetData>
  <mergeCells count="20">
    <mergeCell ref="A1:O1"/>
    <mergeCell ref="A2:A4"/>
    <mergeCell ref="B2:D2"/>
    <mergeCell ref="E2:H2"/>
    <mergeCell ref="I2:K2"/>
    <mergeCell ref="L2:O2"/>
    <mergeCell ref="B3:B4"/>
    <mergeCell ref="C3:C4"/>
    <mergeCell ref="D3:D4"/>
    <mergeCell ref="E3:E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589D-C40E-4C15-B18F-EC48F3A6730C}">
  <dimension ref="A1:O39"/>
  <sheetViews>
    <sheetView topLeftCell="A27" zoomScale="75" zoomScaleNormal="75" workbookViewId="0">
      <pane xSplit="1" topLeftCell="J1" activePane="topRight" state="frozen"/>
      <selection pane="topRight" activeCell="O3" sqref="O3:O4"/>
    </sheetView>
  </sheetViews>
  <sheetFormatPr defaultRowHeight="15" x14ac:dyDescent="0.25"/>
  <cols>
    <col min="1" max="1" width="41" style="56" customWidth="1"/>
    <col min="2" max="3" width="14.7109375" customWidth="1"/>
    <col min="4" max="4" width="15.42578125" style="55" customWidth="1"/>
    <col min="5" max="6" width="14.7109375" customWidth="1"/>
    <col min="7" max="7" width="15.7109375" customWidth="1"/>
    <col min="8" max="8" width="30.7109375" customWidth="1"/>
    <col min="9" max="10" width="14.7109375" customWidth="1"/>
    <col min="11" max="11" width="15.7109375" customWidth="1"/>
    <col min="12" max="13" width="14.7109375" customWidth="1"/>
    <col min="14" max="14" width="15.7109375" customWidth="1"/>
    <col min="15" max="15" width="30.7109375" customWidth="1"/>
  </cols>
  <sheetData>
    <row r="1" spans="1:15" ht="27.75" customHeight="1" x14ac:dyDescent="0.25">
      <c r="A1" s="276" t="s">
        <v>174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15" ht="24.95" customHeight="1" x14ac:dyDescent="0.25">
      <c r="A2" s="60"/>
      <c r="B2" s="246" t="s">
        <v>142</v>
      </c>
      <c r="C2" s="247"/>
      <c r="D2" s="247"/>
      <c r="E2" s="246" t="s">
        <v>143</v>
      </c>
      <c r="F2" s="247"/>
      <c r="G2" s="247"/>
      <c r="H2" s="258"/>
      <c r="I2" s="246" t="s">
        <v>144</v>
      </c>
      <c r="J2" s="247"/>
      <c r="K2" s="247"/>
      <c r="L2" s="246" t="s">
        <v>145</v>
      </c>
      <c r="M2" s="247"/>
      <c r="N2" s="247"/>
      <c r="O2" s="258"/>
    </row>
    <row r="3" spans="1:15" ht="24.95" customHeight="1" x14ac:dyDescent="0.25">
      <c r="A3" s="278" t="s">
        <v>1</v>
      </c>
      <c r="B3" s="273" t="s">
        <v>162</v>
      </c>
      <c r="C3" s="273" t="s">
        <v>163</v>
      </c>
      <c r="D3" s="274" t="s">
        <v>164</v>
      </c>
      <c r="E3" s="273" t="s">
        <v>162</v>
      </c>
      <c r="F3" s="273" t="s">
        <v>163</v>
      </c>
      <c r="G3" s="274" t="s">
        <v>164</v>
      </c>
      <c r="H3" s="275" t="s">
        <v>176</v>
      </c>
      <c r="I3" s="273" t="s">
        <v>162</v>
      </c>
      <c r="J3" s="273" t="s">
        <v>163</v>
      </c>
      <c r="K3" s="274" t="s">
        <v>164</v>
      </c>
      <c r="L3" s="273" t="s">
        <v>162</v>
      </c>
      <c r="M3" s="273" t="s">
        <v>163</v>
      </c>
      <c r="N3" s="274" t="s">
        <v>164</v>
      </c>
      <c r="O3" s="275" t="s">
        <v>176</v>
      </c>
    </row>
    <row r="4" spans="1:15" ht="59.25" customHeight="1" x14ac:dyDescent="0.25">
      <c r="A4" s="278"/>
      <c r="B4" s="273"/>
      <c r="C4" s="273"/>
      <c r="D4" s="274"/>
      <c r="E4" s="273"/>
      <c r="F4" s="273"/>
      <c r="G4" s="274"/>
      <c r="H4" s="275"/>
      <c r="I4" s="273"/>
      <c r="J4" s="273"/>
      <c r="K4" s="274"/>
      <c r="L4" s="273"/>
      <c r="M4" s="273"/>
      <c r="N4" s="274"/>
      <c r="O4" s="275"/>
    </row>
    <row r="5" spans="1:15" ht="33.75" customHeight="1" x14ac:dyDescent="0.25">
      <c r="A5" s="46" t="s">
        <v>63</v>
      </c>
      <c r="B5" s="47">
        <v>2</v>
      </c>
      <c r="C5" s="47">
        <v>35</v>
      </c>
      <c r="D5" s="48">
        <f>35/35</f>
        <v>1</v>
      </c>
      <c r="E5" s="63">
        <v>3</v>
      </c>
      <c r="F5" s="64">
        <v>46.666666666666664</v>
      </c>
      <c r="G5" s="94">
        <f>30/47</f>
        <v>0.63829787234042556</v>
      </c>
      <c r="H5" s="197">
        <v>0.20799999999999999</v>
      </c>
      <c r="I5" s="63">
        <v>3</v>
      </c>
      <c r="J5" s="8">
        <v>45</v>
      </c>
      <c r="K5" s="94">
        <f>28/45</f>
        <v>0.62222222222222223</v>
      </c>
      <c r="L5" s="63">
        <v>2.3333333333333335</v>
      </c>
      <c r="M5" s="8">
        <v>35</v>
      </c>
      <c r="N5" s="94">
        <f>29/35</f>
        <v>0.82857142857142863</v>
      </c>
      <c r="O5" s="197">
        <v>3.2000000000000001E-2</v>
      </c>
    </row>
    <row r="6" spans="1:15" ht="24.95" customHeight="1" x14ac:dyDescent="0.25">
      <c r="A6" s="46" t="s">
        <v>34</v>
      </c>
      <c r="B6" s="47">
        <v>3</v>
      </c>
      <c r="C6" s="47">
        <v>45</v>
      </c>
      <c r="D6" s="48">
        <f>35/45</f>
        <v>0.77777777777777779</v>
      </c>
      <c r="E6" s="63">
        <v>3</v>
      </c>
      <c r="F6" s="64">
        <v>45</v>
      </c>
      <c r="G6" s="66">
        <f>39/45</f>
        <v>0.8666666666666667</v>
      </c>
      <c r="H6" s="197">
        <v>0.36799999999999999</v>
      </c>
      <c r="I6" s="63">
        <v>3</v>
      </c>
      <c r="J6" s="8">
        <v>45</v>
      </c>
      <c r="K6" s="94">
        <f>40/45</f>
        <v>0.88888888888888884</v>
      </c>
      <c r="L6" s="63">
        <v>3</v>
      </c>
      <c r="M6" s="8">
        <v>45</v>
      </c>
      <c r="N6" s="94">
        <f>37/45</f>
        <v>0.82222222222222219</v>
      </c>
      <c r="O6" s="197">
        <v>0.309</v>
      </c>
    </row>
    <row r="7" spans="1:15" ht="24.95" customHeight="1" x14ac:dyDescent="0.25">
      <c r="A7" s="46" t="s">
        <v>119</v>
      </c>
      <c r="B7" s="47">
        <v>5</v>
      </c>
      <c r="C7" s="47">
        <v>80</v>
      </c>
      <c r="D7" s="48">
        <f>70/80</f>
        <v>0.875</v>
      </c>
      <c r="E7" s="63">
        <v>5</v>
      </c>
      <c r="F7" s="64">
        <v>76.666666666666671</v>
      </c>
      <c r="G7" s="66">
        <f>67/77</f>
        <v>0.87012987012987009</v>
      </c>
      <c r="H7" s="197">
        <v>0.34699999999999998</v>
      </c>
      <c r="I7" s="63">
        <v>5</v>
      </c>
      <c r="J7" s="8">
        <v>75</v>
      </c>
      <c r="K7" s="94">
        <f>66/75</f>
        <v>0.88</v>
      </c>
      <c r="L7" s="63">
        <v>5</v>
      </c>
      <c r="M7" s="8">
        <v>75</v>
      </c>
      <c r="N7" s="94">
        <f>60/75</f>
        <v>0.8</v>
      </c>
      <c r="O7" s="197">
        <v>9.7000000000000003E-2</v>
      </c>
    </row>
    <row r="8" spans="1:15" ht="24.95" customHeight="1" x14ac:dyDescent="0.25">
      <c r="A8" s="46" t="s">
        <v>123</v>
      </c>
      <c r="B8" s="47">
        <v>5</v>
      </c>
      <c r="C8" s="47">
        <v>75</v>
      </c>
      <c r="D8" s="48">
        <f>79/75</f>
        <v>1.0533333333333332</v>
      </c>
      <c r="E8" s="63">
        <v>5</v>
      </c>
      <c r="F8" s="47">
        <v>75</v>
      </c>
      <c r="G8" s="66">
        <f>71/75</f>
        <v>0.94666666666666666</v>
      </c>
      <c r="H8" s="197">
        <v>0.47599999999999998</v>
      </c>
      <c r="I8" s="63">
        <v>5</v>
      </c>
      <c r="J8" s="8">
        <v>75</v>
      </c>
      <c r="K8" s="94">
        <f>65/75</f>
        <v>0.8666666666666667</v>
      </c>
      <c r="L8" s="63">
        <v>5</v>
      </c>
      <c r="M8" s="8">
        <v>75</v>
      </c>
      <c r="N8" s="94">
        <f>63/75</f>
        <v>0.84</v>
      </c>
      <c r="O8" s="197">
        <v>0.20300000000000001</v>
      </c>
    </row>
    <row r="9" spans="1:15" ht="24.95" customHeight="1" x14ac:dyDescent="0.25">
      <c r="A9" s="46" t="s">
        <v>165</v>
      </c>
      <c r="B9" s="47">
        <v>4</v>
      </c>
      <c r="C9" s="47">
        <v>65</v>
      </c>
      <c r="D9" s="48">
        <f>52/65</f>
        <v>0.8</v>
      </c>
      <c r="E9" s="63">
        <v>4</v>
      </c>
      <c r="F9" s="64">
        <v>61.666666666666664</v>
      </c>
      <c r="G9" s="66">
        <f>62/62</f>
        <v>1</v>
      </c>
      <c r="H9" s="197">
        <v>0.26500000000000001</v>
      </c>
      <c r="I9" s="63">
        <v>4</v>
      </c>
      <c r="J9" s="8">
        <v>60</v>
      </c>
      <c r="K9" s="94">
        <f>59/60</f>
        <v>0.98333333333333328</v>
      </c>
      <c r="L9" s="63">
        <v>4</v>
      </c>
      <c r="M9" s="8">
        <v>60</v>
      </c>
      <c r="N9" s="94">
        <f>58/60</f>
        <v>0.96666666666666667</v>
      </c>
      <c r="O9" s="197">
        <v>0.16500000000000001</v>
      </c>
    </row>
    <row r="10" spans="1:15" ht="24.95" customHeight="1" x14ac:dyDescent="0.25">
      <c r="A10" s="46" t="s">
        <v>127</v>
      </c>
      <c r="B10" s="47">
        <v>2</v>
      </c>
      <c r="C10" s="47">
        <v>35</v>
      </c>
      <c r="D10" s="48">
        <f>26/35</f>
        <v>0.74285714285714288</v>
      </c>
      <c r="E10" s="63">
        <v>2</v>
      </c>
      <c r="F10" s="47">
        <v>33.333333333333336</v>
      </c>
      <c r="G10" s="66">
        <f>27/33</f>
        <v>0.81818181818181823</v>
      </c>
      <c r="H10" s="197">
        <v>0.66300000000000003</v>
      </c>
      <c r="I10" s="63">
        <v>2</v>
      </c>
      <c r="J10" s="8">
        <v>30</v>
      </c>
      <c r="K10" s="94">
        <f>27/30</f>
        <v>0.9</v>
      </c>
      <c r="L10" s="63">
        <v>3</v>
      </c>
      <c r="M10" s="8">
        <v>45</v>
      </c>
      <c r="N10" s="94">
        <f>24/45</f>
        <v>0.53333333333333333</v>
      </c>
      <c r="O10" s="197">
        <v>0.52100000000000002</v>
      </c>
    </row>
    <row r="11" spans="1:15" ht="24.95" customHeight="1" x14ac:dyDescent="0.25">
      <c r="A11" s="46" t="s">
        <v>83</v>
      </c>
      <c r="B11" s="47">
        <v>1</v>
      </c>
      <c r="C11" s="47">
        <v>15</v>
      </c>
      <c r="D11" s="48">
        <f>15/15</f>
        <v>1</v>
      </c>
      <c r="E11" s="63">
        <v>1</v>
      </c>
      <c r="F11" s="47">
        <v>15</v>
      </c>
      <c r="G11" s="66">
        <f>11/15</f>
        <v>0.73333333333333328</v>
      </c>
      <c r="H11" s="197">
        <v>0.495</v>
      </c>
      <c r="I11" s="63">
        <v>1</v>
      </c>
      <c r="J11" s="8">
        <v>15</v>
      </c>
      <c r="K11" s="94">
        <f>11/15</f>
        <v>0.73333333333333328</v>
      </c>
      <c r="L11" s="63">
        <v>1</v>
      </c>
      <c r="M11" s="8">
        <v>15</v>
      </c>
      <c r="N11" s="94">
        <f>11/15</f>
        <v>0.73333333333333328</v>
      </c>
      <c r="O11" s="197">
        <v>0.28699999999999998</v>
      </c>
    </row>
    <row r="12" spans="1:15" ht="24.95" customHeight="1" x14ac:dyDescent="0.25">
      <c r="A12" s="46" t="s">
        <v>85</v>
      </c>
      <c r="B12" s="47">
        <v>3</v>
      </c>
      <c r="C12" s="47">
        <v>45</v>
      </c>
      <c r="D12" s="48">
        <f>35/45</f>
        <v>0.77777777777777779</v>
      </c>
      <c r="E12" s="63">
        <v>3</v>
      </c>
      <c r="F12" s="64">
        <v>45</v>
      </c>
      <c r="G12" s="66">
        <f>41/45</f>
        <v>0.91111111111111109</v>
      </c>
      <c r="H12" s="197">
        <v>0.27500000000000002</v>
      </c>
      <c r="I12" s="63">
        <v>3</v>
      </c>
      <c r="J12" s="8">
        <v>45</v>
      </c>
      <c r="K12" s="94">
        <f>42/45</f>
        <v>0.93333333333333335</v>
      </c>
      <c r="L12" s="63">
        <v>3</v>
      </c>
      <c r="M12" s="8">
        <v>45</v>
      </c>
      <c r="N12" s="94">
        <f>41/45</f>
        <v>0.91111111111111109</v>
      </c>
      <c r="O12" s="197">
        <v>3.9E-2</v>
      </c>
    </row>
    <row r="13" spans="1:15" ht="24.95" customHeight="1" x14ac:dyDescent="0.25">
      <c r="A13" s="46" t="s">
        <v>166</v>
      </c>
      <c r="B13" s="47">
        <v>4</v>
      </c>
      <c r="C13" s="47">
        <v>65</v>
      </c>
      <c r="D13" s="48">
        <f>46/65</f>
        <v>0.70769230769230773</v>
      </c>
      <c r="E13" s="63">
        <v>4</v>
      </c>
      <c r="F13" s="64">
        <v>60</v>
      </c>
      <c r="G13" s="66">
        <f>50/60</f>
        <v>0.83333333333333337</v>
      </c>
      <c r="H13" s="197">
        <v>0.65100000000000002</v>
      </c>
      <c r="I13" s="63">
        <v>4</v>
      </c>
      <c r="J13" s="8">
        <v>60</v>
      </c>
      <c r="K13" s="94">
        <f>63/60</f>
        <v>1.05</v>
      </c>
      <c r="L13" s="63">
        <v>4</v>
      </c>
      <c r="M13" s="8">
        <v>60</v>
      </c>
      <c r="N13" s="94">
        <f>59/60</f>
        <v>0.98333333333333328</v>
      </c>
      <c r="O13" s="197">
        <v>0.186</v>
      </c>
    </row>
    <row r="14" spans="1:15" ht="24.95" customHeight="1" x14ac:dyDescent="0.25">
      <c r="A14" s="46" t="s">
        <v>88</v>
      </c>
      <c r="B14" s="47">
        <v>5</v>
      </c>
      <c r="C14" s="47">
        <v>75</v>
      </c>
      <c r="D14" s="48">
        <f>73/75</f>
        <v>0.97333333333333338</v>
      </c>
      <c r="E14" s="63">
        <v>5</v>
      </c>
      <c r="F14" s="64">
        <v>75</v>
      </c>
      <c r="G14" s="66">
        <f>66/75</f>
        <v>0.88</v>
      </c>
      <c r="H14" s="197">
        <v>0.32600000000000001</v>
      </c>
      <c r="I14" s="63">
        <v>5</v>
      </c>
      <c r="J14" s="8">
        <v>75</v>
      </c>
      <c r="K14" s="94">
        <f>61/75</f>
        <v>0.81333333333333335</v>
      </c>
      <c r="L14" s="63">
        <v>5</v>
      </c>
      <c r="M14" s="8">
        <v>75</v>
      </c>
      <c r="N14" s="94">
        <f>62/75</f>
        <v>0.82666666666666666</v>
      </c>
      <c r="O14" s="197">
        <v>0.26200000000000001</v>
      </c>
    </row>
    <row r="15" spans="1:15" ht="24.95" customHeight="1" x14ac:dyDescent="0.25">
      <c r="A15" s="46" t="s">
        <v>108</v>
      </c>
      <c r="B15" s="47">
        <v>3</v>
      </c>
      <c r="C15" s="47">
        <v>45</v>
      </c>
      <c r="D15" s="48">
        <f>45/45</f>
        <v>1</v>
      </c>
      <c r="E15" s="63">
        <v>3.6666666666666665</v>
      </c>
      <c r="F15" s="64">
        <v>55</v>
      </c>
      <c r="G15" s="66">
        <f>42/55</f>
        <v>0.76363636363636367</v>
      </c>
      <c r="H15" s="197">
        <v>0.24399999999999999</v>
      </c>
      <c r="I15" s="63">
        <v>4</v>
      </c>
      <c r="J15" s="8">
        <v>60</v>
      </c>
      <c r="K15" s="94">
        <f>38/60</f>
        <v>0.6333333333333333</v>
      </c>
      <c r="L15" s="63">
        <v>4</v>
      </c>
      <c r="M15" s="8">
        <v>60</v>
      </c>
      <c r="N15" s="94">
        <f>45/60</f>
        <v>0.75</v>
      </c>
      <c r="O15" s="197">
        <v>0.109</v>
      </c>
    </row>
    <row r="16" spans="1:15" ht="24.95" customHeight="1" x14ac:dyDescent="0.25">
      <c r="A16" s="46" t="s">
        <v>91</v>
      </c>
      <c r="B16" s="47">
        <v>5</v>
      </c>
      <c r="C16" s="47">
        <v>75</v>
      </c>
      <c r="D16" s="48">
        <f>51/75</f>
        <v>0.68</v>
      </c>
      <c r="E16" s="63">
        <v>5</v>
      </c>
      <c r="F16" s="64">
        <v>75</v>
      </c>
      <c r="G16" s="66">
        <f>57/75</f>
        <v>0.76</v>
      </c>
      <c r="H16" s="197">
        <v>0.34100000000000003</v>
      </c>
      <c r="I16" s="63">
        <v>5</v>
      </c>
      <c r="J16" s="8">
        <v>75</v>
      </c>
      <c r="K16" s="94">
        <f>54/75</f>
        <v>0.72</v>
      </c>
      <c r="L16" s="63">
        <v>5</v>
      </c>
      <c r="M16" s="8">
        <v>75</v>
      </c>
      <c r="N16" s="94">
        <f>54/75</f>
        <v>0.72</v>
      </c>
      <c r="O16" s="197">
        <v>0.16800000000000001</v>
      </c>
    </row>
    <row r="17" spans="1:15" ht="24.95" customHeight="1" x14ac:dyDescent="0.25">
      <c r="A17" s="46" t="s">
        <v>94</v>
      </c>
      <c r="B17" s="47">
        <v>11</v>
      </c>
      <c r="C17" s="47">
        <v>165</v>
      </c>
      <c r="D17" s="48">
        <f>156/165</f>
        <v>0.94545454545454544</v>
      </c>
      <c r="E17" s="63">
        <v>11</v>
      </c>
      <c r="F17" s="64">
        <v>165</v>
      </c>
      <c r="G17" s="66">
        <f>135/165</f>
        <v>0.81818181818181823</v>
      </c>
      <c r="H17" s="197">
        <v>0.34499999999999997</v>
      </c>
      <c r="I17" s="63">
        <v>11</v>
      </c>
      <c r="J17" s="8">
        <v>165</v>
      </c>
      <c r="K17" s="94">
        <f>119/165</f>
        <v>0.72121212121212119</v>
      </c>
      <c r="L17" s="63">
        <v>11</v>
      </c>
      <c r="M17" s="8">
        <v>165</v>
      </c>
      <c r="N17" s="94">
        <f>130/165</f>
        <v>0.78787878787878785</v>
      </c>
      <c r="O17" s="197">
        <v>0.182</v>
      </c>
    </row>
    <row r="18" spans="1:15" ht="24.95" customHeight="1" x14ac:dyDescent="0.25">
      <c r="A18" s="46" t="s">
        <v>112</v>
      </c>
      <c r="B18" s="47">
        <v>2</v>
      </c>
      <c r="C18" s="47">
        <v>30</v>
      </c>
      <c r="D18" s="48">
        <f>25/30</f>
        <v>0.83333333333333337</v>
      </c>
      <c r="E18" s="63">
        <v>2</v>
      </c>
      <c r="F18" s="64">
        <v>30</v>
      </c>
      <c r="G18" s="66">
        <f>23/30</f>
        <v>0.76666666666666672</v>
      </c>
      <c r="H18" s="197">
        <v>0.29799999999999999</v>
      </c>
      <c r="I18" s="63">
        <v>2</v>
      </c>
      <c r="J18" s="8">
        <v>30</v>
      </c>
      <c r="K18" s="94">
        <f>26/30</f>
        <v>0.8666666666666667</v>
      </c>
      <c r="L18" s="63">
        <v>2.6666666666666665</v>
      </c>
      <c r="M18" s="8">
        <v>40</v>
      </c>
      <c r="N18" s="94">
        <f>26/40</f>
        <v>0.65</v>
      </c>
      <c r="O18" s="197">
        <v>8.3000000000000004E-2</v>
      </c>
    </row>
    <row r="19" spans="1:15" ht="24.95" customHeight="1" x14ac:dyDescent="0.25">
      <c r="A19" s="46" t="s">
        <v>175</v>
      </c>
      <c r="B19" s="47">
        <v>5</v>
      </c>
      <c r="C19" s="47">
        <v>75</v>
      </c>
      <c r="D19" s="48">
        <f>71/75</f>
        <v>0.94666666666666666</v>
      </c>
      <c r="E19" s="63">
        <v>5</v>
      </c>
      <c r="F19" s="64">
        <v>75</v>
      </c>
      <c r="G19" s="66">
        <f>66/75</f>
        <v>0.88</v>
      </c>
      <c r="H19" s="197">
        <v>0.28100000000000003</v>
      </c>
      <c r="I19" s="63">
        <v>5</v>
      </c>
      <c r="J19" s="8">
        <v>75</v>
      </c>
      <c r="K19" s="94">
        <f>65/75</f>
        <v>0.8666666666666667</v>
      </c>
      <c r="L19" s="63">
        <v>5</v>
      </c>
      <c r="M19" s="8">
        <v>75</v>
      </c>
      <c r="N19" s="94">
        <f>64/75</f>
        <v>0.85333333333333339</v>
      </c>
      <c r="O19" s="197">
        <v>0.105</v>
      </c>
    </row>
    <row r="20" spans="1:15" ht="24.95" customHeight="1" x14ac:dyDescent="0.25">
      <c r="A20" s="46" t="s">
        <v>40</v>
      </c>
      <c r="B20" s="47">
        <v>3</v>
      </c>
      <c r="C20" s="47">
        <v>45</v>
      </c>
      <c r="D20" s="48">
        <f>37/45</f>
        <v>0.82222222222222219</v>
      </c>
      <c r="E20" s="63">
        <v>4</v>
      </c>
      <c r="F20" s="64">
        <v>60</v>
      </c>
      <c r="G20" s="66">
        <f>68/60</f>
        <v>1.1333333333333333</v>
      </c>
      <c r="H20" s="197">
        <v>0.33600000000000002</v>
      </c>
      <c r="I20" s="63">
        <v>4</v>
      </c>
      <c r="J20" s="8">
        <v>60</v>
      </c>
      <c r="K20" s="94">
        <f>64/60</f>
        <v>1.0666666666666667</v>
      </c>
      <c r="L20" s="63">
        <v>4</v>
      </c>
      <c r="M20" s="8">
        <v>60</v>
      </c>
      <c r="N20" s="94">
        <f>60/60</f>
        <v>1</v>
      </c>
      <c r="O20" s="197">
        <v>0.186</v>
      </c>
    </row>
    <row r="21" spans="1:15" ht="24.95" customHeight="1" x14ac:dyDescent="0.25">
      <c r="A21" s="46" t="s">
        <v>167</v>
      </c>
      <c r="B21" s="47">
        <v>4</v>
      </c>
      <c r="C21" s="47">
        <v>60</v>
      </c>
      <c r="D21" s="48">
        <f>61/60</f>
        <v>1.0166666666666666</v>
      </c>
      <c r="E21" s="63">
        <v>4</v>
      </c>
      <c r="F21" s="64">
        <v>60</v>
      </c>
      <c r="G21" s="66">
        <f>46/60</f>
        <v>0.76666666666666672</v>
      </c>
      <c r="H21" s="197">
        <v>0.34300000000000003</v>
      </c>
      <c r="I21" s="63">
        <v>4</v>
      </c>
      <c r="J21" s="8">
        <v>60</v>
      </c>
      <c r="K21" s="94">
        <f>50/60</f>
        <v>0.83333333333333337</v>
      </c>
      <c r="L21" s="63">
        <v>4</v>
      </c>
      <c r="M21" s="8">
        <v>60</v>
      </c>
      <c r="N21" s="94">
        <f>43/60</f>
        <v>0.71666666666666667</v>
      </c>
      <c r="O21" s="197">
        <v>0.19700000000000001</v>
      </c>
    </row>
    <row r="22" spans="1:15" ht="24.95" customHeight="1" x14ac:dyDescent="0.25">
      <c r="A22" s="46" t="s">
        <v>67</v>
      </c>
      <c r="B22" s="47">
        <v>6</v>
      </c>
      <c r="C22" s="47">
        <v>100</v>
      </c>
      <c r="D22" s="48">
        <f>106/100</f>
        <v>1.06</v>
      </c>
      <c r="E22" s="63">
        <v>6</v>
      </c>
      <c r="F22" s="64">
        <v>95</v>
      </c>
      <c r="G22" s="66">
        <f>103/95</f>
        <v>1.0842105263157895</v>
      </c>
      <c r="H22" s="197">
        <v>0.26800000000000002</v>
      </c>
      <c r="I22" s="63">
        <v>6</v>
      </c>
      <c r="J22" s="8">
        <v>90</v>
      </c>
      <c r="K22" s="94">
        <f>94/90</f>
        <v>1.0444444444444445</v>
      </c>
      <c r="L22" s="63">
        <v>6</v>
      </c>
      <c r="M22" s="8">
        <v>90</v>
      </c>
      <c r="N22" s="94">
        <f>91/90</f>
        <v>1.0111111111111111</v>
      </c>
      <c r="O22" s="197">
        <v>0.16400000000000001</v>
      </c>
    </row>
    <row r="23" spans="1:15" ht="24.95" customHeight="1" x14ac:dyDescent="0.25">
      <c r="A23" s="46" t="s">
        <v>133</v>
      </c>
      <c r="B23" s="47">
        <v>2</v>
      </c>
      <c r="C23" s="47">
        <v>30</v>
      </c>
      <c r="D23" s="48">
        <f>29/30</f>
        <v>0.96666666666666667</v>
      </c>
      <c r="E23" s="63">
        <v>3</v>
      </c>
      <c r="F23" s="64">
        <v>45</v>
      </c>
      <c r="G23" s="66">
        <f>33/45</f>
        <v>0.73333333333333328</v>
      </c>
      <c r="H23" s="197">
        <v>0.38600000000000001</v>
      </c>
      <c r="I23" s="63">
        <v>3</v>
      </c>
      <c r="J23" s="8">
        <v>45</v>
      </c>
      <c r="K23" s="94">
        <f>38/45</f>
        <v>0.84444444444444444</v>
      </c>
      <c r="L23" s="63">
        <v>3</v>
      </c>
      <c r="M23" s="8">
        <v>45</v>
      </c>
      <c r="N23" s="94">
        <f>35/45</f>
        <v>0.77777777777777779</v>
      </c>
      <c r="O23" s="197">
        <v>0.245</v>
      </c>
    </row>
    <row r="24" spans="1:15" ht="24.95" customHeight="1" x14ac:dyDescent="0.25">
      <c r="A24" s="46" t="s">
        <v>74</v>
      </c>
      <c r="B24" s="47">
        <v>8</v>
      </c>
      <c r="C24" s="47">
        <v>125</v>
      </c>
      <c r="D24" s="48">
        <f>110/125</f>
        <v>0.88</v>
      </c>
      <c r="E24" s="63">
        <v>7.333333333333333</v>
      </c>
      <c r="F24" s="64">
        <v>111.66666666666667</v>
      </c>
      <c r="G24" s="66">
        <f>104/112</f>
        <v>0.9285714285714286</v>
      </c>
      <c r="H24" s="197">
        <v>0.36799999999999999</v>
      </c>
      <c r="I24" s="63">
        <v>7</v>
      </c>
      <c r="J24" s="8">
        <v>105</v>
      </c>
      <c r="K24" s="94">
        <f>98/105</f>
        <v>0.93333333333333335</v>
      </c>
      <c r="L24" s="63">
        <v>6.333333333333333</v>
      </c>
      <c r="M24" s="8">
        <v>95</v>
      </c>
      <c r="N24" s="94">
        <f>85/95</f>
        <v>0.89473684210526316</v>
      </c>
      <c r="O24" s="197">
        <v>0.29099999999999998</v>
      </c>
    </row>
    <row r="25" spans="1:15" ht="24.95" customHeight="1" x14ac:dyDescent="0.25">
      <c r="A25" s="46" t="s">
        <v>26</v>
      </c>
      <c r="B25" s="47">
        <v>1</v>
      </c>
      <c r="C25" s="47">
        <v>15</v>
      </c>
      <c r="D25" s="48">
        <f>16/15</f>
        <v>1.0666666666666667</v>
      </c>
      <c r="E25" s="63">
        <v>1.6666666666666667</v>
      </c>
      <c r="F25" s="64">
        <v>25</v>
      </c>
      <c r="G25" s="66">
        <f>16/25</f>
        <v>0.64</v>
      </c>
      <c r="H25" s="197">
        <v>0.628</v>
      </c>
      <c r="I25" s="63">
        <v>2</v>
      </c>
      <c r="J25" s="8">
        <v>30</v>
      </c>
      <c r="K25" s="94">
        <f>31/30</f>
        <v>1.0333333333333334</v>
      </c>
      <c r="L25" s="63">
        <v>2</v>
      </c>
      <c r="M25" s="8">
        <v>30</v>
      </c>
      <c r="N25" s="94">
        <f>30/30</f>
        <v>1</v>
      </c>
      <c r="O25" s="197">
        <v>0.25</v>
      </c>
    </row>
    <row r="26" spans="1:15" ht="24.95" customHeight="1" x14ac:dyDescent="0.25">
      <c r="A26" s="46" t="s">
        <v>47</v>
      </c>
      <c r="B26" s="47">
        <v>3</v>
      </c>
      <c r="C26" s="47">
        <v>50</v>
      </c>
      <c r="D26" s="48">
        <f>46/50</f>
        <v>0.92</v>
      </c>
      <c r="E26" s="63">
        <v>3</v>
      </c>
      <c r="F26" s="64">
        <v>46.666666666666664</v>
      </c>
      <c r="G26" s="66">
        <f>44/47</f>
        <v>0.93617021276595747</v>
      </c>
      <c r="H26" s="197">
        <v>0.34</v>
      </c>
      <c r="I26" s="63">
        <v>2.6666666666666665</v>
      </c>
      <c r="J26" s="8">
        <v>40</v>
      </c>
      <c r="K26" s="94">
        <f>33/40</f>
        <v>0.82499999999999996</v>
      </c>
      <c r="L26" s="63">
        <v>2</v>
      </c>
      <c r="M26" s="8">
        <v>30</v>
      </c>
      <c r="N26" s="94">
        <f>30/30</f>
        <v>1</v>
      </c>
      <c r="O26" s="197">
        <v>0.29399999999999998</v>
      </c>
    </row>
    <row r="27" spans="1:15" ht="24.95" customHeight="1" x14ac:dyDescent="0.25">
      <c r="A27" s="46" t="s">
        <v>29</v>
      </c>
      <c r="B27" s="47">
        <v>6</v>
      </c>
      <c r="C27" s="47">
        <v>90</v>
      </c>
      <c r="D27" s="48">
        <f>83/90</f>
        <v>0.92222222222222228</v>
      </c>
      <c r="E27" s="63">
        <v>5.333333333333333</v>
      </c>
      <c r="F27" s="64">
        <v>80</v>
      </c>
      <c r="G27" s="66">
        <f>79/80</f>
        <v>0.98750000000000004</v>
      </c>
      <c r="H27" s="197">
        <v>0.23</v>
      </c>
      <c r="I27" s="63">
        <v>4</v>
      </c>
      <c r="J27" s="8">
        <v>60</v>
      </c>
      <c r="K27" s="94">
        <f>59/60</f>
        <v>0.98333333333333328</v>
      </c>
      <c r="L27" s="63">
        <v>4.666666666666667</v>
      </c>
      <c r="M27" s="8">
        <v>70</v>
      </c>
      <c r="N27" s="94">
        <f>56/70</f>
        <v>0.8</v>
      </c>
      <c r="O27" s="197">
        <v>8.2000000000000003E-2</v>
      </c>
    </row>
    <row r="28" spans="1:15" ht="24.95" customHeight="1" x14ac:dyDescent="0.25">
      <c r="A28" s="46" t="s">
        <v>168</v>
      </c>
      <c r="B28" s="47">
        <v>4</v>
      </c>
      <c r="C28" s="47">
        <v>70</v>
      </c>
      <c r="D28" s="49">
        <f>67/70</f>
        <v>0.95714285714285718</v>
      </c>
      <c r="E28" s="63">
        <v>3</v>
      </c>
      <c r="F28" s="64">
        <v>48.333333333333336</v>
      </c>
      <c r="G28" s="66">
        <f>51/48</f>
        <v>1.0625</v>
      </c>
      <c r="H28" s="197">
        <v>0.29199999999999998</v>
      </c>
      <c r="I28" s="63">
        <v>3.6666666666666665</v>
      </c>
      <c r="J28" s="8">
        <v>55</v>
      </c>
      <c r="K28" s="94">
        <f>47/55</f>
        <v>0.8545454545454545</v>
      </c>
      <c r="L28" s="63">
        <v>4</v>
      </c>
      <c r="M28" s="8">
        <v>60</v>
      </c>
      <c r="N28" s="94">
        <f>46/60</f>
        <v>0.76666666666666672</v>
      </c>
      <c r="O28" s="197">
        <v>0.216</v>
      </c>
    </row>
    <row r="29" spans="1:15" ht="24.95" customHeight="1" x14ac:dyDescent="0.25">
      <c r="A29" s="46" t="s">
        <v>136</v>
      </c>
      <c r="B29" s="47">
        <v>5</v>
      </c>
      <c r="C29" s="47">
        <v>85</v>
      </c>
      <c r="D29" s="50">
        <f>82/85</f>
        <v>0.96470588235294119</v>
      </c>
      <c r="E29" s="63">
        <v>4</v>
      </c>
      <c r="F29" s="64">
        <v>61.666666666666664</v>
      </c>
      <c r="G29" s="66">
        <f>73/62</f>
        <v>1.1774193548387097</v>
      </c>
      <c r="H29" s="197">
        <v>0.28199999999999997</v>
      </c>
      <c r="I29" s="63">
        <v>4</v>
      </c>
      <c r="J29" s="8">
        <v>60</v>
      </c>
      <c r="K29" s="94">
        <f>51/60</f>
        <v>0.85</v>
      </c>
      <c r="L29" s="63">
        <v>4</v>
      </c>
      <c r="M29" s="8">
        <v>60</v>
      </c>
      <c r="N29" s="94">
        <f>53/60</f>
        <v>0.8833333333333333</v>
      </c>
      <c r="O29" s="197">
        <v>0.245</v>
      </c>
    </row>
    <row r="30" spans="1:15" ht="24.95" customHeight="1" x14ac:dyDescent="0.25">
      <c r="A30" s="46" t="s">
        <v>169</v>
      </c>
      <c r="B30" s="47">
        <v>6</v>
      </c>
      <c r="C30" s="47">
        <v>90</v>
      </c>
      <c r="D30" s="51">
        <f>88/90</f>
        <v>0.97777777777777775</v>
      </c>
      <c r="E30" s="63">
        <v>6</v>
      </c>
      <c r="F30" s="64">
        <v>90</v>
      </c>
      <c r="G30" s="66">
        <f>80/90</f>
        <v>0.88888888888888884</v>
      </c>
      <c r="H30" s="197">
        <v>0.42799999999999999</v>
      </c>
      <c r="I30" s="63">
        <v>6</v>
      </c>
      <c r="J30" s="8">
        <v>90</v>
      </c>
      <c r="K30" s="94">
        <f>78/90</f>
        <v>0.8666666666666667</v>
      </c>
      <c r="L30" s="63">
        <v>6</v>
      </c>
      <c r="M30" s="8">
        <v>90</v>
      </c>
      <c r="N30" s="94">
        <f>84/90</f>
        <v>0.93333333333333335</v>
      </c>
      <c r="O30" s="197">
        <v>0.216</v>
      </c>
    </row>
    <row r="31" spans="1:15" ht="24.95" customHeight="1" x14ac:dyDescent="0.25">
      <c r="A31" s="46" t="s">
        <v>170</v>
      </c>
      <c r="B31" s="47">
        <v>6</v>
      </c>
      <c r="C31" s="47">
        <v>105</v>
      </c>
      <c r="D31" s="51">
        <f>90/105</f>
        <v>0.8571428571428571</v>
      </c>
      <c r="E31" s="63">
        <v>6</v>
      </c>
      <c r="F31" s="64">
        <v>96.666666666666671</v>
      </c>
      <c r="G31" s="66">
        <f>94/97</f>
        <v>0.96907216494845361</v>
      </c>
      <c r="H31" s="197">
        <v>0.29699999999999999</v>
      </c>
      <c r="I31" s="63">
        <v>7</v>
      </c>
      <c r="J31" s="8">
        <v>105</v>
      </c>
      <c r="K31" s="94">
        <f>90/105</f>
        <v>0.8571428571428571</v>
      </c>
      <c r="L31" s="63">
        <v>7</v>
      </c>
      <c r="M31" s="8">
        <v>105</v>
      </c>
      <c r="N31" s="94">
        <f>90/105</f>
        <v>0.8571428571428571</v>
      </c>
      <c r="O31" s="197">
        <v>0.19900000000000001</v>
      </c>
    </row>
    <row r="32" spans="1:15" ht="24.95" customHeight="1" x14ac:dyDescent="0.25">
      <c r="A32" s="46" t="s">
        <v>147</v>
      </c>
      <c r="B32" s="47">
        <v>6</v>
      </c>
      <c r="C32" s="47">
        <v>90</v>
      </c>
      <c r="D32" s="48">
        <f>90/90</f>
        <v>1</v>
      </c>
      <c r="E32" s="63">
        <v>6</v>
      </c>
      <c r="F32" s="63">
        <v>90</v>
      </c>
      <c r="G32" s="66">
        <f>88/90</f>
        <v>0.97777777777777775</v>
      </c>
      <c r="H32" s="197">
        <v>0.29899999999999999</v>
      </c>
      <c r="I32" s="63">
        <v>6</v>
      </c>
      <c r="J32" s="8">
        <v>90</v>
      </c>
      <c r="K32" s="94">
        <f>82/90</f>
        <v>0.91111111111111109</v>
      </c>
      <c r="L32" s="63">
        <v>6</v>
      </c>
      <c r="M32" s="8">
        <v>90</v>
      </c>
      <c r="N32" s="94">
        <f>83/90</f>
        <v>0.92222222222222228</v>
      </c>
      <c r="O32" s="197">
        <v>0.16300000000000001</v>
      </c>
    </row>
    <row r="33" spans="1:15" ht="24.95" customHeight="1" x14ac:dyDescent="0.25">
      <c r="A33" s="46" t="s">
        <v>171</v>
      </c>
      <c r="B33" s="47">
        <v>6</v>
      </c>
      <c r="C33" s="47">
        <v>90</v>
      </c>
      <c r="D33" s="48">
        <f>99/90</f>
        <v>1.1000000000000001</v>
      </c>
      <c r="E33" s="63">
        <v>6</v>
      </c>
      <c r="F33" s="63">
        <v>90</v>
      </c>
      <c r="G33" s="66">
        <f>105/90</f>
        <v>1.1666666666666667</v>
      </c>
      <c r="H33" s="197">
        <v>0.191</v>
      </c>
      <c r="I33" s="63">
        <v>6</v>
      </c>
      <c r="J33" s="8">
        <v>90</v>
      </c>
      <c r="K33" s="94">
        <f>98/90</f>
        <v>1.0888888888888888</v>
      </c>
      <c r="L33" s="63">
        <v>6</v>
      </c>
      <c r="M33" s="8">
        <v>90</v>
      </c>
      <c r="N33" s="94">
        <f>95/90</f>
        <v>1.0555555555555556</v>
      </c>
      <c r="O33" s="197">
        <v>7.6999999999999999E-2</v>
      </c>
    </row>
    <row r="34" spans="1:15" ht="24.95" customHeight="1" x14ac:dyDescent="0.25">
      <c r="A34" s="46" t="s">
        <v>172</v>
      </c>
      <c r="B34" s="47">
        <v>2</v>
      </c>
      <c r="C34" s="47">
        <v>35</v>
      </c>
      <c r="D34" s="48">
        <f>18/35</f>
        <v>0.51428571428571423</v>
      </c>
      <c r="E34" s="63">
        <v>2</v>
      </c>
      <c r="F34" s="63">
        <v>30</v>
      </c>
      <c r="G34" s="66">
        <f>17/30</f>
        <v>0.56666666666666665</v>
      </c>
      <c r="H34" s="197">
        <v>0.30399999999999999</v>
      </c>
      <c r="I34" s="63">
        <v>2</v>
      </c>
      <c r="J34" s="8">
        <v>30</v>
      </c>
      <c r="K34" s="94">
        <f>27/30</f>
        <v>0.9</v>
      </c>
      <c r="L34" s="63">
        <v>2</v>
      </c>
      <c r="M34" s="8">
        <v>30</v>
      </c>
      <c r="N34" s="94">
        <f>29/30</f>
        <v>0.96666666666666667</v>
      </c>
      <c r="O34" s="197">
        <v>0.21099999999999999</v>
      </c>
    </row>
    <row r="35" spans="1:15" ht="24.95" customHeight="1" x14ac:dyDescent="0.25">
      <c r="A35" s="46" t="s">
        <v>114</v>
      </c>
      <c r="B35" s="47">
        <v>4</v>
      </c>
      <c r="C35" s="47">
        <v>60</v>
      </c>
      <c r="D35" s="48">
        <f>57/60</f>
        <v>0.95</v>
      </c>
      <c r="E35" s="63">
        <v>4</v>
      </c>
      <c r="F35" s="63">
        <v>60</v>
      </c>
      <c r="G35" s="66">
        <f>50/60</f>
        <v>0.83333333333333337</v>
      </c>
      <c r="H35" s="197">
        <v>0.107</v>
      </c>
      <c r="I35" s="63">
        <v>4</v>
      </c>
      <c r="J35" s="8">
        <v>60</v>
      </c>
      <c r="K35" s="94">
        <f>56/60</f>
        <v>0.93333333333333335</v>
      </c>
      <c r="L35" s="63">
        <v>4</v>
      </c>
      <c r="M35" s="8">
        <v>60</v>
      </c>
      <c r="N35" s="94">
        <f>55/60</f>
        <v>0.91666666666666663</v>
      </c>
      <c r="O35" s="197">
        <v>5.7000000000000002E-2</v>
      </c>
    </row>
    <row r="36" spans="1:15" ht="24.95" customHeight="1" x14ac:dyDescent="0.25">
      <c r="A36" s="46" t="s">
        <v>148</v>
      </c>
      <c r="B36" s="47">
        <v>3</v>
      </c>
      <c r="C36" s="47">
        <v>45</v>
      </c>
      <c r="D36" s="48">
        <f>55/45</f>
        <v>1.2222222222222223</v>
      </c>
      <c r="E36" s="63">
        <v>3.6666666666666665</v>
      </c>
      <c r="F36" s="63">
        <v>55</v>
      </c>
      <c r="G36" s="66">
        <f>45/55</f>
        <v>0.81818181818181823</v>
      </c>
      <c r="H36" s="197">
        <v>0.105</v>
      </c>
      <c r="I36" s="63">
        <v>4</v>
      </c>
      <c r="J36" s="8">
        <v>60</v>
      </c>
      <c r="K36" s="94">
        <f>48/60</f>
        <v>0.8</v>
      </c>
      <c r="L36" s="63">
        <v>4</v>
      </c>
      <c r="M36" s="8">
        <v>60</v>
      </c>
      <c r="N36" s="94">
        <f>51/60</f>
        <v>0.85</v>
      </c>
      <c r="O36" s="197">
        <v>4.9000000000000002E-2</v>
      </c>
    </row>
    <row r="37" spans="1:15" ht="24.95" customHeight="1" x14ac:dyDescent="0.25">
      <c r="A37" s="52" t="s">
        <v>140</v>
      </c>
      <c r="B37" s="53">
        <f>SUM(B5:B36)</f>
        <v>135</v>
      </c>
      <c r="C37" s="53">
        <f>SUM(C5:C36)</f>
        <v>2110</v>
      </c>
      <c r="D37" s="54">
        <f>AVERAGE(D5:D36)</f>
        <v>0.91596712417484472</v>
      </c>
      <c r="E37" s="53">
        <f t="shared" ref="E37:F37" si="0">SUM(E5:E36)</f>
        <v>136.66666666666666</v>
      </c>
      <c r="F37" s="53">
        <f t="shared" si="0"/>
        <v>2078.3333333333335</v>
      </c>
      <c r="G37" s="54">
        <f>AVERAGE(G5:G36)</f>
        <v>0.87989055289177809</v>
      </c>
      <c r="H37" s="198">
        <f>AVERAGE(H5:H36)</f>
        <v>0.33709375000000008</v>
      </c>
      <c r="I37" s="53">
        <f t="shared" ref="I37:J37" si="1">SUM(I5:I36)</f>
        <v>137.33333333333334</v>
      </c>
      <c r="J37" s="53">
        <f t="shared" si="1"/>
        <v>2060</v>
      </c>
      <c r="K37" s="54">
        <f>AVERAGE(K5:K36)</f>
        <v>0.87826772186147206</v>
      </c>
      <c r="L37" s="53">
        <f t="shared" ref="L37:M37" si="2">SUM(L5:L36)</f>
        <v>138</v>
      </c>
      <c r="M37" s="53">
        <f t="shared" si="2"/>
        <v>2070</v>
      </c>
      <c r="N37" s="54">
        <f>AVERAGE(N5:N36)</f>
        <v>0.85494780986557306</v>
      </c>
      <c r="O37" s="198">
        <f>AVERAGE(O5:O36)</f>
        <v>0.18406250000000005</v>
      </c>
    </row>
    <row r="38" spans="1:15" x14ac:dyDescent="0.25">
      <c r="A38" s="37" t="s">
        <v>183</v>
      </c>
    </row>
    <row r="39" spans="1:15" x14ac:dyDescent="0.25">
      <c r="A39" s="37" t="s">
        <v>149</v>
      </c>
    </row>
  </sheetData>
  <mergeCells count="20">
    <mergeCell ref="A3:A4"/>
    <mergeCell ref="B3:B4"/>
    <mergeCell ref="C3:C4"/>
    <mergeCell ref="D3:D4"/>
    <mergeCell ref="E3:E4"/>
    <mergeCell ref="A1:O1"/>
    <mergeCell ref="B2:D2"/>
    <mergeCell ref="E2:H2"/>
    <mergeCell ref="I2:K2"/>
    <mergeCell ref="L2:O2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K3:K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359C-6587-45F1-B602-BB7A5D7D0ADF}">
  <dimension ref="A1:O14"/>
  <sheetViews>
    <sheetView zoomScale="80" zoomScaleNormal="80" workbookViewId="0">
      <pane xSplit="1" topLeftCell="B1" activePane="topRight" state="frozen"/>
      <selection pane="topRight" activeCell="H3" sqref="H3"/>
    </sheetView>
  </sheetViews>
  <sheetFormatPr defaultRowHeight="15" x14ac:dyDescent="0.25"/>
  <cols>
    <col min="1" max="1" width="22.85546875" customWidth="1"/>
    <col min="2" max="2" width="11.28515625" customWidth="1"/>
    <col min="3" max="3" width="11.5703125" customWidth="1"/>
    <col min="4" max="4" width="13.42578125" style="44" customWidth="1"/>
    <col min="5" max="5" width="12.28515625" customWidth="1"/>
    <col min="6" max="6" width="10.5703125" customWidth="1"/>
    <col min="7" max="7" width="11.7109375" customWidth="1"/>
    <col min="8" max="8" width="18.85546875" customWidth="1"/>
    <col min="10" max="10" width="11" customWidth="1"/>
    <col min="11" max="11" width="11.140625" customWidth="1"/>
    <col min="15" max="15" width="17.7109375" customWidth="1"/>
    <col min="242" max="242" width="9.140625" customWidth="1"/>
    <col min="243" max="243" width="27.140625" customWidth="1"/>
    <col min="244" max="244" width="16.42578125" bestFit="1" customWidth="1"/>
    <col min="245" max="246" width="11.140625" customWidth="1"/>
    <col min="247" max="247" width="15.140625" customWidth="1"/>
    <col min="248" max="248" width="15.5703125" customWidth="1"/>
    <col min="249" max="249" width="15.42578125" customWidth="1"/>
    <col min="250" max="250" width="13.140625" customWidth="1"/>
    <col min="251" max="251" width="14.85546875" customWidth="1"/>
    <col min="252" max="252" width="5.140625" customWidth="1"/>
    <col min="253" max="253" width="3.5703125" customWidth="1"/>
    <col min="498" max="498" width="9.140625" customWidth="1"/>
    <col min="499" max="499" width="27.140625" customWidth="1"/>
    <col min="500" max="500" width="16.42578125" bestFit="1" customWidth="1"/>
    <col min="501" max="502" width="11.140625" customWidth="1"/>
    <col min="503" max="503" width="15.140625" customWidth="1"/>
    <col min="504" max="504" width="15.5703125" customWidth="1"/>
    <col min="505" max="505" width="15.42578125" customWidth="1"/>
    <col min="506" max="506" width="13.140625" customWidth="1"/>
    <col min="507" max="507" width="14.85546875" customWidth="1"/>
    <col min="508" max="508" width="5.140625" customWidth="1"/>
    <col min="509" max="509" width="3.5703125" customWidth="1"/>
    <col min="754" max="754" width="9.140625" customWidth="1"/>
    <col min="755" max="755" width="27.140625" customWidth="1"/>
    <col min="756" max="756" width="16.42578125" bestFit="1" customWidth="1"/>
    <col min="757" max="758" width="11.140625" customWidth="1"/>
    <col min="759" max="759" width="15.140625" customWidth="1"/>
    <col min="760" max="760" width="15.5703125" customWidth="1"/>
    <col min="761" max="761" width="15.42578125" customWidth="1"/>
    <col min="762" max="762" width="13.140625" customWidth="1"/>
    <col min="763" max="763" width="14.85546875" customWidth="1"/>
    <col min="764" max="764" width="5.140625" customWidth="1"/>
    <col min="765" max="765" width="3.5703125" customWidth="1"/>
    <col min="1010" max="1010" width="9.140625" customWidth="1"/>
    <col min="1011" max="1011" width="27.140625" customWidth="1"/>
    <col min="1012" max="1012" width="16.42578125" bestFit="1" customWidth="1"/>
    <col min="1013" max="1014" width="11.140625" customWidth="1"/>
    <col min="1015" max="1015" width="15.140625" customWidth="1"/>
    <col min="1016" max="1016" width="15.5703125" customWidth="1"/>
    <col min="1017" max="1017" width="15.42578125" customWidth="1"/>
    <col min="1018" max="1018" width="13.140625" customWidth="1"/>
    <col min="1019" max="1019" width="14.85546875" customWidth="1"/>
    <col min="1020" max="1020" width="5.140625" customWidth="1"/>
    <col min="1021" max="1021" width="3.5703125" customWidth="1"/>
    <col min="1266" max="1266" width="9.140625" customWidth="1"/>
    <col min="1267" max="1267" width="27.140625" customWidth="1"/>
    <col min="1268" max="1268" width="16.42578125" bestFit="1" customWidth="1"/>
    <col min="1269" max="1270" width="11.140625" customWidth="1"/>
    <col min="1271" max="1271" width="15.140625" customWidth="1"/>
    <col min="1272" max="1272" width="15.5703125" customWidth="1"/>
    <col min="1273" max="1273" width="15.42578125" customWidth="1"/>
    <col min="1274" max="1274" width="13.140625" customWidth="1"/>
    <col min="1275" max="1275" width="14.85546875" customWidth="1"/>
    <col min="1276" max="1276" width="5.140625" customWidth="1"/>
    <col min="1277" max="1277" width="3.5703125" customWidth="1"/>
    <col min="1522" max="1522" width="9.140625" customWidth="1"/>
    <col min="1523" max="1523" width="27.140625" customWidth="1"/>
    <col min="1524" max="1524" width="16.42578125" bestFit="1" customWidth="1"/>
    <col min="1525" max="1526" width="11.140625" customWidth="1"/>
    <col min="1527" max="1527" width="15.140625" customWidth="1"/>
    <col min="1528" max="1528" width="15.5703125" customWidth="1"/>
    <col min="1529" max="1529" width="15.42578125" customWidth="1"/>
    <col min="1530" max="1530" width="13.140625" customWidth="1"/>
    <col min="1531" max="1531" width="14.85546875" customWidth="1"/>
    <col min="1532" max="1532" width="5.140625" customWidth="1"/>
    <col min="1533" max="1533" width="3.5703125" customWidth="1"/>
    <col min="1778" max="1778" width="9.140625" customWidth="1"/>
    <col min="1779" max="1779" width="27.140625" customWidth="1"/>
    <col min="1780" max="1780" width="16.42578125" bestFit="1" customWidth="1"/>
    <col min="1781" max="1782" width="11.140625" customWidth="1"/>
    <col min="1783" max="1783" width="15.140625" customWidth="1"/>
    <col min="1784" max="1784" width="15.5703125" customWidth="1"/>
    <col min="1785" max="1785" width="15.42578125" customWidth="1"/>
    <col min="1786" max="1786" width="13.140625" customWidth="1"/>
    <col min="1787" max="1787" width="14.85546875" customWidth="1"/>
    <col min="1788" max="1788" width="5.140625" customWidth="1"/>
    <col min="1789" max="1789" width="3.5703125" customWidth="1"/>
    <col min="2034" max="2034" width="9.140625" customWidth="1"/>
    <col min="2035" max="2035" width="27.140625" customWidth="1"/>
    <col min="2036" max="2036" width="16.42578125" bestFit="1" customWidth="1"/>
    <col min="2037" max="2038" width="11.140625" customWidth="1"/>
    <col min="2039" max="2039" width="15.140625" customWidth="1"/>
    <col min="2040" max="2040" width="15.5703125" customWidth="1"/>
    <col min="2041" max="2041" width="15.42578125" customWidth="1"/>
    <col min="2042" max="2042" width="13.140625" customWidth="1"/>
    <col min="2043" max="2043" width="14.85546875" customWidth="1"/>
    <col min="2044" max="2044" width="5.140625" customWidth="1"/>
    <col min="2045" max="2045" width="3.5703125" customWidth="1"/>
    <col min="2290" max="2290" width="9.140625" customWidth="1"/>
    <col min="2291" max="2291" width="27.140625" customWidth="1"/>
    <col min="2292" max="2292" width="16.42578125" bestFit="1" customWidth="1"/>
    <col min="2293" max="2294" width="11.140625" customWidth="1"/>
    <col min="2295" max="2295" width="15.140625" customWidth="1"/>
    <col min="2296" max="2296" width="15.5703125" customWidth="1"/>
    <col min="2297" max="2297" width="15.42578125" customWidth="1"/>
    <col min="2298" max="2298" width="13.140625" customWidth="1"/>
    <col min="2299" max="2299" width="14.85546875" customWidth="1"/>
    <col min="2300" max="2300" width="5.140625" customWidth="1"/>
    <col min="2301" max="2301" width="3.5703125" customWidth="1"/>
    <col min="2546" max="2546" width="9.140625" customWidth="1"/>
    <col min="2547" max="2547" width="27.140625" customWidth="1"/>
    <col min="2548" max="2548" width="16.42578125" bestFit="1" customWidth="1"/>
    <col min="2549" max="2550" width="11.140625" customWidth="1"/>
    <col min="2551" max="2551" width="15.140625" customWidth="1"/>
    <col min="2552" max="2552" width="15.5703125" customWidth="1"/>
    <col min="2553" max="2553" width="15.42578125" customWidth="1"/>
    <col min="2554" max="2554" width="13.140625" customWidth="1"/>
    <col min="2555" max="2555" width="14.85546875" customWidth="1"/>
    <col min="2556" max="2556" width="5.140625" customWidth="1"/>
    <col min="2557" max="2557" width="3.5703125" customWidth="1"/>
    <col min="2802" max="2802" width="9.140625" customWidth="1"/>
    <col min="2803" max="2803" width="27.140625" customWidth="1"/>
    <col min="2804" max="2804" width="16.42578125" bestFit="1" customWidth="1"/>
    <col min="2805" max="2806" width="11.140625" customWidth="1"/>
    <col min="2807" max="2807" width="15.140625" customWidth="1"/>
    <col min="2808" max="2808" width="15.5703125" customWidth="1"/>
    <col min="2809" max="2809" width="15.42578125" customWidth="1"/>
    <col min="2810" max="2810" width="13.140625" customWidth="1"/>
    <col min="2811" max="2811" width="14.85546875" customWidth="1"/>
    <col min="2812" max="2812" width="5.140625" customWidth="1"/>
    <col min="2813" max="2813" width="3.5703125" customWidth="1"/>
    <col min="3058" max="3058" width="9.140625" customWidth="1"/>
    <col min="3059" max="3059" width="27.140625" customWidth="1"/>
    <col min="3060" max="3060" width="16.42578125" bestFit="1" customWidth="1"/>
    <col min="3061" max="3062" width="11.140625" customWidth="1"/>
    <col min="3063" max="3063" width="15.140625" customWidth="1"/>
    <col min="3064" max="3064" width="15.5703125" customWidth="1"/>
    <col min="3065" max="3065" width="15.42578125" customWidth="1"/>
    <col min="3066" max="3066" width="13.140625" customWidth="1"/>
    <col min="3067" max="3067" width="14.85546875" customWidth="1"/>
    <col min="3068" max="3068" width="5.140625" customWidth="1"/>
    <col min="3069" max="3069" width="3.5703125" customWidth="1"/>
    <col min="3314" max="3314" width="9.140625" customWidth="1"/>
    <col min="3315" max="3315" width="27.140625" customWidth="1"/>
    <col min="3316" max="3316" width="16.42578125" bestFit="1" customWidth="1"/>
    <col min="3317" max="3318" width="11.140625" customWidth="1"/>
    <col min="3319" max="3319" width="15.140625" customWidth="1"/>
    <col min="3320" max="3320" width="15.5703125" customWidth="1"/>
    <col min="3321" max="3321" width="15.42578125" customWidth="1"/>
    <col min="3322" max="3322" width="13.140625" customWidth="1"/>
    <col min="3323" max="3323" width="14.85546875" customWidth="1"/>
    <col min="3324" max="3324" width="5.140625" customWidth="1"/>
    <col min="3325" max="3325" width="3.5703125" customWidth="1"/>
    <col min="3570" max="3570" width="9.140625" customWidth="1"/>
    <col min="3571" max="3571" width="27.140625" customWidth="1"/>
    <col min="3572" max="3572" width="16.42578125" bestFit="1" customWidth="1"/>
    <col min="3573" max="3574" width="11.140625" customWidth="1"/>
    <col min="3575" max="3575" width="15.140625" customWidth="1"/>
    <col min="3576" max="3576" width="15.5703125" customWidth="1"/>
    <col min="3577" max="3577" width="15.42578125" customWidth="1"/>
    <col min="3578" max="3578" width="13.140625" customWidth="1"/>
    <col min="3579" max="3579" width="14.85546875" customWidth="1"/>
    <col min="3580" max="3580" width="5.140625" customWidth="1"/>
    <col min="3581" max="3581" width="3.5703125" customWidth="1"/>
    <col min="3826" max="3826" width="9.140625" customWidth="1"/>
    <col min="3827" max="3827" width="27.140625" customWidth="1"/>
    <col min="3828" max="3828" width="16.42578125" bestFit="1" customWidth="1"/>
    <col min="3829" max="3830" width="11.140625" customWidth="1"/>
    <col min="3831" max="3831" width="15.140625" customWidth="1"/>
    <col min="3832" max="3832" width="15.5703125" customWidth="1"/>
    <col min="3833" max="3833" width="15.42578125" customWidth="1"/>
    <col min="3834" max="3834" width="13.140625" customWidth="1"/>
    <col min="3835" max="3835" width="14.85546875" customWidth="1"/>
    <col min="3836" max="3836" width="5.140625" customWidth="1"/>
    <col min="3837" max="3837" width="3.5703125" customWidth="1"/>
    <col min="4082" max="4082" width="9.140625" customWidth="1"/>
    <col min="4083" max="4083" width="27.140625" customWidth="1"/>
    <col min="4084" max="4084" width="16.42578125" bestFit="1" customWidth="1"/>
    <col min="4085" max="4086" width="11.140625" customWidth="1"/>
    <col min="4087" max="4087" width="15.140625" customWidth="1"/>
    <col min="4088" max="4088" width="15.5703125" customWidth="1"/>
    <col min="4089" max="4089" width="15.42578125" customWidth="1"/>
    <col min="4090" max="4090" width="13.140625" customWidth="1"/>
    <col min="4091" max="4091" width="14.85546875" customWidth="1"/>
    <col min="4092" max="4092" width="5.140625" customWidth="1"/>
    <col min="4093" max="4093" width="3.5703125" customWidth="1"/>
    <col min="4338" max="4338" width="9.140625" customWidth="1"/>
    <col min="4339" max="4339" width="27.140625" customWidth="1"/>
    <col min="4340" max="4340" width="16.42578125" bestFit="1" customWidth="1"/>
    <col min="4341" max="4342" width="11.140625" customWidth="1"/>
    <col min="4343" max="4343" width="15.140625" customWidth="1"/>
    <col min="4344" max="4344" width="15.5703125" customWidth="1"/>
    <col min="4345" max="4345" width="15.42578125" customWidth="1"/>
    <col min="4346" max="4346" width="13.140625" customWidth="1"/>
    <col min="4347" max="4347" width="14.85546875" customWidth="1"/>
    <col min="4348" max="4348" width="5.140625" customWidth="1"/>
    <col min="4349" max="4349" width="3.5703125" customWidth="1"/>
    <col min="4594" max="4594" width="9.140625" customWidth="1"/>
    <col min="4595" max="4595" width="27.140625" customWidth="1"/>
    <col min="4596" max="4596" width="16.42578125" bestFit="1" customWidth="1"/>
    <col min="4597" max="4598" width="11.140625" customWidth="1"/>
    <col min="4599" max="4599" width="15.140625" customWidth="1"/>
    <col min="4600" max="4600" width="15.5703125" customWidth="1"/>
    <col min="4601" max="4601" width="15.42578125" customWidth="1"/>
    <col min="4602" max="4602" width="13.140625" customWidth="1"/>
    <col min="4603" max="4603" width="14.85546875" customWidth="1"/>
    <col min="4604" max="4604" width="5.140625" customWidth="1"/>
    <col min="4605" max="4605" width="3.5703125" customWidth="1"/>
    <col min="4850" max="4850" width="9.140625" customWidth="1"/>
    <col min="4851" max="4851" width="27.140625" customWidth="1"/>
    <col min="4852" max="4852" width="16.42578125" bestFit="1" customWidth="1"/>
    <col min="4853" max="4854" width="11.140625" customWidth="1"/>
    <col min="4855" max="4855" width="15.140625" customWidth="1"/>
    <col min="4856" max="4856" width="15.5703125" customWidth="1"/>
    <col min="4857" max="4857" width="15.42578125" customWidth="1"/>
    <col min="4858" max="4858" width="13.140625" customWidth="1"/>
    <col min="4859" max="4859" width="14.85546875" customWidth="1"/>
    <col min="4860" max="4860" width="5.140625" customWidth="1"/>
    <col min="4861" max="4861" width="3.5703125" customWidth="1"/>
    <col min="5106" max="5106" width="9.140625" customWidth="1"/>
    <col min="5107" max="5107" width="27.140625" customWidth="1"/>
    <col min="5108" max="5108" width="16.42578125" bestFit="1" customWidth="1"/>
    <col min="5109" max="5110" width="11.140625" customWidth="1"/>
    <col min="5111" max="5111" width="15.140625" customWidth="1"/>
    <col min="5112" max="5112" width="15.5703125" customWidth="1"/>
    <col min="5113" max="5113" width="15.42578125" customWidth="1"/>
    <col min="5114" max="5114" width="13.140625" customWidth="1"/>
    <col min="5115" max="5115" width="14.85546875" customWidth="1"/>
    <col min="5116" max="5116" width="5.140625" customWidth="1"/>
    <col min="5117" max="5117" width="3.5703125" customWidth="1"/>
    <col min="5362" max="5362" width="9.140625" customWidth="1"/>
    <col min="5363" max="5363" width="27.140625" customWidth="1"/>
    <col min="5364" max="5364" width="16.42578125" bestFit="1" customWidth="1"/>
    <col min="5365" max="5366" width="11.140625" customWidth="1"/>
    <col min="5367" max="5367" width="15.140625" customWidth="1"/>
    <col min="5368" max="5368" width="15.5703125" customWidth="1"/>
    <col min="5369" max="5369" width="15.42578125" customWidth="1"/>
    <col min="5370" max="5370" width="13.140625" customWidth="1"/>
    <col min="5371" max="5371" width="14.85546875" customWidth="1"/>
    <col min="5372" max="5372" width="5.140625" customWidth="1"/>
    <col min="5373" max="5373" width="3.5703125" customWidth="1"/>
    <col min="5618" max="5618" width="9.140625" customWidth="1"/>
    <col min="5619" max="5619" width="27.140625" customWidth="1"/>
    <col min="5620" max="5620" width="16.42578125" bestFit="1" customWidth="1"/>
    <col min="5621" max="5622" width="11.140625" customWidth="1"/>
    <col min="5623" max="5623" width="15.140625" customWidth="1"/>
    <col min="5624" max="5624" width="15.5703125" customWidth="1"/>
    <col min="5625" max="5625" width="15.42578125" customWidth="1"/>
    <col min="5626" max="5626" width="13.140625" customWidth="1"/>
    <col min="5627" max="5627" width="14.85546875" customWidth="1"/>
    <col min="5628" max="5628" width="5.140625" customWidth="1"/>
    <col min="5629" max="5629" width="3.5703125" customWidth="1"/>
    <col min="5874" max="5874" width="9.140625" customWidth="1"/>
    <col min="5875" max="5875" width="27.140625" customWidth="1"/>
    <col min="5876" max="5876" width="16.42578125" bestFit="1" customWidth="1"/>
    <col min="5877" max="5878" width="11.140625" customWidth="1"/>
    <col min="5879" max="5879" width="15.140625" customWidth="1"/>
    <col min="5880" max="5880" width="15.5703125" customWidth="1"/>
    <col min="5881" max="5881" width="15.42578125" customWidth="1"/>
    <col min="5882" max="5882" width="13.140625" customWidth="1"/>
    <col min="5883" max="5883" width="14.85546875" customWidth="1"/>
    <col min="5884" max="5884" width="5.140625" customWidth="1"/>
    <col min="5885" max="5885" width="3.5703125" customWidth="1"/>
    <col min="6130" max="6130" width="9.140625" customWidth="1"/>
    <col min="6131" max="6131" width="27.140625" customWidth="1"/>
    <col min="6132" max="6132" width="16.42578125" bestFit="1" customWidth="1"/>
    <col min="6133" max="6134" width="11.140625" customWidth="1"/>
    <col min="6135" max="6135" width="15.140625" customWidth="1"/>
    <col min="6136" max="6136" width="15.5703125" customWidth="1"/>
    <col min="6137" max="6137" width="15.42578125" customWidth="1"/>
    <col min="6138" max="6138" width="13.140625" customWidth="1"/>
    <col min="6139" max="6139" width="14.85546875" customWidth="1"/>
    <col min="6140" max="6140" width="5.140625" customWidth="1"/>
    <col min="6141" max="6141" width="3.5703125" customWidth="1"/>
    <col min="6386" max="6386" width="9.140625" customWidth="1"/>
    <col min="6387" max="6387" width="27.140625" customWidth="1"/>
    <col min="6388" max="6388" width="16.42578125" bestFit="1" customWidth="1"/>
    <col min="6389" max="6390" width="11.140625" customWidth="1"/>
    <col min="6391" max="6391" width="15.140625" customWidth="1"/>
    <col min="6392" max="6392" width="15.5703125" customWidth="1"/>
    <col min="6393" max="6393" width="15.42578125" customWidth="1"/>
    <col min="6394" max="6394" width="13.140625" customWidth="1"/>
    <col min="6395" max="6395" width="14.85546875" customWidth="1"/>
    <col min="6396" max="6396" width="5.140625" customWidth="1"/>
    <col min="6397" max="6397" width="3.5703125" customWidth="1"/>
    <col min="6642" max="6642" width="9.140625" customWidth="1"/>
    <col min="6643" max="6643" width="27.140625" customWidth="1"/>
    <col min="6644" max="6644" width="16.42578125" bestFit="1" customWidth="1"/>
    <col min="6645" max="6646" width="11.140625" customWidth="1"/>
    <col min="6647" max="6647" width="15.140625" customWidth="1"/>
    <col min="6648" max="6648" width="15.5703125" customWidth="1"/>
    <col min="6649" max="6649" width="15.42578125" customWidth="1"/>
    <col min="6650" max="6650" width="13.140625" customWidth="1"/>
    <col min="6651" max="6651" width="14.85546875" customWidth="1"/>
    <col min="6652" max="6652" width="5.140625" customWidth="1"/>
    <col min="6653" max="6653" width="3.5703125" customWidth="1"/>
    <col min="6898" max="6898" width="9.140625" customWidth="1"/>
    <col min="6899" max="6899" width="27.140625" customWidth="1"/>
    <col min="6900" max="6900" width="16.42578125" bestFit="1" customWidth="1"/>
    <col min="6901" max="6902" width="11.140625" customWidth="1"/>
    <col min="6903" max="6903" width="15.140625" customWidth="1"/>
    <col min="6904" max="6904" width="15.5703125" customWidth="1"/>
    <col min="6905" max="6905" width="15.42578125" customWidth="1"/>
    <col min="6906" max="6906" width="13.140625" customWidth="1"/>
    <col min="6907" max="6907" width="14.85546875" customWidth="1"/>
    <col min="6908" max="6908" width="5.140625" customWidth="1"/>
    <col min="6909" max="6909" width="3.5703125" customWidth="1"/>
    <col min="7154" max="7154" width="9.140625" customWidth="1"/>
    <col min="7155" max="7155" width="27.140625" customWidth="1"/>
    <col min="7156" max="7156" width="16.42578125" bestFit="1" customWidth="1"/>
    <col min="7157" max="7158" width="11.140625" customWidth="1"/>
    <col min="7159" max="7159" width="15.140625" customWidth="1"/>
    <col min="7160" max="7160" width="15.5703125" customWidth="1"/>
    <col min="7161" max="7161" width="15.42578125" customWidth="1"/>
    <col min="7162" max="7162" width="13.140625" customWidth="1"/>
    <col min="7163" max="7163" width="14.85546875" customWidth="1"/>
    <col min="7164" max="7164" width="5.140625" customWidth="1"/>
    <col min="7165" max="7165" width="3.5703125" customWidth="1"/>
    <col min="7410" max="7410" width="9.140625" customWidth="1"/>
    <col min="7411" max="7411" width="27.140625" customWidth="1"/>
    <col min="7412" max="7412" width="16.42578125" bestFit="1" customWidth="1"/>
    <col min="7413" max="7414" width="11.140625" customWidth="1"/>
    <col min="7415" max="7415" width="15.140625" customWidth="1"/>
    <col min="7416" max="7416" width="15.5703125" customWidth="1"/>
    <col min="7417" max="7417" width="15.42578125" customWidth="1"/>
    <col min="7418" max="7418" width="13.140625" customWidth="1"/>
    <col min="7419" max="7419" width="14.85546875" customWidth="1"/>
    <col min="7420" max="7420" width="5.140625" customWidth="1"/>
    <col min="7421" max="7421" width="3.5703125" customWidth="1"/>
    <col min="7666" max="7666" width="9.140625" customWidth="1"/>
    <col min="7667" max="7667" width="27.140625" customWidth="1"/>
    <col min="7668" max="7668" width="16.42578125" bestFit="1" customWidth="1"/>
    <col min="7669" max="7670" width="11.140625" customWidth="1"/>
    <col min="7671" max="7671" width="15.140625" customWidth="1"/>
    <col min="7672" max="7672" width="15.5703125" customWidth="1"/>
    <col min="7673" max="7673" width="15.42578125" customWidth="1"/>
    <col min="7674" max="7674" width="13.140625" customWidth="1"/>
    <col min="7675" max="7675" width="14.85546875" customWidth="1"/>
    <col min="7676" max="7676" width="5.140625" customWidth="1"/>
    <col min="7677" max="7677" width="3.5703125" customWidth="1"/>
    <col min="7922" max="7922" width="9.140625" customWidth="1"/>
    <col min="7923" max="7923" width="27.140625" customWidth="1"/>
    <col min="7924" max="7924" width="16.42578125" bestFit="1" customWidth="1"/>
    <col min="7925" max="7926" width="11.140625" customWidth="1"/>
    <col min="7927" max="7927" width="15.140625" customWidth="1"/>
    <col min="7928" max="7928" width="15.5703125" customWidth="1"/>
    <col min="7929" max="7929" width="15.42578125" customWidth="1"/>
    <col min="7930" max="7930" width="13.140625" customWidth="1"/>
    <col min="7931" max="7931" width="14.85546875" customWidth="1"/>
    <col min="7932" max="7932" width="5.140625" customWidth="1"/>
    <col min="7933" max="7933" width="3.5703125" customWidth="1"/>
    <col min="8178" max="8178" width="9.140625" customWidth="1"/>
    <col min="8179" max="8179" width="27.140625" customWidth="1"/>
    <col min="8180" max="8180" width="16.42578125" bestFit="1" customWidth="1"/>
    <col min="8181" max="8182" width="11.140625" customWidth="1"/>
    <col min="8183" max="8183" width="15.140625" customWidth="1"/>
    <col min="8184" max="8184" width="15.5703125" customWidth="1"/>
    <col min="8185" max="8185" width="15.42578125" customWidth="1"/>
    <col min="8186" max="8186" width="13.140625" customWidth="1"/>
    <col min="8187" max="8187" width="14.85546875" customWidth="1"/>
    <col min="8188" max="8188" width="5.140625" customWidth="1"/>
    <col min="8189" max="8189" width="3.5703125" customWidth="1"/>
    <col min="8434" max="8434" width="9.140625" customWidth="1"/>
    <col min="8435" max="8435" width="27.140625" customWidth="1"/>
    <col min="8436" max="8436" width="16.42578125" bestFit="1" customWidth="1"/>
    <col min="8437" max="8438" width="11.140625" customWidth="1"/>
    <col min="8439" max="8439" width="15.140625" customWidth="1"/>
    <col min="8440" max="8440" width="15.5703125" customWidth="1"/>
    <col min="8441" max="8441" width="15.42578125" customWidth="1"/>
    <col min="8442" max="8442" width="13.140625" customWidth="1"/>
    <col min="8443" max="8443" width="14.85546875" customWidth="1"/>
    <col min="8444" max="8444" width="5.140625" customWidth="1"/>
    <col min="8445" max="8445" width="3.5703125" customWidth="1"/>
    <col min="8690" max="8690" width="9.140625" customWidth="1"/>
    <col min="8691" max="8691" width="27.140625" customWidth="1"/>
    <col min="8692" max="8692" width="16.42578125" bestFit="1" customWidth="1"/>
    <col min="8693" max="8694" width="11.140625" customWidth="1"/>
    <col min="8695" max="8695" width="15.140625" customWidth="1"/>
    <col min="8696" max="8696" width="15.5703125" customWidth="1"/>
    <col min="8697" max="8697" width="15.42578125" customWidth="1"/>
    <col min="8698" max="8698" width="13.140625" customWidth="1"/>
    <col min="8699" max="8699" width="14.85546875" customWidth="1"/>
    <col min="8700" max="8700" width="5.140625" customWidth="1"/>
    <col min="8701" max="8701" width="3.5703125" customWidth="1"/>
    <col min="8946" max="8946" width="9.140625" customWidth="1"/>
    <col min="8947" max="8947" width="27.140625" customWidth="1"/>
    <col min="8948" max="8948" width="16.42578125" bestFit="1" customWidth="1"/>
    <col min="8949" max="8950" width="11.140625" customWidth="1"/>
    <col min="8951" max="8951" width="15.140625" customWidth="1"/>
    <col min="8952" max="8952" width="15.5703125" customWidth="1"/>
    <col min="8953" max="8953" width="15.42578125" customWidth="1"/>
    <col min="8954" max="8954" width="13.140625" customWidth="1"/>
    <col min="8955" max="8955" width="14.85546875" customWidth="1"/>
    <col min="8956" max="8956" width="5.140625" customWidth="1"/>
    <col min="8957" max="8957" width="3.5703125" customWidth="1"/>
    <col min="9202" max="9202" width="9.140625" customWidth="1"/>
    <col min="9203" max="9203" width="27.140625" customWidth="1"/>
    <col min="9204" max="9204" width="16.42578125" bestFit="1" customWidth="1"/>
    <col min="9205" max="9206" width="11.140625" customWidth="1"/>
    <col min="9207" max="9207" width="15.140625" customWidth="1"/>
    <col min="9208" max="9208" width="15.5703125" customWidth="1"/>
    <col min="9209" max="9209" width="15.42578125" customWidth="1"/>
    <col min="9210" max="9210" width="13.140625" customWidth="1"/>
    <col min="9211" max="9211" width="14.85546875" customWidth="1"/>
    <col min="9212" max="9212" width="5.140625" customWidth="1"/>
    <col min="9213" max="9213" width="3.5703125" customWidth="1"/>
    <col min="9458" max="9458" width="9.140625" customWidth="1"/>
    <col min="9459" max="9459" width="27.140625" customWidth="1"/>
    <col min="9460" max="9460" width="16.42578125" bestFit="1" customWidth="1"/>
    <col min="9461" max="9462" width="11.140625" customWidth="1"/>
    <col min="9463" max="9463" width="15.140625" customWidth="1"/>
    <col min="9464" max="9464" width="15.5703125" customWidth="1"/>
    <col min="9465" max="9465" width="15.42578125" customWidth="1"/>
    <col min="9466" max="9466" width="13.140625" customWidth="1"/>
    <col min="9467" max="9467" width="14.85546875" customWidth="1"/>
    <col min="9468" max="9468" width="5.140625" customWidth="1"/>
    <col min="9469" max="9469" width="3.5703125" customWidth="1"/>
    <col min="9714" max="9714" width="9.140625" customWidth="1"/>
    <col min="9715" max="9715" width="27.140625" customWidth="1"/>
    <col min="9716" max="9716" width="16.42578125" bestFit="1" customWidth="1"/>
    <col min="9717" max="9718" width="11.140625" customWidth="1"/>
    <col min="9719" max="9719" width="15.140625" customWidth="1"/>
    <col min="9720" max="9720" width="15.5703125" customWidth="1"/>
    <col min="9721" max="9721" width="15.42578125" customWidth="1"/>
    <col min="9722" max="9722" width="13.140625" customWidth="1"/>
    <col min="9723" max="9723" width="14.85546875" customWidth="1"/>
    <col min="9724" max="9724" width="5.140625" customWidth="1"/>
    <col min="9725" max="9725" width="3.5703125" customWidth="1"/>
    <col min="9970" max="9970" width="9.140625" customWidth="1"/>
    <col min="9971" max="9971" width="27.140625" customWidth="1"/>
    <col min="9972" max="9972" width="16.42578125" bestFit="1" customWidth="1"/>
    <col min="9973" max="9974" width="11.140625" customWidth="1"/>
    <col min="9975" max="9975" width="15.140625" customWidth="1"/>
    <col min="9976" max="9976" width="15.5703125" customWidth="1"/>
    <col min="9977" max="9977" width="15.42578125" customWidth="1"/>
    <col min="9978" max="9978" width="13.140625" customWidth="1"/>
    <col min="9979" max="9979" width="14.85546875" customWidth="1"/>
    <col min="9980" max="9980" width="5.140625" customWidth="1"/>
    <col min="9981" max="9981" width="3.5703125" customWidth="1"/>
    <col min="10226" max="10226" width="9.140625" customWidth="1"/>
    <col min="10227" max="10227" width="27.140625" customWidth="1"/>
    <col min="10228" max="10228" width="16.42578125" bestFit="1" customWidth="1"/>
    <col min="10229" max="10230" width="11.140625" customWidth="1"/>
    <col min="10231" max="10231" width="15.140625" customWidth="1"/>
    <col min="10232" max="10232" width="15.5703125" customWidth="1"/>
    <col min="10233" max="10233" width="15.42578125" customWidth="1"/>
    <col min="10234" max="10234" width="13.140625" customWidth="1"/>
    <col min="10235" max="10235" width="14.85546875" customWidth="1"/>
    <col min="10236" max="10236" width="5.140625" customWidth="1"/>
    <col min="10237" max="10237" width="3.5703125" customWidth="1"/>
    <col min="10482" max="10482" width="9.140625" customWidth="1"/>
    <col min="10483" max="10483" width="27.140625" customWidth="1"/>
    <col min="10484" max="10484" width="16.42578125" bestFit="1" customWidth="1"/>
    <col min="10485" max="10486" width="11.140625" customWidth="1"/>
    <col min="10487" max="10487" width="15.140625" customWidth="1"/>
    <col min="10488" max="10488" width="15.5703125" customWidth="1"/>
    <col min="10489" max="10489" width="15.42578125" customWidth="1"/>
    <col min="10490" max="10490" width="13.140625" customWidth="1"/>
    <col min="10491" max="10491" width="14.85546875" customWidth="1"/>
    <col min="10492" max="10492" width="5.140625" customWidth="1"/>
    <col min="10493" max="10493" width="3.5703125" customWidth="1"/>
    <col min="10738" max="10738" width="9.140625" customWidth="1"/>
    <col min="10739" max="10739" width="27.140625" customWidth="1"/>
    <col min="10740" max="10740" width="16.42578125" bestFit="1" customWidth="1"/>
    <col min="10741" max="10742" width="11.140625" customWidth="1"/>
    <col min="10743" max="10743" width="15.140625" customWidth="1"/>
    <col min="10744" max="10744" width="15.5703125" customWidth="1"/>
    <col min="10745" max="10745" width="15.42578125" customWidth="1"/>
    <col min="10746" max="10746" width="13.140625" customWidth="1"/>
    <col min="10747" max="10747" width="14.85546875" customWidth="1"/>
    <col min="10748" max="10748" width="5.140625" customWidth="1"/>
    <col min="10749" max="10749" width="3.5703125" customWidth="1"/>
    <col min="10994" max="10994" width="9.140625" customWidth="1"/>
    <col min="10995" max="10995" width="27.140625" customWidth="1"/>
    <col min="10996" max="10996" width="16.42578125" bestFit="1" customWidth="1"/>
    <col min="10997" max="10998" width="11.140625" customWidth="1"/>
    <col min="10999" max="10999" width="15.140625" customWidth="1"/>
    <col min="11000" max="11000" width="15.5703125" customWidth="1"/>
    <col min="11001" max="11001" width="15.42578125" customWidth="1"/>
    <col min="11002" max="11002" width="13.140625" customWidth="1"/>
    <col min="11003" max="11003" width="14.85546875" customWidth="1"/>
    <col min="11004" max="11004" width="5.140625" customWidth="1"/>
    <col min="11005" max="11005" width="3.5703125" customWidth="1"/>
    <col min="11250" max="11250" width="9.140625" customWidth="1"/>
    <col min="11251" max="11251" width="27.140625" customWidth="1"/>
    <col min="11252" max="11252" width="16.42578125" bestFit="1" customWidth="1"/>
    <col min="11253" max="11254" width="11.140625" customWidth="1"/>
    <col min="11255" max="11255" width="15.140625" customWidth="1"/>
    <col min="11256" max="11256" width="15.5703125" customWidth="1"/>
    <col min="11257" max="11257" width="15.42578125" customWidth="1"/>
    <col min="11258" max="11258" width="13.140625" customWidth="1"/>
    <col min="11259" max="11259" width="14.85546875" customWidth="1"/>
    <col min="11260" max="11260" width="5.140625" customWidth="1"/>
    <col min="11261" max="11261" width="3.5703125" customWidth="1"/>
    <col min="11506" max="11506" width="9.140625" customWidth="1"/>
    <col min="11507" max="11507" width="27.140625" customWidth="1"/>
    <col min="11508" max="11508" width="16.42578125" bestFit="1" customWidth="1"/>
    <col min="11509" max="11510" width="11.140625" customWidth="1"/>
    <col min="11511" max="11511" width="15.140625" customWidth="1"/>
    <col min="11512" max="11512" width="15.5703125" customWidth="1"/>
    <col min="11513" max="11513" width="15.42578125" customWidth="1"/>
    <col min="11514" max="11514" width="13.140625" customWidth="1"/>
    <col min="11515" max="11515" width="14.85546875" customWidth="1"/>
    <col min="11516" max="11516" width="5.140625" customWidth="1"/>
    <col min="11517" max="11517" width="3.5703125" customWidth="1"/>
    <col min="11762" max="11762" width="9.140625" customWidth="1"/>
    <col min="11763" max="11763" width="27.140625" customWidth="1"/>
    <col min="11764" max="11764" width="16.42578125" bestFit="1" customWidth="1"/>
    <col min="11765" max="11766" width="11.140625" customWidth="1"/>
    <col min="11767" max="11767" width="15.140625" customWidth="1"/>
    <col min="11768" max="11768" width="15.5703125" customWidth="1"/>
    <col min="11769" max="11769" width="15.42578125" customWidth="1"/>
    <col min="11770" max="11770" width="13.140625" customWidth="1"/>
    <col min="11771" max="11771" width="14.85546875" customWidth="1"/>
    <col min="11772" max="11772" width="5.140625" customWidth="1"/>
    <col min="11773" max="11773" width="3.5703125" customWidth="1"/>
    <col min="12018" max="12018" width="9.140625" customWidth="1"/>
    <col min="12019" max="12019" width="27.140625" customWidth="1"/>
    <col min="12020" max="12020" width="16.42578125" bestFit="1" customWidth="1"/>
    <col min="12021" max="12022" width="11.140625" customWidth="1"/>
    <col min="12023" max="12023" width="15.140625" customWidth="1"/>
    <col min="12024" max="12024" width="15.5703125" customWidth="1"/>
    <col min="12025" max="12025" width="15.42578125" customWidth="1"/>
    <col min="12026" max="12026" width="13.140625" customWidth="1"/>
    <col min="12027" max="12027" width="14.85546875" customWidth="1"/>
    <col min="12028" max="12028" width="5.140625" customWidth="1"/>
    <col min="12029" max="12029" width="3.5703125" customWidth="1"/>
    <col min="12274" max="12274" width="9.140625" customWidth="1"/>
    <col min="12275" max="12275" width="27.140625" customWidth="1"/>
    <col min="12276" max="12276" width="16.42578125" bestFit="1" customWidth="1"/>
    <col min="12277" max="12278" width="11.140625" customWidth="1"/>
    <col min="12279" max="12279" width="15.140625" customWidth="1"/>
    <col min="12280" max="12280" width="15.5703125" customWidth="1"/>
    <col min="12281" max="12281" width="15.42578125" customWidth="1"/>
    <col min="12282" max="12282" width="13.140625" customWidth="1"/>
    <col min="12283" max="12283" width="14.85546875" customWidth="1"/>
    <col min="12284" max="12284" width="5.140625" customWidth="1"/>
    <col min="12285" max="12285" width="3.5703125" customWidth="1"/>
    <col min="12530" max="12530" width="9.140625" customWidth="1"/>
    <col min="12531" max="12531" width="27.140625" customWidth="1"/>
    <col min="12532" max="12532" width="16.42578125" bestFit="1" customWidth="1"/>
    <col min="12533" max="12534" width="11.140625" customWidth="1"/>
    <col min="12535" max="12535" width="15.140625" customWidth="1"/>
    <col min="12536" max="12536" width="15.5703125" customWidth="1"/>
    <col min="12537" max="12537" width="15.42578125" customWidth="1"/>
    <col min="12538" max="12538" width="13.140625" customWidth="1"/>
    <col min="12539" max="12539" width="14.85546875" customWidth="1"/>
    <col min="12540" max="12540" width="5.140625" customWidth="1"/>
    <col min="12541" max="12541" width="3.5703125" customWidth="1"/>
    <col min="12786" max="12786" width="9.140625" customWidth="1"/>
    <col min="12787" max="12787" width="27.140625" customWidth="1"/>
    <col min="12788" max="12788" width="16.42578125" bestFit="1" customWidth="1"/>
    <col min="12789" max="12790" width="11.140625" customWidth="1"/>
    <col min="12791" max="12791" width="15.140625" customWidth="1"/>
    <col min="12792" max="12792" width="15.5703125" customWidth="1"/>
    <col min="12793" max="12793" width="15.42578125" customWidth="1"/>
    <col min="12794" max="12794" width="13.140625" customWidth="1"/>
    <col min="12795" max="12795" width="14.85546875" customWidth="1"/>
    <col min="12796" max="12796" width="5.140625" customWidth="1"/>
    <col min="12797" max="12797" width="3.5703125" customWidth="1"/>
    <col min="13042" max="13042" width="9.140625" customWidth="1"/>
    <col min="13043" max="13043" width="27.140625" customWidth="1"/>
    <col min="13044" max="13044" width="16.42578125" bestFit="1" customWidth="1"/>
    <col min="13045" max="13046" width="11.140625" customWidth="1"/>
    <col min="13047" max="13047" width="15.140625" customWidth="1"/>
    <col min="13048" max="13048" width="15.5703125" customWidth="1"/>
    <col min="13049" max="13049" width="15.42578125" customWidth="1"/>
    <col min="13050" max="13050" width="13.140625" customWidth="1"/>
    <col min="13051" max="13051" width="14.85546875" customWidth="1"/>
    <col min="13052" max="13052" width="5.140625" customWidth="1"/>
    <col min="13053" max="13053" width="3.5703125" customWidth="1"/>
    <col min="13298" max="13298" width="9.140625" customWidth="1"/>
    <col min="13299" max="13299" width="27.140625" customWidth="1"/>
    <col min="13300" max="13300" width="16.42578125" bestFit="1" customWidth="1"/>
    <col min="13301" max="13302" width="11.140625" customWidth="1"/>
    <col min="13303" max="13303" width="15.140625" customWidth="1"/>
    <col min="13304" max="13304" width="15.5703125" customWidth="1"/>
    <col min="13305" max="13305" width="15.42578125" customWidth="1"/>
    <col min="13306" max="13306" width="13.140625" customWidth="1"/>
    <col min="13307" max="13307" width="14.85546875" customWidth="1"/>
    <col min="13308" max="13308" width="5.140625" customWidth="1"/>
    <col min="13309" max="13309" width="3.5703125" customWidth="1"/>
    <col min="13554" max="13554" width="9.140625" customWidth="1"/>
    <col min="13555" max="13555" width="27.140625" customWidth="1"/>
    <col min="13556" max="13556" width="16.42578125" bestFit="1" customWidth="1"/>
    <col min="13557" max="13558" width="11.140625" customWidth="1"/>
    <col min="13559" max="13559" width="15.140625" customWidth="1"/>
    <col min="13560" max="13560" width="15.5703125" customWidth="1"/>
    <col min="13561" max="13561" width="15.42578125" customWidth="1"/>
    <col min="13562" max="13562" width="13.140625" customWidth="1"/>
    <col min="13563" max="13563" width="14.85546875" customWidth="1"/>
    <col min="13564" max="13564" width="5.140625" customWidth="1"/>
    <col min="13565" max="13565" width="3.5703125" customWidth="1"/>
    <col min="13810" max="13810" width="9.140625" customWidth="1"/>
    <col min="13811" max="13811" width="27.140625" customWidth="1"/>
    <col min="13812" max="13812" width="16.42578125" bestFit="1" customWidth="1"/>
    <col min="13813" max="13814" width="11.140625" customWidth="1"/>
    <col min="13815" max="13815" width="15.140625" customWidth="1"/>
    <col min="13816" max="13816" width="15.5703125" customWidth="1"/>
    <col min="13817" max="13817" width="15.42578125" customWidth="1"/>
    <col min="13818" max="13818" width="13.140625" customWidth="1"/>
    <col min="13819" max="13819" width="14.85546875" customWidth="1"/>
    <col min="13820" max="13820" width="5.140625" customWidth="1"/>
    <col min="13821" max="13821" width="3.5703125" customWidth="1"/>
    <col min="14066" max="14066" width="9.140625" customWidth="1"/>
    <col min="14067" max="14067" width="27.140625" customWidth="1"/>
    <col min="14068" max="14068" width="16.42578125" bestFit="1" customWidth="1"/>
    <col min="14069" max="14070" width="11.140625" customWidth="1"/>
    <col min="14071" max="14071" width="15.140625" customWidth="1"/>
    <col min="14072" max="14072" width="15.5703125" customWidth="1"/>
    <col min="14073" max="14073" width="15.42578125" customWidth="1"/>
    <col min="14074" max="14074" width="13.140625" customWidth="1"/>
    <col min="14075" max="14075" width="14.85546875" customWidth="1"/>
    <col min="14076" max="14076" width="5.140625" customWidth="1"/>
    <col min="14077" max="14077" width="3.5703125" customWidth="1"/>
    <col min="14322" max="14322" width="9.140625" customWidth="1"/>
    <col min="14323" max="14323" width="27.140625" customWidth="1"/>
    <col min="14324" max="14324" width="16.42578125" bestFit="1" customWidth="1"/>
    <col min="14325" max="14326" width="11.140625" customWidth="1"/>
    <col min="14327" max="14327" width="15.140625" customWidth="1"/>
    <col min="14328" max="14328" width="15.5703125" customWidth="1"/>
    <col min="14329" max="14329" width="15.42578125" customWidth="1"/>
    <col min="14330" max="14330" width="13.140625" customWidth="1"/>
    <col min="14331" max="14331" width="14.85546875" customWidth="1"/>
    <col min="14332" max="14332" width="5.140625" customWidth="1"/>
    <col min="14333" max="14333" width="3.5703125" customWidth="1"/>
    <col min="14578" max="14578" width="9.140625" customWidth="1"/>
    <col min="14579" max="14579" width="27.140625" customWidth="1"/>
    <col min="14580" max="14580" width="16.42578125" bestFit="1" customWidth="1"/>
    <col min="14581" max="14582" width="11.140625" customWidth="1"/>
    <col min="14583" max="14583" width="15.140625" customWidth="1"/>
    <col min="14584" max="14584" width="15.5703125" customWidth="1"/>
    <col min="14585" max="14585" width="15.42578125" customWidth="1"/>
    <col min="14586" max="14586" width="13.140625" customWidth="1"/>
    <col min="14587" max="14587" width="14.85546875" customWidth="1"/>
    <col min="14588" max="14588" width="5.140625" customWidth="1"/>
    <col min="14589" max="14589" width="3.5703125" customWidth="1"/>
    <col min="14834" max="14834" width="9.140625" customWidth="1"/>
    <col min="14835" max="14835" width="27.140625" customWidth="1"/>
    <col min="14836" max="14836" width="16.42578125" bestFit="1" customWidth="1"/>
    <col min="14837" max="14838" width="11.140625" customWidth="1"/>
    <col min="14839" max="14839" width="15.140625" customWidth="1"/>
    <col min="14840" max="14840" width="15.5703125" customWidth="1"/>
    <col min="14841" max="14841" width="15.42578125" customWidth="1"/>
    <col min="14842" max="14842" width="13.140625" customWidth="1"/>
    <col min="14843" max="14843" width="14.85546875" customWidth="1"/>
    <col min="14844" max="14844" width="5.140625" customWidth="1"/>
    <col min="14845" max="14845" width="3.5703125" customWidth="1"/>
    <col min="15090" max="15090" width="9.140625" customWidth="1"/>
    <col min="15091" max="15091" width="27.140625" customWidth="1"/>
    <col min="15092" max="15092" width="16.42578125" bestFit="1" customWidth="1"/>
    <col min="15093" max="15094" width="11.140625" customWidth="1"/>
    <col min="15095" max="15095" width="15.140625" customWidth="1"/>
    <col min="15096" max="15096" width="15.5703125" customWidth="1"/>
    <col min="15097" max="15097" width="15.42578125" customWidth="1"/>
    <col min="15098" max="15098" width="13.140625" customWidth="1"/>
    <col min="15099" max="15099" width="14.85546875" customWidth="1"/>
    <col min="15100" max="15100" width="5.140625" customWidth="1"/>
    <col min="15101" max="15101" width="3.5703125" customWidth="1"/>
    <col min="15346" max="15346" width="9.140625" customWidth="1"/>
    <col min="15347" max="15347" width="27.140625" customWidth="1"/>
    <col min="15348" max="15348" width="16.42578125" bestFit="1" customWidth="1"/>
    <col min="15349" max="15350" width="11.140625" customWidth="1"/>
    <col min="15351" max="15351" width="15.140625" customWidth="1"/>
    <col min="15352" max="15352" width="15.5703125" customWidth="1"/>
    <col min="15353" max="15353" width="15.42578125" customWidth="1"/>
    <col min="15354" max="15354" width="13.140625" customWidth="1"/>
    <col min="15355" max="15355" width="14.85546875" customWidth="1"/>
    <col min="15356" max="15356" width="5.140625" customWidth="1"/>
    <col min="15357" max="15357" width="3.5703125" customWidth="1"/>
    <col min="15602" max="15602" width="9.140625" customWidth="1"/>
    <col min="15603" max="15603" width="27.140625" customWidth="1"/>
    <col min="15604" max="15604" width="16.42578125" bestFit="1" customWidth="1"/>
    <col min="15605" max="15606" width="11.140625" customWidth="1"/>
    <col min="15607" max="15607" width="15.140625" customWidth="1"/>
    <col min="15608" max="15608" width="15.5703125" customWidth="1"/>
    <col min="15609" max="15609" width="15.42578125" customWidth="1"/>
    <col min="15610" max="15610" width="13.140625" customWidth="1"/>
    <col min="15611" max="15611" width="14.85546875" customWidth="1"/>
    <col min="15612" max="15612" width="5.140625" customWidth="1"/>
    <col min="15613" max="15613" width="3.5703125" customWidth="1"/>
    <col min="15858" max="15858" width="9.140625" customWidth="1"/>
    <col min="15859" max="15859" width="27.140625" customWidth="1"/>
    <col min="15860" max="15860" width="16.42578125" bestFit="1" customWidth="1"/>
    <col min="15861" max="15862" width="11.140625" customWidth="1"/>
    <col min="15863" max="15863" width="15.140625" customWidth="1"/>
    <col min="15864" max="15864" width="15.5703125" customWidth="1"/>
    <col min="15865" max="15865" width="15.42578125" customWidth="1"/>
    <col min="15866" max="15866" width="13.140625" customWidth="1"/>
    <col min="15867" max="15867" width="14.85546875" customWidth="1"/>
    <col min="15868" max="15868" width="5.140625" customWidth="1"/>
    <col min="15869" max="15869" width="3.5703125" customWidth="1"/>
    <col min="16114" max="16114" width="9.140625" customWidth="1"/>
    <col min="16115" max="16115" width="27.140625" customWidth="1"/>
    <col min="16116" max="16116" width="16.42578125" bestFit="1" customWidth="1"/>
    <col min="16117" max="16118" width="11.140625" customWidth="1"/>
    <col min="16119" max="16119" width="15.140625" customWidth="1"/>
    <col min="16120" max="16120" width="15.5703125" customWidth="1"/>
    <col min="16121" max="16121" width="15.42578125" customWidth="1"/>
    <col min="16122" max="16122" width="13.140625" customWidth="1"/>
    <col min="16123" max="16123" width="14.85546875" customWidth="1"/>
    <col min="16124" max="16124" width="5.140625" customWidth="1"/>
    <col min="16125" max="16125" width="3.5703125" customWidth="1"/>
  </cols>
  <sheetData>
    <row r="1" spans="1:15" ht="29.25" customHeight="1" x14ac:dyDescent="0.25">
      <c r="A1" s="279" t="s">
        <v>178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ht="20.100000000000001" customHeight="1" x14ac:dyDescent="0.25">
      <c r="A2" s="72"/>
      <c r="B2" s="246" t="s">
        <v>142</v>
      </c>
      <c r="C2" s="247"/>
      <c r="D2" s="247"/>
      <c r="E2" s="246" t="s">
        <v>143</v>
      </c>
      <c r="F2" s="247"/>
      <c r="G2" s="247"/>
      <c r="H2" s="258"/>
      <c r="I2" s="246" t="s">
        <v>144</v>
      </c>
      <c r="J2" s="247"/>
      <c r="K2" s="247"/>
      <c r="L2" s="246" t="s">
        <v>145</v>
      </c>
      <c r="M2" s="247"/>
      <c r="N2" s="247"/>
      <c r="O2" s="258"/>
    </row>
    <row r="3" spans="1:15" ht="93" customHeight="1" x14ac:dyDescent="0.25">
      <c r="A3" s="163" t="s">
        <v>1</v>
      </c>
      <c r="B3" s="73" t="s">
        <v>179</v>
      </c>
      <c r="C3" s="73" t="s">
        <v>4</v>
      </c>
      <c r="D3" s="74" t="s">
        <v>180</v>
      </c>
      <c r="E3" s="73" t="s">
        <v>179</v>
      </c>
      <c r="F3" s="73" t="s">
        <v>4</v>
      </c>
      <c r="G3" s="74" t="s">
        <v>180</v>
      </c>
      <c r="H3" s="75" t="s">
        <v>181</v>
      </c>
      <c r="I3" s="73" t="s">
        <v>179</v>
      </c>
      <c r="J3" s="73" t="s">
        <v>4</v>
      </c>
      <c r="K3" s="74" t="s">
        <v>180</v>
      </c>
      <c r="L3" s="73" t="s">
        <v>179</v>
      </c>
      <c r="M3" s="73" t="s">
        <v>4</v>
      </c>
      <c r="N3" s="74" t="s">
        <v>180</v>
      </c>
      <c r="O3" s="75" t="s">
        <v>181</v>
      </c>
    </row>
    <row r="4" spans="1:15" s="68" customFormat="1" x14ac:dyDescent="0.25">
      <c r="A4" s="65" t="s">
        <v>85</v>
      </c>
      <c r="B4" s="8">
        <v>1</v>
      </c>
      <c r="C4" s="165">
        <v>80</v>
      </c>
      <c r="D4" s="66">
        <f>62/80</f>
        <v>0.77500000000000002</v>
      </c>
      <c r="E4" s="8">
        <v>1</v>
      </c>
      <c r="F4" s="165">
        <v>80</v>
      </c>
      <c r="G4" s="67">
        <f>67/80</f>
        <v>0.83750000000000002</v>
      </c>
      <c r="H4" s="67">
        <v>0.26700000000000002</v>
      </c>
      <c r="I4" s="8">
        <v>1</v>
      </c>
      <c r="J4" s="165">
        <v>80</v>
      </c>
      <c r="K4" s="67">
        <f>61/80</f>
        <v>0.76249999999999996</v>
      </c>
      <c r="L4" s="8">
        <v>1</v>
      </c>
      <c r="M4" s="165">
        <v>80</v>
      </c>
      <c r="N4" s="67">
        <f>58/80</f>
        <v>0.72499999999999998</v>
      </c>
      <c r="O4" s="67">
        <v>0.255</v>
      </c>
    </row>
    <row r="5" spans="1:15" s="68" customFormat="1" x14ac:dyDescent="0.25">
      <c r="A5" s="65" t="s">
        <v>67</v>
      </c>
      <c r="B5" s="8">
        <v>2</v>
      </c>
      <c r="C5" s="165">
        <v>284</v>
      </c>
      <c r="D5" s="66">
        <f>262/284</f>
        <v>0.92253521126760563</v>
      </c>
      <c r="E5" s="8">
        <v>2</v>
      </c>
      <c r="F5" s="165">
        <v>284</v>
      </c>
      <c r="G5" s="67">
        <f>263/284</f>
        <v>0.926056338028169</v>
      </c>
      <c r="H5" s="67">
        <v>0.313</v>
      </c>
      <c r="I5" s="8">
        <v>2</v>
      </c>
      <c r="J5" s="165">
        <v>284</v>
      </c>
      <c r="K5" s="67">
        <f>282/284</f>
        <v>0.99295774647887325</v>
      </c>
      <c r="L5" s="8">
        <v>2</v>
      </c>
      <c r="M5" s="165">
        <v>284</v>
      </c>
      <c r="N5" s="67">
        <f>281/284</f>
        <v>0.98943661971830987</v>
      </c>
      <c r="O5" s="67">
        <v>0.245</v>
      </c>
    </row>
    <row r="6" spans="1:15" x14ac:dyDescent="0.25">
      <c r="A6" s="65" t="s">
        <v>74</v>
      </c>
      <c r="B6" s="8">
        <v>1</v>
      </c>
      <c r="C6" s="165">
        <v>50</v>
      </c>
      <c r="D6" s="66">
        <f>42/50</f>
        <v>0.84</v>
      </c>
      <c r="E6" s="8">
        <v>1</v>
      </c>
      <c r="F6" s="165">
        <v>50</v>
      </c>
      <c r="G6" s="66">
        <f>38/50</f>
        <v>0.76</v>
      </c>
      <c r="H6" s="197">
        <v>0.34799999999999998</v>
      </c>
      <c r="I6" s="165">
        <v>1</v>
      </c>
      <c r="J6" s="165">
        <v>50</v>
      </c>
      <c r="K6" s="66">
        <f>42/50</f>
        <v>0.84</v>
      </c>
      <c r="L6" s="8">
        <v>1</v>
      </c>
      <c r="M6" s="165">
        <v>50</v>
      </c>
      <c r="N6" s="66">
        <f>46/50</f>
        <v>0.92</v>
      </c>
      <c r="O6" s="66">
        <v>0.33900000000000002</v>
      </c>
    </row>
    <row r="7" spans="1:15" x14ac:dyDescent="0.25">
      <c r="A7" s="65" t="s">
        <v>168</v>
      </c>
      <c r="B7" s="8">
        <v>1</v>
      </c>
      <c r="C7" s="165">
        <v>50</v>
      </c>
      <c r="D7" s="66">
        <f>63/50</f>
        <v>1.26</v>
      </c>
      <c r="E7" s="8">
        <v>1</v>
      </c>
      <c r="F7" s="165">
        <v>50</v>
      </c>
      <c r="G7" s="66">
        <f>60/50</f>
        <v>1.2</v>
      </c>
      <c r="H7" s="197">
        <v>0.22800000000000001</v>
      </c>
      <c r="I7" s="165">
        <v>1</v>
      </c>
      <c r="J7" s="165">
        <v>50</v>
      </c>
      <c r="K7" s="66">
        <f>59/50</f>
        <v>1.18</v>
      </c>
      <c r="L7" s="8">
        <v>1</v>
      </c>
      <c r="M7" s="165">
        <v>50</v>
      </c>
      <c r="N7" s="66">
        <f>62/50</f>
        <v>1.24</v>
      </c>
      <c r="O7" s="66">
        <v>0.35199999999999998</v>
      </c>
    </row>
    <row r="8" spans="1:15" x14ac:dyDescent="0.25">
      <c r="A8" s="65" t="s">
        <v>241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8">
        <v>1</v>
      </c>
      <c r="M8" s="165">
        <v>44</v>
      </c>
      <c r="N8" s="66">
        <f>17/44</f>
        <v>0.38636363636363635</v>
      </c>
      <c r="O8" s="76"/>
    </row>
    <row r="9" spans="1:15" x14ac:dyDescent="0.25">
      <c r="A9" s="65" t="s">
        <v>171</v>
      </c>
      <c r="B9" s="63">
        <v>2</v>
      </c>
      <c r="C9" s="63">
        <v>290</v>
      </c>
      <c r="D9" s="66">
        <f>202/290</f>
        <v>0.69655172413793098</v>
      </c>
      <c r="E9" s="63">
        <v>2</v>
      </c>
      <c r="F9" s="63">
        <v>290</v>
      </c>
      <c r="G9" s="66">
        <f>222/290</f>
        <v>0.76551724137931032</v>
      </c>
      <c r="H9" s="66">
        <v>0.36899999999999999</v>
      </c>
      <c r="I9" s="8">
        <v>3</v>
      </c>
      <c r="J9" s="9">
        <v>436</v>
      </c>
      <c r="K9" s="66">
        <f>497/436</f>
        <v>1.1399082568807339</v>
      </c>
      <c r="L9" s="8">
        <v>6</v>
      </c>
      <c r="M9" s="165">
        <v>637</v>
      </c>
      <c r="N9" s="66">
        <f>562/637</f>
        <v>0.88226059654631084</v>
      </c>
      <c r="O9" s="66">
        <v>0.224</v>
      </c>
    </row>
    <row r="10" spans="1:15" ht="15.75" x14ac:dyDescent="0.25">
      <c r="A10" s="84" t="s">
        <v>182</v>
      </c>
      <c r="B10" s="59">
        <f>SUM(B4:B9)</f>
        <v>7</v>
      </c>
      <c r="C10" s="59">
        <f>SUM(C4:C9)</f>
        <v>754</v>
      </c>
      <c r="D10" s="69">
        <f>AVERAGE(D4:D9)</f>
        <v>0.89881738708110748</v>
      </c>
      <c r="E10" s="59">
        <f t="shared" ref="E10:F10" si="0">SUM(E4:E9)</f>
        <v>7</v>
      </c>
      <c r="F10" s="59">
        <f t="shared" si="0"/>
        <v>754</v>
      </c>
      <c r="G10" s="69">
        <f>AVERAGE(G4:G9)</f>
        <v>0.89781471588149597</v>
      </c>
      <c r="H10" s="69">
        <f>AVERAGE(H4,H5,H6,H7,H9)</f>
        <v>0.30500000000000005</v>
      </c>
      <c r="I10" s="77">
        <f>SUM(I4:I9)</f>
        <v>8</v>
      </c>
      <c r="J10" s="77">
        <f>SUM(J4:J9)</f>
        <v>900</v>
      </c>
      <c r="K10" s="69">
        <f>AVERAGE(K4:K9)</f>
        <v>0.98307320067192128</v>
      </c>
      <c r="L10" s="59">
        <f t="shared" ref="L10:M10" si="1">SUM(L4:L9)</f>
        <v>12</v>
      </c>
      <c r="M10" s="59">
        <f t="shared" si="1"/>
        <v>1145</v>
      </c>
      <c r="N10" s="69">
        <f>AVERAGE(N4:N9)</f>
        <v>0.85717680877137614</v>
      </c>
      <c r="O10" s="69">
        <f>AVERAGE(O4:O9)</f>
        <v>0.28299999999999997</v>
      </c>
    </row>
    <row r="11" spans="1:15" x14ac:dyDescent="0.25">
      <c r="A11" s="37" t="s">
        <v>183</v>
      </c>
      <c r="B11" s="70"/>
      <c r="C11" s="70"/>
      <c r="D11" s="70"/>
    </row>
    <row r="12" spans="1:15" x14ac:dyDescent="0.25">
      <c r="A12" s="37" t="s">
        <v>149</v>
      </c>
      <c r="C12" s="70"/>
      <c r="D12" s="70"/>
    </row>
    <row r="13" spans="1:15" x14ac:dyDescent="0.25">
      <c r="A13" s="175" t="s">
        <v>242</v>
      </c>
      <c r="B13" s="30"/>
      <c r="C13" s="70"/>
      <c r="D13" s="70"/>
    </row>
    <row r="14" spans="1:15" x14ac:dyDescent="0.25">
      <c r="A14" s="71"/>
      <c r="B14" s="70"/>
      <c r="C14" s="70"/>
      <c r="D14" s="70"/>
    </row>
  </sheetData>
  <mergeCells count="5">
    <mergeCell ref="A1:O1"/>
    <mergeCell ref="B2:D2"/>
    <mergeCell ref="E2:H2"/>
    <mergeCell ref="I2:K2"/>
    <mergeCell ref="L2:O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B05E2-64A7-4A20-8B75-E2603CBF8DEC}">
  <dimension ref="A1:Q109"/>
  <sheetViews>
    <sheetView topLeftCell="A4" zoomScale="75" zoomScaleNormal="75" workbookViewId="0">
      <pane xSplit="1" ySplit="4" topLeftCell="B8" activePane="bottomRight" state="frozen"/>
      <selection activeCell="B214" sqref="B214"/>
      <selection pane="topRight" activeCell="B214" sqref="B214"/>
      <selection pane="bottomLeft" activeCell="B214" sqref="B214"/>
      <selection pane="bottomRight" activeCell="I112" sqref="I112"/>
    </sheetView>
  </sheetViews>
  <sheetFormatPr defaultRowHeight="15" x14ac:dyDescent="0.25"/>
  <cols>
    <col min="1" max="1" width="16.85546875" customWidth="1"/>
    <col min="2" max="2" width="13.5703125" customWidth="1"/>
    <col min="3" max="3" width="11.42578125" customWidth="1"/>
    <col min="4" max="4" width="12.85546875" customWidth="1"/>
    <col min="5" max="5" width="10.7109375" customWidth="1"/>
    <col min="6" max="6" width="11.28515625" customWidth="1"/>
    <col min="7" max="7" width="12.5703125" customWidth="1"/>
    <col min="8" max="8" width="17.7109375" customWidth="1"/>
    <col min="9" max="9" width="12.5703125" customWidth="1"/>
    <col min="10" max="10" width="11.85546875" customWidth="1"/>
    <col min="11" max="11" width="12.140625" customWidth="1"/>
    <col min="12" max="12" width="11.28515625" customWidth="1"/>
    <col min="13" max="13" width="12" customWidth="1"/>
    <col min="14" max="14" width="12.5703125" customWidth="1"/>
    <col min="15" max="15" width="21.5703125" customWidth="1"/>
  </cols>
  <sheetData>
    <row r="1" spans="1:17" ht="27.75" customHeight="1" x14ac:dyDescent="0.25">
      <c r="A1" s="271"/>
      <c r="B1" s="271"/>
      <c r="C1" s="271"/>
      <c r="D1" s="271"/>
    </row>
    <row r="2" spans="1:17" ht="31.5" customHeight="1" x14ac:dyDescent="0.25">
      <c r="A2" s="294"/>
      <c r="B2" s="294"/>
      <c r="C2" s="294"/>
      <c r="D2" s="294"/>
    </row>
    <row r="3" spans="1:17" ht="39" customHeight="1" x14ac:dyDescent="0.25">
      <c r="A3" s="86"/>
      <c r="B3" s="87"/>
      <c r="C3" s="88"/>
      <c r="D3" s="87"/>
    </row>
    <row r="4" spans="1:17" ht="27.75" customHeight="1" x14ac:dyDescent="0.25">
      <c r="A4" s="295" t="s">
        <v>196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</row>
    <row r="5" spans="1:17" ht="20.100000000000001" customHeight="1" x14ac:dyDescent="0.25">
      <c r="B5" s="248" t="s">
        <v>142</v>
      </c>
      <c r="C5" s="248"/>
      <c r="D5" s="248"/>
      <c r="E5" s="248" t="s">
        <v>143</v>
      </c>
      <c r="F5" s="248"/>
      <c r="G5" s="248"/>
      <c r="H5" s="248"/>
      <c r="I5" s="248" t="s">
        <v>144</v>
      </c>
      <c r="J5" s="248"/>
      <c r="K5" s="248"/>
      <c r="L5" s="248" t="s">
        <v>145</v>
      </c>
      <c r="M5" s="248"/>
      <c r="N5" s="248"/>
      <c r="O5" s="248"/>
    </row>
    <row r="6" spans="1:17" ht="48" customHeight="1" x14ac:dyDescent="0.25">
      <c r="A6" s="292" t="s">
        <v>1</v>
      </c>
      <c r="B6" s="284" t="s">
        <v>153</v>
      </c>
      <c r="C6" s="286" t="s">
        <v>185</v>
      </c>
      <c r="D6" s="284" t="s">
        <v>197</v>
      </c>
      <c r="E6" s="284" t="s">
        <v>153</v>
      </c>
      <c r="F6" s="286" t="s">
        <v>185</v>
      </c>
      <c r="G6" s="284" t="s">
        <v>197</v>
      </c>
      <c r="H6" s="281" t="s">
        <v>198</v>
      </c>
      <c r="I6" s="284" t="s">
        <v>153</v>
      </c>
      <c r="J6" s="286" t="s">
        <v>185</v>
      </c>
      <c r="K6" s="284" t="s">
        <v>197</v>
      </c>
      <c r="L6" s="284" t="s">
        <v>153</v>
      </c>
      <c r="M6" s="286" t="s">
        <v>185</v>
      </c>
      <c r="N6" s="284" t="s">
        <v>197</v>
      </c>
      <c r="O6" s="281" t="s">
        <v>198</v>
      </c>
    </row>
    <row r="7" spans="1:17" ht="69" customHeight="1" x14ac:dyDescent="0.25">
      <c r="A7" s="293"/>
      <c r="B7" s="285"/>
      <c r="C7" s="287"/>
      <c r="D7" s="285"/>
      <c r="E7" s="285"/>
      <c r="F7" s="287"/>
      <c r="G7" s="285"/>
      <c r="H7" s="282"/>
      <c r="I7" s="285"/>
      <c r="J7" s="287"/>
      <c r="K7" s="285"/>
      <c r="L7" s="285"/>
      <c r="M7" s="287"/>
      <c r="N7" s="285"/>
      <c r="O7" s="282"/>
    </row>
    <row r="8" spans="1:17" ht="15.75" hidden="1" x14ac:dyDescent="0.25">
      <c r="A8" s="289" t="s">
        <v>7</v>
      </c>
      <c r="B8" s="79"/>
      <c r="C8" s="79"/>
      <c r="D8" s="89"/>
      <c r="E8" s="1"/>
      <c r="F8" s="1"/>
      <c r="G8" s="1"/>
    </row>
    <row r="9" spans="1:17" ht="15.75" hidden="1" customHeight="1" x14ac:dyDescent="0.25">
      <c r="A9" s="289"/>
      <c r="B9" s="79"/>
      <c r="C9" s="79"/>
      <c r="D9" s="89"/>
      <c r="E9" s="1"/>
      <c r="F9" s="1"/>
      <c r="G9" s="1"/>
    </row>
    <row r="10" spans="1:17" ht="15.75" hidden="1" x14ac:dyDescent="0.25">
      <c r="A10" s="289" t="s">
        <v>10</v>
      </c>
      <c r="B10" s="79"/>
      <c r="C10" s="79"/>
      <c r="D10" s="89"/>
      <c r="E10" s="1"/>
      <c r="F10" s="1"/>
      <c r="G10" s="1"/>
    </row>
    <row r="11" spans="1:17" ht="15.75" hidden="1" x14ac:dyDescent="0.25">
      <c r="A11" s="289"/>
      <c r="B11" s="79"/>
      <c r="C11" s="79"/>
      <c r="D11" s="89"/>
      <c r="E11" s="1"/>
      <c r="F11" s="1"/>
      <c r="G11" s="1"/>
    </row>
    <row r="12" spans="1:17" ht="15.75" hidden="1" x14ac:dyDescent="0.25">
      <c r="A12" s="289"/>
      <c r="B12" s="79"/>
      <c r="C12" s="79"/>
      <c r="D12" s="89"/>
      <c r="E12" s="1"/>
      <c r="F12" s="1"/>
      <c r="G12" s="1"/>
    </row>
    <row r="13" spans="1:17" ht="15.75" hidden="1" x14ac:dyDescent="0.25">
      <c r="A13" s="290" t="s">
        <v>14</v>
      </c>
      <c r="B13" s="79"/>
      <c r="C13" s="79"/>
      <c r="D13" s="89"/>
      <c r="E13" s="1"/>
      <c r="F13" s="1"/>
      <c r="G13" s="1"/>
    </row>
    <row r="14" spans="1:17" ht="15.75" hidden="1" x14ac:dyDescent="0.25">
      <c r="A14" s="290"/>
      <c r="B14" s="79"/>
      <c r="C14" s="79"/>
      <c r="D14" s="89"/>
      <c r="E14" s="1"/>
      <c r="F14" s="1"/>
      <c r="G14" s="1"/>
    </row>
    <row r="15" spans="1:17" ht="15.75" hidden="1" x14ac:dyDescent="0.25">
      <c r="A15" s="290"/>
      <c r="B15" s="79"/>
      <c r="C15" s="79"/>
      <c r="D15" s="89"/>
      <c r="E15" s="1"/>
      <c r="F15" s="1"/>
      <c r="G15" s="1"/>
    </row>
    <row r="16" spans="1:17" ht="15.75" hidden="1" x14ac:dyDescent="0.25">
      <c r="A16" s="169"/>
      <c r="B16" s="90"/>
      <c r="C16" s="90"/>
      <c r="D16" s="91"/>
      <c r="E16" s="1"/>
      <c r="F16" s="1"/>
      <c r="G16" s="1"/>
    </row>
    <row r="17" spans="1:7" ht="15.75" hidden="1" x14ac:dyDescent="0.25">
      <c r="A17" s="291" t="s">
        <v>19</v>
      </c>
      <c r="B17" s="79"/>
      <c r="C17" s="79"/>
      <c r="D17" s="79"/>
      <c r="E17" s="1"/>
      <c r="F17" s="1"/>
      <c r="G17" s="1"/>
    </row>
    <row r="18" spans="1:7" ht="15.75" hidden="1" x14ac:dyDescent="0.25">
      <c r="A18" s="291"/>
      <c r="B18" s="79"/>
      <c r="C18" s="79"/>
      <c r="D18" s="79"/>
      <c r="E18" s="1"/>
      <c r="F18" s="1"/>
      <c r="G18" s="1"/>
    </row>
    <row r="19" spans="1:7" ht="15.75" hidden="1" x14ac:dyDescent="0.25">
      <c r="A19" s="291"/>
      <c r="B19" s="79"/>
      <c r="C19" s="79"/>
      <c r="D19" s="79"/>
      <c r="E19" s="1"/>
      <c r="F19" s="1"/>
      <c r="G19" s="1"/>
    </row>
    <row r="20" spans="1:7" ht="15.75" hidden="1" x14ac:dyDescent="0.25">
      <c r="A20" s="290" t="s">
        <v>23</v>
      </c>
      <c r="B20" s="79"/>
      <c r="C20" s="79"/>
      <c r="D20" s="89"/>
      <c r="E20" s="1"/>
      <c r="F20" s="1"/>
      <c r="G20" s="1"/>
    </row>
    <row r="21" spans="1:7" ht="15.75" hidden="1" x14ac:dyDescent="0.25">
      <c r="A21" s="290"/>
      <c r="B21" s="79"/>
      <c r="C21" s="79"/>
      <c r="D21" s="89"/>
      <c r="E21" s="80"/>
      <c r="F21" s="80"/>
      <c r="G21" s="80"/>
    </row>
    <row r="22" spans="1:7" ht="15.75" hidden="1" x14ac:dyDescent="0.25">
      <c r="A22" s="289" t="s">
        <v>26</v>
      </c>
      <c r="B22" s="79"/>
      <c r="C22" s="79"/>
      <c r="D22" s="89"/>
      <c r="E22" s="1"/>
      <c r="F22" s="1"/>
      <c r="G22" s="1"/>
    </row>
    <row r="23" spans="1:7" ht="15.75" hidden="1" x14ac:dyDescent="0.25">
      <c r="A23" s="289"/>
      <c r="B23" s="79"/>
      <c r="C23" s="79"/>
      <c r="D23" s="89"/>
      <c r="E23" s="1"/>
      <c r="F23" s="1"/>
      <c r="G23" s="1"/>
    </row>
    <row r="24" spans="1:7" ht="15.75" hidden="1" x14ac:dyDescent="0.25">
      <c r="A24" s="289" t="s">
        <v>29</v>
      </c>
      <c r="B24" s="79"/>
      <c r="C24" s="79"/>
      <c r="D24" s="89"/>
      <c r="E24" s="1"/>
      <c r="F24" s="1"/>
      <c r="G24" s="1"/>
    </row>
    <row r="25" spans="1:7" ht="15.75" hidden="1" x14ac:dyDescent="0.25">
      <c r="A25" s="289"/>
      <c r="B25" s="79"/>
      <c r="C25" s="79"/>
      <c r="D25" s="89"/>
      <c r="E25" s="1"/>
      <c r="F25" s="1"/>
      <c r="G25" s="1"/>
    </row>
    <row r="26" spans="1:7" ht="15.75" hidden="1" x14ac:dyDescent="0.25">
      <c r="A26" s="289"/>
      <c r="B26" s="79"/>
      <c r="C26" s="79"/>
      <c r="D26" s="89"/>
      <c r="E26" s="81"/>
      <c r="F26" s="81"/>
      <c r="G26" s="81"/>
    </row>
    <row r="27" spans="1:7" ht="15.75" hidden="1" x14ac:dyDescent="0.25">
      <c r="A27" s="169"/>
      <c r="B27" s="90"/>
      <c r="C27" s="90"/>
      <c r="D27" s="91"/>
      <c r="E27" s="1"/>
      <c r="F27" s="1"/>
      <c r="G27" s="1"/>
    </row>
    <row r="28" spans="1:7" ht="15.75" hidden="1" x14ac:dyDescent="0.25">
      <c r="A28" s="289" t="s">
        <v>34</v>
      </c>
      <c r="B28" s="79"/>
      <c r="C28" s="79"/>
      <c r="D28" s="89"/>
      <c r="E28" s="1"/>
      <c r="F28" s="1"/>
      <c r="G28" s="1"/>
    </row>
    <row r="29" spans="1:7" ht="15.75" hidden="1" x14ac:dyDescent="0.25">
      <c r="A29" s="289"/>
      <c r="B29" s="79"/>
      <c r="C29" s="79"/>
      <c r="D29" s="89"/>
      <c r="E29" s="1"/>
      <c r="F29" s="1"/>
      <c r="G29" s="1"/>
    </row>
    <row r="30" spans="1:7" ht="15.75" hidden="1" x14ac:dyDescent="0.25">
      <c r="A30" s="289"/>
      <c r="B30" s="79"/>
      <c r="C30" s="79"/>
      <c r="D30" s="89"/>
      <c r="E30" s="1"/>
      <c r="F30" s="1"/>
      <c r="G30" s="1"/>
    </row>
    <row r="31" spans="1:7" ht="15.75" hidden="1" x14ac:dyDescent="0.25">
      <c r="A31" s="289"/>
      <c r="B31" s="79"/>
      <c r="C31" s="79"/>
      <c r="D31" s="89"/>
      <c r="E31" s="1"/>
      <c r="F31" s="1"/>
      <c r="G31" s="1"/>
    </row>
    <row r="32" spans="1:7" ht="15.75" hidden="1" x14ac:dyDescent="0.25">
      <c r="A32" s="289"/>
      <c r="B32" s="79"/>
      <c r="C32" s="79"/>
      <c r="D32" s="89"/>
      <c r="E32" s="1"/>
      <c r="F32" s="1"/>
      <c r="G32" s="1"/>
    </row>
    <row r="33" spans="1:15" ht="15.75" hidden="1" x14ac:dyDescent="0.25">
      <c r="A33" s="289" t="s">
        <v>40</v>
      </c>
      <c r="B33" s="79"/>
      <c r="C33" s="79"/>
      <c r="D33" s="89"/>
      <c r="E33" s="1"/>
      <c r="F33" s="1"/>
      <c r="G33" s="1"/>
    </row>
    <row r="34" spans="1:15" ht="15.75" hidden="1" x14ac:dyDescent="0.25">
      <c r="A34" s="289"/>
      <c r="B34" s="79"/>
      <c r="C34" s="79"/>
      <c r="D34" s="89"/>
      <c r="E34" s="1"/>
      <c r="F34" s="1"/>
      <c r="G34" s="1"/>
    </row>
    <row r="35" spans="1:15" ht="15.75" hidden="1" x14ac:dyDescent="0.25">
      <c r="A35" s="289"/>
      <c r="B35" s="79"/>
      <c r="C35" s="79"/>
      <c r="D35" s="89"/>
      <c r="E35" s="1"/>
      <c r="F35" s="1"/>
      <c r="G35" s="1"/>
    </row>
    <row r="36" spans="1:15" ht="15.75" hidden="1" x14ac:dyDescent="0.25">
      <c r="A36" s="289"/>
      <c r="B36" s="79"/>
      <c r="C36" s="79"/>
      <c r="D36" s="89"/>
      <c r="E36" s="1"/>
      <c r="F36" s="1"/>
      <c r="G36" s="1"/>
    </row>
    <row r="37" spans="1:15" ht="15.75" hidden="1" x14ac:dyDescent="0.25">
      <c r="A37" s="289"/>
      <c r="B37" s="79"/>
      <c r="C37" s="79"/>
      <c r="D37" s="89"/>
      <c r="E37" s="1"/>
      <c r="F37" s="1"/>
      <c r="G37" s="1"/>
    </row>
    <row r="38" spans="1:15" ht="15.75" hidden="1" x14ac:dyDescent="0.25">
      <c r="A38" s="289"/>
      <c r="B38" s="79"/>
      <c r="C38" s="79"/>
      <c r="D38" s="89"/>
      <c r="E38" s="1"/>
      <c r="F38" s="1"/>
      <c r="G38" s="1"/>
    </row>
    <row r="39" spans="1:15" ht="15.75" hidden="1" x14ac:dyDescent="0.25">
      <c r="A39" s="289" t="s">
        <v>47</v>
      </c>
      <c r="B39" s="79"/>
      <c r="C39" s="79"/>
      <c r="D39" s="89"/>
      <c r="E39" s="1"/>
      <c r="F39" s="1"/>
      <c r="G39" s="1"/>
    </row>
    <row r="40" spans="1:15" ht="15.75" hidden="1" x14ac:dyDescent="0.25">
      <c r="A40" s="289"/>
      <c r="B40" s="79"/>
      <c r="C40" s="79"/>
      <c r="D40" s="89"/>
      <c r="E40" s="1"/>
      <c r="F40" s="1"/>
      <c r="G40" s="1"/>
    </row>
    <row r="41" spans="1:15" ht="15.75" hidden="1" x14ac:dyDescent="0.25">
      <c r="A41" s="289"/>
      <c r="B41" s="79"/>
      <c r="C41" s="79"/>
      <c r="D41" s="89"/>
      <c r="E41" s="1"/>
      <c r="F41" s="1"/>
      <c r="G41" s="1"/>
    </row>
    <row r="42" spans="1:15" ht="15.75" hidden="1" x14ac:dyDescent="0.25">
      <c r="A42" s="289"/>
      <c r="B42" s="79"/>
      <c r="C42" s="79"/>
      <c r="D42" s="89"/>
      <c r="E42" s="1"/>
      <c r="F42" s="1"/>
      <c r="G42" s="1"/>
    </row>
    <row r="43" spans="1:15" ht="15.75" hidden="1" x14ac:dyDescent="0.25">
      <c r="A43" s="169"/>
      <c r="B43" s="90"/>
      <c r="C43" s="90"/>
      <c r="D43" s="91"/>
      <c r="E43" s="1"/>
      <c r="F43" s="1"/>
      <c r="G43" s="1"/>
    </row>
    <row r="44" spans="1:15" ht="15.75" x14ac:dyDescent="0.25">
      <c r="A44" s="176" t="s">
        <v>53</v>
      </c>
      <c r="B44" s="92">
        <v>2</v>
      </c>
      <c r="C44" s="92">
        <v>93</v>
      </c>
      <c r="D44" s="93">
        <f>84/93</f>
        <v>0.90322580645161288</v>
      </c>
      <c r="E44" s="92">
        <v>2</v>
      </c>
      <c r="F44" s="92">
        <v>93</v>
      </c>
      <c r="G44" s="177">
        <f>81/93</f>
        <v>0.87096774193548387</v>
      </c>
      <c r="H44" s="197">
        <v>5.2999999999999999E-2</v>
      </c>
      <c r="I44" s="92">
        <v>2</v>
      </c>
      <c r="J44" s="92">
        <v>93</v>
      </c>
      <c r="K44" s="94">
        <f>83/93</f>
        <v>0.89247311827956988</v>
      </c>
      <c r="L44" s="92">
        <v>2</v>
      </c>
      <c r="M44" s="92">
        <v>93</v>
      </c>
      <c r="N44" s="94">
        <f>75/93</f>
        <v>0.80645161290322576</v>
      </c>
      <c r="O44" s="197">
        <v>5.6399999999999999E-2</v>
      </c>
    </row>
    <row r="45" spans="1:15" ht="15.75" hidden="1" x14ac:dyDescent="0.25">
      <c r="A45" s="288" t="s">
        <v>156</v>
      </c>
      <c r="B45" s="95"/>
      <c r="C45" s="95"/>
      <c r="D45" s="96"/>
      <c r="E45" s="95"/>
      <c r="F45" s="95"/>
      <c r="G45" s="99"/>
      <c r="H45" s="199"/>
      <c r="I45" s="95"/>
      <c r="J45" s="95"/>
      <c r="K45" s="99"/>
      <c r="L45" s="95"/>
      <c r="M45" s="95"/>
      <c r="N45" s="99"/>
      <c r="O45" s="199"/>
    </row>
    <row r="46" spans="1:15" ht="15.75" hidden="1" x14ac:dyDescent="0.25">
      <c r="A46" s="288"/>
      <c r="B46" s="95"/>
      <c r="C46" s="95"/>
      <c r="D46" s="96"/>
      <c r="E46" s="95"/>
      <c r="F46" s="95"/>
      <c r="G46" s="99"/>
      <c r="H46" s="199"/>
      <c r="I46" s="95"/>
      <c r="J46" s="95"/>
      <c r="K46" s="99"/>
      <c r="L46" s="95"/>
      <c r="M46" s="95"/>
      <c r="N46" s="99"/>
      <c r="O46" s="199"/>
    </row>
    <row r="47" spans="1:15" ht="15.75" hidden="1" x14ac:dyDescent="0.25">
      <c r="A47" s="288"/>
      <c r="B47" s="95"/>
      <c r="C47" s="95"/>
      <c r="D47" s="96"/>
      <c r="E47" s="95"/>
      <c r="F47" s="95"/>
      <c r="G47" s="99"/>
      <c r="H47" s="199"/>
      <c r="I47" s="95"/>
      <c r="J47" s="95"/>
      <c r="K47" s="99"/>
      <c r="L47" s="95"/>
      <c r="M47" s="95"/>
      <c r="N47" s="99"/>
      <c r="O47" s="199"/>
    </row>
    <row r="48" spans="1:15" ht="15.75" hidden="1" x14ac:dyDescent="0.25">
      <c r="A48" s="283" t="s">
        <v>67</v>
      </c>
      <c r="B48" s="95"/>
      <c r="C48" s="95"/>
      <c r="D48" s="96"/>
      <c r="E48" s="95"/>
      <c r="F48" s="95"/>
      <c r="G48" s="99"/>
      <c r="H48" s="199"/>
      <c r="I48" s="95"/>
      <c r="J48" s="95"/>
      <c r="K48" s="99"/>
      <c r="L48" s="95"/>
      <c r="M48" s="95"/>
      <c r="N48" s="99"/>
      <c r="O48" s="199"/>
    </row>
    <row r="49" spans="1:15" ht="15.75" hidden="1" x14ac:dyDescent="0.25">
      <c r="A49" s="283"/>
      <c r="B49" s="95"/>
      <c r="C49" s="95"/>
      <c r="D49" s="96"/>
      <c r="E49" s="95"/>
      <c r="F49" s="95"/>
      <c r="G49" s="99"/>
      <c r="H49" s="199"/>
      <c r="I49" s="95"/>
      <c r="J49" s="95"/>
      <c r="K49" s="99"/>
      <c r="L49" s="95"/>
      <c r="M49" s="95"/>
      <c r="N49" s="99"/>
      <c r="O49" s="199"/>
    </row>
    <row r="50" spans="1:15" ht="15.75" hidden="1" x14ac:dyDescent="0.25">
      <c r="A50" s="283"/>
      <c r="B50" s="95"/>
      <c r="C50" s="95"/>
      <c r="D50" s="96"/>
      <c r="E50" s="95"/>
      <c r="F50" s="95"/>
      <c r="G50" s="99"/>
      <c r="H50" s="199"/>
      <c r="I50" s="95"/>
      <c r="J50" s="95"/>
      <c r="K50" s="99"/>
      <c r="L50" s="95"/>
      <c r="M50" s="95"/>
      <c r="N50" s="99"/>
      <c r="O50" s="199"/>
    </row>
    <row r="51" spans="1:15" ht="15.75" hidden="1" x14ac:dyDescent="0.25">
      <c r="A51" s="283"/>
      <c r="B51" s="95"/>
      <c r="C51" s="95"/>
      <c r="D51" s="96"/>
      <c r="E51" s="95"/>
      <c r="F51" s="95"/>
      <c r="G51" s="99"/>
      <c r="H51" s="199"/>
      <c r="I51" s="95"/>
      <c r="J51" s="95"/>
      <c r="K51" s="99"/>
      <c r="L51" s="95"/>
      <c r="M51" s="95"/>
      <c r="N51" s="99"/>
      <c r="O51" s="199"/>
    </row>
    <row r="52" spans="1:15" ht="15.75" hidden="1" x14ac:dyDescent="0.25">
      <c r="A52" s="283"/>
      <c r="B52" s="95"/>
      <c r="C52" s="95"/>
      <c r="D52" s="96"/>
      <c r="E52" s="95"/>
      <c r="F52" s="95"/>
      <c r="G52" s="99"/>
      <c r="H52" s="199"/>
      <c r="I52" s="95"/>
      <c r="J52" s="95"/>
      <c r="K52" s="99"/>
      <c r="L52" s="95"/>
      <c r="M52" s="95"/>
      <c r="N52" s="99"/>
      <c r="O52" s="199"/>
    </row>
    <row r="53" spans="1:15" ht="15.75" hidden="1" x14ac:dyDescent="0.25">
      <c r="A53" s="283"/>
      <c r="B53" s="95"/>
      <c r="C53" s="95"/>
      <c r="D53" s="96"/>
      <c r="E53" s="95"/>
      <c r="F53" s="95"/>
      <c r="G53" s="99"/>
      <c r="H53" s="199"/>
      <c r="I53" s="95"/>
      <c r="J53" s="95"/>
      <c r="K53" s="99"/>
      <c r="L53" s="95"/>
      <c r="M53" s="95"/>
      <c r="N53" s="99"/>
      <c r="O53" s="199"/>
    </row>
    <row r="54" spans="1:15" ht="15.75" hidden="1" x14ac:dyDescent="0.25">
      <c r="A54" s="283" t="s">
        <v>74</v>
      </c>
      <c r="B54" s="95"/>
      <c r="C54" s="95"/>
      <c r="D54" s="96"/>
      <c r="E54" s="95"/>
      <c r="F54" s="95"/>
      <c r="G54" s="99"/>
      <c r="H54" s="199"/>
      <c r="I54" s="95"/>
      <c r="J54" s="95"/>
      <c r="K54" s="99"/>
      <c r="L54" s="95"/>
      <c r="M54" s="95"/>
      <c r="N54" s="99"/>
      <c r="O54" s="199"/>
    </row>
    <row r="55" spans="1:15" ht="15.75" hidden="1" x14ac:dyDescent="0.25">
      <c r="A55" s="283"/>
      <c r="B55" s="95"/>
      <c r="C55" s="95"/>
      <c r="D55" s="96"/>
      <c r="E55" s="95"/>
      <c r="F55" s="95"/>
      <c r="G55" s="99"/>
      <c r="H55" s="199"/>
      <c r="I55" s="95"/>
      <c r="J55" s="95"/>
      <c r="K55" s="99"/>
      <c r="L55" s="95"/>
      <c r="M55" s="95"/>
      <c r="N55" s="99"/>
      <c r="O55" s="199"/>
    </row>
    <row r="56" spans="1:15" ht="15.75" hidden="1" x14ac:dyDescent="0.25">
      <c r="A56" s="283"/>
      <c r="B56" s="95"/>
      <c r="C56" s="95"/>
      <c r="D56" s="96"/>
      <c r="E56" s="95"/>
      <c r="F56" s="95"/>
      <c r="G56" s="99"/>
      <c r="H56" s="199"/>
      <c r="I56" s="95"/>
      <c r="J56" s="95"/>
      <c r="K56" s="99"/>
      <c r="L56" s="95"/>
      <c r="M56" s="95"/>
      <c r="N56" s="99"/>
      <c r="O56" s="199"/>
    </row>
    <row r="57" spans="1:15" ht="15.75" hidden="1" x14ac:dyDescent="0.25">
      <c r="A57" s="283"/>
      <c r="B57" s="95"/>
      <c r="C57" s="95"/>
      <c r="D57" s="96"/>
      <c r="E57" s="95"/>
      <c r="F57" s="95"/>
      <c r="G57" s="99"/>
      <c r="H57" s="199"/>
      <c r="I57" s="95"/>
      <c r="J57" s="95"/>
      <c r="K57" s="99"/>
      <c r="L57" s="95"/>
      <c r="M57" s="95"/>
      <c r="N57" s="99"/>
      <c r="O57" s="199"/>
    </row>
    <row r="58" spans="1:15" ht="15.75" hidden="1" x14ac:dyDescent="0.25">
      <c r="A58" s="283" t="s">
        <v>186</v>
      </c>
      <c r="B58" s="95"/>
      <c r="C58" s="95"/>
      <c r="D58" s="96"/>
      <c r="E58" s="95"/>
      <c r="F58" s="95"/>
      <c r="G58" s="99"/>
      <c r="H58" s="199"/>
      <c r="I58" s="95"/>
      <c r="J58" s="95"/>
      <c r="K58" s="99"/>
      <c r="L58" s="95"/>
      <c r="M58" s="95"/>
      <c r="N58" s="99"/>
      <c r="O58" s="199"/>
    </row>
    <row r="59" spans="1:15" ht="15.75" hidden="1" x14ac:dyDescent="0.25">
      <c r="A59" s="283"/>
      <c r="B59" s="95"/>
      <c r="C59" s="95"/>
      <c r="D59" s="96"/>
      <c r="E59" s="95"/>
      <c r="F59" s="95"/>
      <c r="G59" s="99"/>
      <c r="H59" s="199"/>
      <c r="I59" s="95"/>
      <c r="J59" s="95"/>
      <c r="K59" s="99"/>
      <c r="L59" s="95"/>
      <c r="M59" s="95"/>
      <c r="N59" s="99"/>
      <c r="O59" s="199"/>
    </row>
    <row r="60" spans="1:15" ht="15.75" hidden="1" x14ac:dyDescent="0.25">
      <c r="A60" s="283"/>
      <c r="B60" s="95"/>
      <c r="C60" s="95"/>
      <c r="D60" s="96"/>
      <c r="E60" s="95"/>
      <c r="F60" s="95"/>
      <c r="G60" s="99"/>
      <c r="H60" s="199"/>
      <c r="I60" s="95"/>
      <c r="J60" s="95"/>
      <c r="K60" s="99"/>
      <c r="L60" s="95"/>
      <c r="M60" s="95"/>
      <c r="N60" s="99"/>
      <c r="O60" s="199"/>
    </row>
    <row r="61" spans="1:15" ht="15.75" hidden="1" x14ac:dyDescent="0.25">
      <c r="A61" s="168"/>
      <c r="B61" s="82">
        <v>0</v>
      </c>
      <c r="C61" s="82">
        <v>0</v>
      </c>
      <c r="D61" s="17"/>
      <c r="E61" s="82">
        <v>0</v>
      </c>
      <c r="F61" s="82">
        <v>0</v>
      </c>
      <c r="G61" s="99"/>
      <c r="H61" s="199"/>
      <c r="I61" s="82">
        <v>0</v>
      </c>
      <c r="J61" s="82">
        <v>0</v>
      </c>
      <c r="K61" s="99"/>
      <c r="L61" s="82">
        <v>0</v>
      </c>
      <c r="M61" s="82">
        <v>0</v>
      </c>
      <c r="N61" s="99"/>
      <c r="O61" s="199"/>
    </row>
    <row r="62" spans="1:15" ht="15.75" hidden="1" x14ac:dyDescent="0.25">
      <c r="A62" s="167" t="s">
        <v>157</v>
      </c>
      <c r="B62" s="95"/>
      <c r="C62" s="95"/>
      <c r="D62" s="96"/>
      <c r="E62" s="95"/>
      <c r="F62" s="95"/>
      <c r="G62" s="99"/>
      <c r="H62" s="199"/>
      <c r="I62" s="95"/>
      <c r="J62" s="95"/>
      <c r="K62" s="99"/>
      <c r="L62" s="95"/>
      <c r="M62" s="95"/>
      <c r="N62" s="99"/>
      <c r="O62" s="199"/>
    </row>
    <row r="63" spans="1:15" ht="15.75" hidden="1" x14ac:dyDescent="0.25">
      <c r="A63" s="288" t="s">
        <v>85</v>
      </c>
      <c r="B63" s="95"/>
      <c r="C63" s="95"/>
      <c r="D63" s="96"/>
      <c r="E63" s="95"/>
      <c r="F63" s="95"/>
      <c r="G63" s="99"/>
      <c r="H63" s="199"/>
      <c r="I63" s="95"/>
      <c r="J63" s="95"/>
      <c r="K63" s="99"/>
      <c r="L63" s="95"/>
      <c r="M63" s="95"/>
      <c r="N63" s="99"/>
      <c r="O63" s="199"/>
    </row>
    <row r="64" spans="1:15" ht="15.75" hidden="1" x14ac:dyDescent="0.25">
      <c r="A64" s="288"/>
      <c r="B64" s="95"/>
      <c r="C64" s="95"/>
      <c r="D64" s="96"/>
      <c r="E64" s="95"/>
      <c r="F64" s="95"/>
      <c r="G64" s="99"/>
      <c r="H64" s="199"/>
      <c r="I64" s="95"/>
      <c r="J64" s="95"/>
      <c r="K64" s="99"/>
      <c r="L64" s="95"/>
      <c r="M64" s="95"/>
      <c r="N64" s="99"/>
      <c r="O64" s="199"/>
    </row>
    <row r="65" spans="1:15" ht="15.75" hidden="1" x14ac:dyDescent="0.25">
      <c r="A65" s="283" t="s">
        <v>88</v>
      </c>
      <c r="B65" s="95"/>
      <c r="C65" s="95"/>
      <c r="D65" s="96"/>
      <c r="E65" s="95"/>
      <c r="F65" s="95"/>
      <c r="G65" s="99"/>
      <c r="H65" s="199"/>
      <c r="I65" s="95"/>
      <c r="J65" s="95"/>
      <c r="K65" s="99"/>
      <c r="L65" s="95"/>
      <c r="M65" s="95"/>
      <c r="N65" s="99"/>
      <c r="O65" s="199"/>
    </row>
    <row r="66" spans="1:15" ht="15.75" hidden="1" x14ac:dyDescent="0.25">
      <c r="A66" s="283"/>
      <c r="B66" s="95"/>
      <c r="C66" s="95"/>
      <c r="D66" s="96"/>
      <c r="E66" s="95"/>
      <c r="F66" s="95"/>
      <c r="G66" s="99"/>
      <c r="H66" s="199"/>
      <c r="I66" s="95"/>
      <c r="J66" s="95"/>
      <c r="K66" s="99"/>
      <c r="L66" s="95"/>
      <c r="M66" s="95"/>
      <c r="N66" s="99"/>
      <c r="O66" s="199"/>
    </row>
    <row r="67" spans="1:15" ht="15.75" hidden="1" x14ac:dyDescent="0.25">
      <c r="A67" s="283" t="s">
        <v>91</v>
      </c>
      <c r="B67" s="95"/>
      <c r="C67" s="95"/>
      <c r="D67" s="96"/>
      <c r="E67" s="95"/>
      <c r="F67" s="95"/>
      <c r="G67" s="99"/>
      <c r="H67" s="199"/>
      <c r="I67" s="95"/>
      <c r="J67" s="95"/>
      <c r="K67" s="99"/>
      <c r="L67" s="95"/>
      <c r="M67" s="95"/>
      <c r="N67" s="99"/>
      <c r="O67" s="199"/>
    </row>
    <row r="68" spans="1:15" ht="15.75" hidden="1" x14ac:dyDescent="0.25">
      <c r="A68" s="283"/>
      <c r="B68" s="95"/>
      <c r="C68" s="95"/>
      <c r="D68" s="96"/>
      <c r="E68" s="95"/>
      <c r="F68" s="95"/>
      <c r="G68" s="99"/>
      <c r="H68" s="199"/>
      <c r="I68" s="95"/>
      <c r="J68" s="95"/>
      <c r="K68" s="99"/>
      <c r="L68" s="95"/>
      <c r="M68" s="95"/>
      <c r="N68" s="99"/>
      <c r="O68" s="199"/>
    </row>
    <row r="69" spans="1:15" ht="15.75" hidden="1" x14ac:dyDescent="0.25">
      <c r="A69" s="283" t="s">
        <v>94</v>
      </c>
      <c r="B69" s="95"/>
      <c r="C69" s="95"/>
      <c r="D69" s="96"/>
      <c r="E69" s="95"/>
      <c r="F69" s="95"/>
      <c r="G69" s="99"/>
      <c r="H69" s="199"/>
      <c r="I69" s="95"/>
      <c r="J69" s="95"/>
      <c r="K69" s="99"/>
      <c r="L69" s="95"/>
      <c r="M69" s="95"/>
      <c r="N69" s="99"/>
      <c r="O69" s="199"/>
    </row>
    <row r="70" spans="1:15" ht="15.75" hidden="1" x14ac:dyDescent="0.25">
      <c r="A70" s="283"/>
      <c r="B70" s="95"/>
      <c r="C70" s="95"/>
      <c r="D70" s="96"/>
      <c r="E70" s="95"/>
      <c r="F70" s="95"/>
      <c r="G70" s="99"/>
      <c r="H70" s="199"/>
      <c r="I70" s="95"/>
      <c r="J70" s="95"/>
      <c r="K70" s="99"/>
      <c r="L70" s="95"/>
      <c r="M70" s="95"/>
      <c r="N70" s="99"/>
      <c r="O70" s="199"/>
    </row>
    <row r="71" spans="1:15" ht="15.75" hidden="1" x14ac:dyDescent="0.25">
      <c r="A71" s="283"/>
      <c r="B71" s="95"/>
      <c r="C71" s="95"/>
      <c r="D71" s="96"/>
      <c r="E71" s="95"/>
      <c r="F71" s="95"/>
      <c r="G71" s="99"/>
      <c r="H71" s="199"/>
      <c r="I71" s="95"/>
      <c r="J71" s="95"/>
      <c r="K71" s="99"/>
      <c r="L71" s="95"/>
      <c r="M71" s="95"/>
      <c r="N71" s="99"/>
      <c r="O71" s="199"/>
    </row>
    <row r="72" spans="1:15" ht="15.75" hidden="1" x14ac:dyDescent="0.25">
      <c r="A72" s="283"/>
      <c r="B72" s="95"/>
      <c r="C72" s="95"/>
      <c r="D72" s="96"/>
      <c r="E72" s="95"/>
      <c r="F72" s="95"/>
      <c r="G72" s="99"/>
      <c r="H72" s="199"/>
      <c r="I72" s="95"/>
      <c r="J72" s="95"/>
      <c r="K72" s="99"/>
      <c r="L72" s="95"/>
      <c r="M72" s="95"/>
      <c r="N72" s="99"/>
      <c r="O72" s="199"/>
    </row>
    <row r="73" spans="1:15" ht="15.75" hidden="1" x14ac:dyDescent="0.25">
      <c r="A73" s="283" t="s">
        <v>158</v>
      </c>
      <c r="B73" s="95"/>
      <c r="C73" s="95"/>
      <c r="D73" s="96"/>
      <c r="E73" s="95"/>
      <c r="F73" s="95"/>
      <c r="G73" s="99"/>
      <c r="H73" s="199"/>
      <c r="I73" s="95"/>
      <c r="J73" s="95"/>
      <c r="K73" s="99"/>
      <c r="L73" s="95"/>
      <c r="M73" s="95"/>
      <c r="N73" s="99"/>
      <c r="O73" s="199"/>
    </row>
    <row r="74" spans="1:15" ht="15.75" hidden="1" x14ac:dyDescent="0.25">
      <c r="A74" s="283"/>
      <c r="B74" s="95"/>
      <c r="C74" s="95"/>
      <c r="D74" s="96"/>
      <c r="E74" s="95"/>
      <c r="F74" s="95"/>
      <c r="G74" s="99"/>
      <c r="H74" s="199"/>
      <c r="I74" s="95"/>
      <c r="J74" s="95"/>
      <c r="K74" s="99"/>
      <c r="L74" s="95"/>
      <c r="M74" s="95"/>
      <c r="N74" s="99"/>
      <c r="O74" s="199"/>
    </row>
    <row r="75" spans="1:15" ht="15.75" hidden="1" x14ac:dyDescent="0.25">
      <c r="A75" s="283"/>
      <c r="B75" s="95"/>
      <c r="C75" s="95"/>
      <c r="D75" s="96"/>
      <c r="E75" s="95"/>
      <c r="F75" s="95"/>
      <c r="G75" s="99"/>
      <c r="H75" s="199"/>
      <c r="I75" s="95"/>
      <c r="J75" s="95"/>
      <c r="K75" s="99"/>
      <c r="L75" s="95"/>
      <c r="M75" s="95"/>
      <c r="N75" s="99"/>
      <c r="O75" s="199"/>
    </row>
    <row r="76" spans="1:15" ht="15.75" hidden="1" x14ac:dyDescent="0.25">
      <c r="A76" s="283" t="s">
        <v>159</v>
      </c>
      <c r="B76" s="95"/>
      <c r="C76" s="95"/>
      <c r="D76" s="96"/>
      <c r="E76" s="95"/>
      <c r="F76" s="95"/>
      <c r="G76" s="99"/>
      <c r="H76" s="199"/>
      <c r="I76" s="95"/>
      <c r="J76" s="95"/>
      <c r="K76" s="99"/>
      <c r="L76" s="95"/>
      <c r="M76" s="95"/>
      <c r="N76" s="99"/>
      <c r="O76" s="199"/>
    </row>
    <row r="77" spans="1:15" ht="15.75" hidden="1" x14ac:dyDescent="0.25">
      <c r="A77" s="283"/>
      <c r="B77" s="95"/>
      <c r="C77" s="95"/>
      <c r="D77" s="96"/>
      <c r="E77" s="95"/>
      <c r="F77" s="95"/>
      <c r="G77" s="99"/>
      <c r="H77" s="199"/>
      <c r="I77" s="95"/>
      <c r="J77" s="95"/>
      <c r="K77" s="99"/>
      <c r="L77" s="95"/>
      <c r="M77" s="95"/>
      <c r="N77" s="99"/>
      <c r="O77" s="199"/>
    </row>
    <row r="78" spans="1:15" ht="15.75" hidden="1" x14ac:dyDescent="0.25">
      <c r="A78" s="283"/>
      <c r="B78" s="95"/>
      <c r="C78" s="95"/>
      <c r="D78" s="96"/>
      <c r="E78" s="95"/>
      <c r="F78" s="95"/>
      <c r="G78" s="99"/>
      <c r="H78" s="199"/>
      <c r="I78" s="95"/>
      <c r="J78" s="95"/>
      <c r="K78" s="99"/>
      <c r="L78" s="95"/>
      <c r="M78" s="95"/>
      <c r="N78" s="99"/>
      <c r="O78" s="199"/>
    </row>
    <row r="79" spans="1:15" ht="15.75" hidden="1" x14ac:dyDescent="0.25">
      <c r="A79" s="168"/>
      <c r="B79" s="97">
        <v>0</v>
      </c>
      <c r="C79" s="97">
        <v>0</v>
      </c>
      <c r="D79" s="17"/>
      <c r="E79" s="97">
        <v>0</v>
      </c>
      <c r="F79" s="97">
        <v>0</v>
      </c>
      <c r="G79" s="99"/>
      <c r="H79" s="199"/>
      <c r="I79" s="97">
        <v>0</v>
      </c>
      <c r="J79" s="97">
        <v>0</v>
      </c>
      <c r="K79" s="99"/>
      <c r="L79" s="97">
        <v>0</v>
      </c>
      <c r="M79" s="97">
        <v>0</v>
      </c>
      <c r="N79" s="99"/>
      <c r="O79" s="199"/>
    </row>
    <row r="80" spans="1:15" ht="15.75" hidden="1" x14ac:dyDescent="0.25">
      <c r="A80" s="283" t="s">
        <v>108</v>
      </c>
      <c r="B80" s="95"/>
      <c r="C80" s="95"/>
      <c r="D80" s="96"/>
      <c r="E80" s="95"/>
      <c r="F80" s="95"/>
      <c r="G80" s="99"/>
      <c r="H80" s="199"/>
      <c r="I80" s="95"/>
      <c r="J80" s="95"/>
      <c r="K80" s="99"/>
      <c r="L80" s="95"/>
      <c r="M80" s="95"/>
      <c r="N80" s="99"/>
      <c r="O80" s="199"/>
    </row>
    <row r="81" spans="1:15" ht="15.75" hidden="1" x14ac:dyDescent="0.25">
      <c r="A81" s="283"/>
      <c r="B81" s="95"/>
      <c r="C81" s="95"/>
      <c r="D81" s="96"/>
      <c r="E81" s="95"/>
      <c r="F81" s="95"/>
      <c r="G81" s="99"/>
      <c r="H81" s="199"/>
      <c r="I81" s="95"/>
      <c r="J81" s="95"/>
      <c r="K81" s="99"/>
      <c r="L81" s="95"/>
      <c r="M81" s="95"/>
      <c r="N81" s="99"/>
      <c r="O81" s="199"/>
    </row>
    <row r="82" spans="1:15" ht="15.75" hidden="1" x14ac:dyDescent="0.25">
      <c r="A82" s="283"/>
      <c r="B82" s="95"/>
      <c r="C82" s="95"/>
      <c r="D82" s="96"/>
      <c r="E82" s="95"/>
      <c r="F82" s="95"/>
      <c r="G82" s="99"/>
      <c r="H82" s="199"/>
      <c r="I82" s="95"/>
      <c r="J82" s="95"/>
      <c r="K82" s="99"/>
      <c r="L82" s="95"/>
      <c r="M82" s="95"/>
      <c r="N82" s="99"/>
      <c r="O82" s="199"/>
    </row>
    <row r="83" spans="1:15" ht="15.75" hidden="1" x14ac:dyDescent="0.25">
      <c r="A83" s="167" t="s">
        <v>112</v>
      </c>
      <c r="B83" s="95"/>
      <c r="C83" s="95"/>
      <c r="D83" s="96"/>
      <c r="E83" s="95"/>
      <c r="F83" s="95"/>
      <c r="G83" s="99"/>
      <c r="H83" s="199"/>
      <c r="I83" s="95"/>
      <c r="J83" s="95"/>
      <c r="K83" s="99"/>
      <c r="L83" s="95"/>
      <c r="M83" s="95"/>
      <c r="N83" s="99"/>
      <c r="O83" s="199"/>
    </row>
    <row r="84" spans="1:15" ht="15.75" hidden="1" x14ac:dyDescent="0.25">
      <c r="A84" s="283" t="s">
        <v>160</v>
      </c>
      <c r="B84" s="95"/>
      <c r="C84" s="95"/>
      <c r="D84" s="96"/>
      <c r="E84" s="95"/>
      <c r="F84" s="95"/>
      <c r="G84" s="99"/>
      <c r="H84" s="199"/>
      <c r="I84" s="95"/>
      <c r="J84" s="95"/>
      <c r="K84" s="99"/>
      <c r="L84" s="95"/>
      <c r="M84" s="95"/>
      <c r="N84" s="99"/>
      <c r="O84" s="199"/>
    </row>
    <row r="85" spans="1:15" ht="15.75" hidden="1" x14ac:dyDescent="0.25">
      <c r="A85" s="283"/>
      <c r="B85" s="95"/>
      <c r="C85" s="95"/>
      <c r="D85" s="96"/>
      <c r="E85" s="95"/>
      <c r="F85" s="95"/>
      <c r="G85" s="99"/>
      <c r="H85" s="199"/>
      <c r="I85" s="95"/>
      <c r="J85" s="95"/>
      <c r="K85" s="99"/>
      <c r="L85" s="95"/>
      <c r="M85" s="95"/>
      <c r="N85" s="99"/>
      <c r="O85" s="199"/>
    </row>
    <row r="86" spans="1:15" ht="15.75" hidden="1" x14ac:dyDescent="0.25">
      <c r="A86" s="283"/>
      <c r="B86" s="95"/>
      <c r="C86" s="95"/>
      <c r="D86" s="96"/>
      <c r="E86" s="95"/>
      <c r="F86" s="95"/>
      <c r="G86" s="99"/>
      <c r="H86" s="199"/>
      <c r="I86" s="95"/>
      <c r="J86" s="95"/>
      <c r="K86" s="99"/>
      <c r="L86" s="95"/>
      <c r="M86" s="95"/>
      <c r="N86" s="99"/>
      <c r="O86" s="199"/>
    </row>
    <row r="87" spans="1:15" ht="15.75" hidden="1" x14ac:dyDescent="0.25">
      <c r="A87" s="168"/>
      <c r="B87" s="97">
        <v>0</v>
      </c>
      <c r="C87" s="97">
        <v>0</v>
      </c>
      <c r="D87" s="17"/>
      <c r="E87" s="97">
        <v>0</v>
      </c>
      <c r="F87" s="97">
        <v>0</v>
      </c>
      <c r="G87" s="99"/>
      <c r="H87" s="199"/>
      <c r="I87" s="97">
        <v>0</v>
      </c>
      <c r="J87" s="97">
        <v>0</v>
      </c>
      <c r="K87" s="99"/>
      <c r="L87" s="97">
        <v>0</v>
      </c>
      <c r="M87" s="97">
        <v>0</v>
      </c>
      <c r="N87" s="99"/>
      <c r="O87" s="199"/>
    </row>
    <row r="88" spans="1:15" ht="15.75" hidden="1" x14ac:dyDescent="0.25">
      <c r="A88" s="283" t="s">
        <v>119</v>
      </c>
      <c r="B88" s="95"/>
      <c r="C88" s="95"/>
      <c r="D88" s="96"/>
      <c r="E88" s="95"/>
      <c r="F88" s="95"/>
      <c r="G88" s="99"/>
      <c r="H88" s="199"/>
      <c r="I88" s="95"/>
      <c r="J88" s="95"/>
      <c r="K88" s="99"/>
      <c r="L88" s="95"/>
      <c r="M88" s="95"/>
      <c r="N88" s="99"/>
      <c r="O88" s="199"/>
    </row>
    <row r="89" spans="1:15" ht="15.75" hidden="1" x14ac:dyDescent="0.25">
      <c r="A89" s="283"/>
      <c r="B89" s="95"/>
      <c r="C89" s="95"/>
      <c r="D89" s="96"/>
      <c r="E89" s="95"/>
      <c r="F89" s="95"/>
      <c r="G89" s="99"/>
      <c r="H89" s="199"/>
      <c r="I89" s="95"/>
      <c r="J89" s="95"/>
      <c r="K89" s="99"/>
      <c r="L89" s="95"/>
      <c r="M89" s="95"/>
      <c r="N89" s="99"/>
      <c r="O89" s="199"/>
    </row>
    <row r="90" spans="1:15" ht="15.75" hidden="1" x14ac:dyDescent="0.25">
      <c r="A90" s="283"/>
      <c r="B90" s="95"/>
      <c r="C90" s="95"/>
      <c r="D90" s="96"/>
      <c r="E90" s="95"/>
      <c r="F90" s="95"/>
      <c r="G90" s="99"/>
      <c r="H90" s="199"/>
      <c r="I90" s="95"/>
      <c r="J90" s="95"/>
      <c r="K90" s="99"/>
      <c r="L90" s="95"/>
      <c r="M90" s="95"/>
      <c r="N90" s="99"/>
      <c r="O90" s="199"/>
    </row>
    <row r="91" spans="1:15" ht="15.75" hidden="1" x14ac:dyDescent="0.25">
      <c r="A91" s="283" t="s">
        <v>123</v>
      </c>
      <c r="B91" s="95"/>
      <c r="C91" s="95"/>
      <c r="D91" s="96"/>
      <c r="E91" s="95"/>
      <c r="F91" s="95"/>
      <c r="G91" s="99"/>
      <c r="H91" s="199"/>
      <c r="I91" s="95"/>
      <c r="J91" s="95"/>
      <c r="K91" s="99"/>
      <c r="L91" s="95"/>
      <c r="M91" s="95"/>
      <c r="N91" s="99"/>
      <c r="O91" s="199"/>
    </row>
    <row r="92" spans="1:15" ht="15.75" hidden="1" x14ac:dyDescent="0.25">
      <c r="A92" s="283"/>
      <c r="B92" s="95"/>
      <c r="C92" s="95"/>
      <c r="D92" s="96"/>
      <c r="E92" s="95"/>
      <c r="F92" s="95"/>
      <c r="G92" s="99"/>
      <c r="H92" s="199"/>
      <c r="I92" s="95"/>
      <c r="J92" s="95"/>
      <c r="K92" s="99"/>
      <c r="L92" s="95"/>
      <c r="M92" s="95"/>
      <c r="N92" s="99"/>
      <c r="O92" s="199"/>
    </row>
    <row r="93" spans="1:15" ht="15.75" hidden="1" x14ac:dyDescent="0.25">
      <c r="A93" s="283"/>
      <c r="B93" s="95"/>
      <c r="C93" s="95"/>
      <c r="D93" s="96"/>
      <c r="E93" s="95"/>
      <c r="F93" s="95"/>
      <c r="G93" s="99"/>
      <c r="H93" s="199"/>
      <c r="I93" s="95"/>
      <c r="J93" s="95"/>
      <c r="K93" s="99"/>
      <c r="L93" s="95"/>
      <c r="M93" s="95"/>
      <c r="N93" s="99"/>
      <c r="O93" s="199"/>
    </row>
    <row r="94" spans="1:15" ht="15.75" hidden="1" x14ac:dyDescent="0.25">
      <c r="A94" s="283" t="s">
        <v>161</v>
      </c>
      <c r="B94" s="95"/>
      <c r="C94" s="95"/>
      <c r="D94" s="96"/>
      <c r="E94" s="95"/>
      <c r="F94" s="95"/>
      <c r="G94" s="99"/>
      <c r="H94" s="199"/>
      <c r="I94" s="95"/>
      <c r="J94" s="95"/>
      <c r="K94" s="99"/>
      <c r="L94" s="95"/>
      <c r="M94" s="95"/>
      <c r="N94" s="99"/>
      <c r="O94" s="199"/>
    </row>
    <row r="95" spans="1:15" ht="15.75" hidden="1" x14ac:dyDescent="0.25">
      <c r="A95" s="283"/>
      <c r="B95" s="95"/>
      <c r="C95" s="95"/>
      <c r="D95" s="96"/>
      <c r="E95" s="95"/>
      <c r="F95" s="95"/>
      <c r="G95" s="99"/>
      <c r="H95" s="199"/>
      <c r="I95" s="95"/>
      <c r="J95" s="95"/>
      <c r="K95" s="99"/>
      <c r="L95" s="95"/>
      <c r="M95" s="95"/>
      <c r="N95" s="99"/>
      <c r="O95" s="199"/>
    </row>
    <row r="96" spans="1:15" ht="15.75" hidden="1" x14ac:dyDescent="0.25">
      <c r="A96" s="283" t="s">
        <v>130</v>
      </c>
      <c r="B96" s="95"/>
      <c r="C96" s="95"/>
      <c r="D96" s="96"/>
      <c r="E96" s="95"/>
      <c r="F96" s="95"/>
      <c r="G96" s="99"/>
      <c r="H96" s="199"/>
      <c r="I96" s="95"/>
      <c r="J96" s="95"/>
      <c r="K96" s="99"/>
      <c r="L96" s="95"/>
      <c r="M96" s="95"/>
      <c r="N96" s="99"/>
      <c r="O96" s="199"/>
    </row>
    <row r="97" spans="1:15" ht="15.75" hidden="1" x14ac:dyDescent="0.25">
      <c r="A97" s="283"/>
      <c r="B97" s="95"/>
      <c r="C97" s="95"/>
      <c r="D97" s="96"/>
      <c r="E97" s="95"/>
      <c r="F97" s="95"/>
      <c r="G97" s="99"/>
      <c r="H97" s="199"/>
      <c r="I97" s="95"/>
      <c r="J97" s="95"/>
      <c r="K97" s="99"/>
      <c r="L97" s="95"/>
      <c r="M97" s="95"/>
      <c r="N97" s="99"/>
      <c r="O97" s="199"/>
    </row>
    <row r="98" spans="1:15" ht="15.75" hidden="1" x14ac:dyDescent="0.25">
      <c r="A98" s="283" t="s">
        <v>133</v>
      </c>
      <c r="B98" s="95"/>
      <c r="C98" s="95"/>
      <c r="D98" s="96"/>
      <c r="E98" s="95"/>
      <c r="F98" s="95"/>
      <c r="G98" s="99"/>
      <c r="H98" s="199"/>
      <c r="I98" s="95"/>
      <c r="J98" s="95"/>
      <c r="K98" s="99"/>
      <c r="L98" s="95"/>
      <c r="M98" s="95"/>
      <c r="N98" s="99"/>
      <c r="O98" s="199"/>
    </row>
    <row r="99" spans="1:15" ht="15.75" hidden="1" x14ac:dyDescent="0.25">
      <c r="A99" s="283"/>
      <c r="B99" s="95"/>
      <c r="C99" s="95"/>
      <c r="D99" s="96"/>
      <c r="E99" s="95"/>
      <c r="F99" s="95"/>
      <c r="G99" s="99"/>
      <c r="H99" s="199"/>
      <c r="I99" s="95"/>
      <c r="J99" s="95"/>
      <c r="K99" s="99"/>
      <c r="L99" s="95"/>
      <c r="M99" s="95"/>
      <c r="N99" s="99"/>
      <c r="O99" s="199"/>
    </row>
    <row r="100" spans="1:15" ht="15.75" hidden="1" x14ac:dyDescent="0.25">
      <c r="A100" s="283" t="s">
        <v>136</v>
      </c>
      <c r="B100" s="95"/>
      <c r="C100" s="95"/>
      <c r="D100" s="96"/>
      <c r="E100" s="95"/>
      <c r="F100" s="95"/>
      <c r="G100" s="99"/>
      <c r="H100" s="199"/>
      <c r="I100" s="95"/>
      <c r="J100" s="95"/>
      <c r="K100" s="99"/>
      <c r="L100" s="95"/>
      <c r="M100" s="95"/>
      <c r="N100" s="99"/>
      <c r="O100" s="199"/>
    </row>
    <row r="101" spans="1:15" ht="15.75" hidden="1" x14ac:dyDescent="0.25">
      <c r="A101" s="283"/>
      <c r="B101" s="95"/>
      <c r="C101" s="95"/>
      <c r="D101" s="96"/>
      <c r="E101" s="95"/>
      <c r="F101" s="95"/>
      <c r="G101" s="99"/>
      <c r="H101" s="199"/>
      <c r="I101" s="95"/>
      <c r="J101" s="95"/>
      <c r="K101" s="99"/>
      <c r="L101" s="95"/>
      <c r="M101" s="95"/>
      <c r="N101" s="99"/>
      <c r="O101" s="199"/>
    </row>
    <row r="102" spans="1:15" ht="15.75" hidden="1" x14ac:dyDescent="0.25">
      <c r="A102" s="283"/>
      <c r="B102" s="95"/>
      <c r="C102" s="95"/>
      <c r="D102" s="96"/>
      <c r="E102" s="95"/>
      <c r="F102" s="95"/>
      <c r="G102" s="99"/>
      <c r="H102" s="199"/>
      <c r="I102" s="95"/>
      <c r="J102" s="95"/>
      <c r="K102" s="99"/>
      <c r="L102" s="95"/>
      <c r="M102" s="95"/>
      <c r="N102" s="99"/>
      <c r="O102" s="199"/>
    </row>
    <row r="103" spans="1:15" ht="15.75" hidden="1" x14ac:dyDescent="0.25">
      <c r="A103" s="168"/>
      <c r="B103" s="82">
        <v>0</v>
      </c>
      <c r="C103" s="82">
        <v>0</v>
      </c>
      <c r="D103" s="17"/>
      <c r="E103" s="82">
        <v>0</v>
      </c>
      <c r="F103" s="82">
        <v>0</v>
      </c>
      <c r="G103" s="99"/>
      <c r="H103" s="199"/>
      <c r="I103" s="82">
        <v>0</v>
      </c>
      <c r="J103" s="82">
        <v>0</v>
      </c>
      <c r="K103" s="99"/>
      <c r="L103" s="82">
        <v>0</v>
      </c>
      <c r="M103" s="82">
        <v>0</v>
      </c>
      <c r="N103" s="99"/>
      <c r="O103" s="199"/>
    </row>
    <row r="104" spans="1:15" ht="15.75" x14ac:dyDescent="0.25">
      <c r="A104" s="168" t="s">
        <v>232</v>
      </c>
      <c r="B104" s="82">
        <v>2</v>
      </c>
      <c r="C104" s="82">
        <v>93</v>
      </c>
      <c r="D104" s="17">
        <f>84/93</f>
        <v>0.90322580645161288</v>
      </c>
      <c r="E104" s="82">
        <v>2</v>
      </c>
      <c r="F104" s="82">
        <v>93</v>
      </c>
      <c r="G104" s="17">
        <f>81/93</f>
        <v>0.87096774193548387</v>
      </c>
      <c r="H104" s="239">
        <v>5.2999999999999999E-2</v>
      </c>
      <c r="I104" s="82">
        <v>2</v>
      </c>
      <c r="J104" s="82">
        <v>93</v>
      </c>
      <c r="K104" s="17">
        <v>0.89</v>
      </c>
      <c r="L104" s="82">
        <v>2</v>
      </c>
      <c r="M104" s="82">
        <v>93</v>
      </c>
      <c r="N104" s="17">
        <v>0.81</v>
      </c>
      <c r="O104" s="239">
        <v>5.6399999999999999E-2</v>
      </c>
    </row>
    <row r="105" spans="1:15" x14ac:dyDescent="0.25">
      <c r="B105" s="28"/>
      <c r="C105" s="28"/>
      <c r="D105" s="29"/>
      <c r="E105" s="1"/>
      <c r="F105" s="1"/>
      <c r="G105" s="1"/>
    </row>
    <row r="106" spans="1:15" x14ac:dyDescent="0.25">
      <c r="A106" s="30"/>
      <c r="B106" s="31"/>
      <c r="C106" s="31"/>
      <c r="D106" s="32"/>
      <c r="E106" s="31"/>
      <c r="F106" s="1"/>
      <c r="G106" s="1"/>
    </row>
    <row r="107" spans="1:15" x14ac:dyDescent="0.25">
      <c r="A107" s="1"/>
      <c r="B107" s="1"/>
      <c r="C107" s="1"/>
      <c r="D107" s="1"/>
      <c r="E107" s="1"/>
      <c r="F107" s="1"/>
      <c r="G107" s="1"/>
    </row>
    <row r="108" spans="1:15" x14ac:dyDescent="0.25">
      <c r="A108" s="1"/>
      <c r="B108" s="1"/>
      <c r="C108" s="1"/>
      <c r="D108" s="1"/>
      <c r="E108" s="1"/>
      <c r="F108" s="1"/>
      <c r="G108" s="1"/>
    </row>
    <row r="109" spans="1:15" x14ac:dyDescent="0.25">
      <c r="A109" s="1"/>
      <c r="B109" s="1"/>
      <c r="C109" s="1"/>
      <c r="D109" s="1"/>
      <c r="E109" s="1"/>
      <c r="F109" s="1"/>
      <c r="G109" s="1"/>
    </row>
  </sheetData>
  <mergeCells count="50">
    <mergeCell ref="L5:O5"/>
    <mergeCell ref="A1:D1"/>
    <mergeCell ref="A2:D2"/>
    <mergeCell ref="B5:D5"/>
    <mergeCell ref="E5:H5"/>
    <mergeCell ref="I5:K5"/>
    <mergeCell ref="A4:Q4"/>
    <mergeCell ref="N6:N7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A100:A102"/>
    <mergeCell ref="A45:A47"/>
    <mergeCell ref="A8:A9"/>
    <mergeCell ref="A10:A12"/>
    <mergeCell ref="A13:A15"/>
    <mergeCell ref="A17:A19"/>
    <mergeCell ref="A22:A23"/>
    <mergeCell ref="A24:A26"/>
    <mergeCell ref="A28:A32"/>
    <mergeCell ref="A33:A38"/>
    <mergeCell ref="A39:A42"/>
    <mergeCell ref="A20:A21"/>
    <mergeCell ref="A84:A86"/>
    <mergeCell ref="A88:A90"/>
    <mergeCell ref="A48:A53"/>
    <mergeCell ref="A54:A57"/>
    <mergeCell ref="O6:O7"/>
    <mergeCell ref="A91:A93"/>
    <mergeCell ref="A94:A95"/>
    <mergeCell ref="A96:A97"/>
    <mergeCell ref="A98:A99"/>
    <mergeCell ref="K6:K7"/>
    <mergeCell ref="L6:L7"/>
    <mergeCell ref="M6:M7"/>
    <mergeCell ref="A58:A60"/>
    <mergeCell ref="A63:A64"/>
    <mergeCell ref="A65:A66"/>
    <mergeCell ref="A67:A68"/>
    <mergeCell ref="A69:A72"/>
    <mergeCell ref="A73:A75"/>
    <mergeCell ref="A76:A78"/>
    <mergeCell ref="A80:A8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2A525-C236-44EE-9A63-DD964F158637}">
  <dimension ref="A1:AK14"/>
  <sheetViews>
    <sheetView zoomScale="75" zoomScaleNormal="75" workbookViewId="0">
      <pane xSplit="1" topLeftCell="B1" activePane="topRight" state="frozen"/>
      <selection pane="topRight" activeCell="J19" sqref="J19"/>
    </sheetView>
  </sheetViews>
  <sheetFormatPr defaultRowHeight="15" x14ac:dyDescent="0.25"/>
  <cols>
    <col min="1" max="1" width="25.85546875" style="1" customWidth="1"/>
    <col min="2" max="2" width="14" style="1" customWidth="1"/>
    <col min="3" max="3" width="12.85546875" style="1" customWidth="1"/>
    <col min="4" max="4" width="14.42578125" style="1" customWidth="1"/>
    <col min="5" max="5" width="13.28515625" style="1" customWidth="1"/>
    <col min="6" max="6" width="12.42578125" style="1" customWidth="1"/>
    <col min="7" max="7" width="15.85546875" style="1" customWidth="1"/>
    <col min="8" max="8" width="26.85546875" style="1" customWidth="1"/>
    <col min="9" max="9" width="12.140625" style="1" customWidth="1"/>
    <col min="10" max="10" width="11.42578125" style="1" customWidth="1"/>
    <col min="11" max="11" width="14.140625" style="1" customWidth="1"/>
    <col min="12" max="12" width="12.42578125" style="1" customWidth="1"/>
    <col min="13" max="13" width="11.5703125" style="1" customWidth="1"/>
    <col min="14" max="14" width="14.42578125" style="1" customWidth="1"/>
    <col min="15" max="15" width="28.28515625" style="1" customWidth="1"/>
    <col min="16" max="244" width="9.140625" style="1"/>
    <col min="245" max="245" width="12.140625" style="1" bestFit="1" customWidth="1"/>
    <col min="246" max="246" width="26.42578125" style="1" bestFit="1" customWidth="1"/>
    <col min="247" max="247" width="26.42578125" style="1" customWidth="1"/>
    <col min="248" max="248" width="12.7109375" style="1" customWidth="1"/>
    <col min="249" max="249" width="13" style="1" customWidth="1"/>
    <col min="250" max="250" width="13.85546875" style="1" customWidth="1"/>
    <col min="251" max="251" width="12" style="1" customWidth="1"/>
    <col min="252" max="252" width="11.85546875" style="1" customWidth="1"/>
    <col min="253" max="253" width="13.140625" style="1" customWidth="1"/>
    <col min="254" max="254" width="13.28515625" style="1" customWidth="1"/>
    <col min="255" max="255" width="14.28515625" style="1" customWidth="1"/>
    <col min="256" max="256" width="14.7109375" style="1" customWidth="1"/>
    <col min="257" max="500" width="9.140625" style="1"/>
    <col min="501" max="501" width="12.140625" style="1" bestFit="1" customWidth="1"/>
    <col min="502" max="502" width="26.42578125" style="1" bestFit="1" customWidth="1"/>
    <col min="503" max="503" width="26.42578125" style="1" customWidth="1"/>
    <col min="504" max="504" width="12.7109375" style="1" customWidth="1"/>
    <col min="505" max="505" width="13" style="1" customWidth="1"/>
    <col min="506" max="506" width="13.85546875" style="1" customWidth="1"/>
    <col min="507" max="507" width="12" style="1" customWidth="1"/>
    <col min="508" max="508" width="11.85546875" style="1" customWidth="1"/>
    <col min="509" max="509" width="13.140625" style="1" customWidth="1"/>
    <col min="510" max="510" width="13.28515625" style="1" customWidth="1"/>
    <col min="511" max="511" width="14.28515625" style="1" customWidth="1"/>
    <col min="512" max="512" width="14.7109375" style="1" customWidth="1"/>
    <col min="513" max="756" width="9.140625" style="1"/>
    <col min="757" max="757" width="12.140625" style="1" bestFit="1" customWidth="1"/>
    <col min="758" max="758" width="26.42578125" style="1" bestFit="1" customWidth="1"/>
    <col min="759" max="759" width="26.42578125" style="1" customWidth="1"/>
    <col min="760" max="760" width="12.7109375" style="1" customWidth="1"/>
    <col min="761" max="761" width="13" style="1" customWidth="1"/>
    <col min="762" max="762" width="13.85546875" style="1" customWidth="1"/>
    <col min="763" max="763" width="12" style="1" customWidth="1"/>
    <col min="764" max="764" width="11.85546875" style="1" customWidth="1"/>
    <col min="765" max="765" width="13.140625" style="1" customWidth="1"/>
    <col min="766" max="766" width="13.28515625" style="1" customWidth="1"/>
    <col min="767" max="767" width="14.28515625" style="1" customWidth="1"/>
    <col min="768" max="768" width="14.7109375" style="1" customWidth="1"/>
    <col min="769" max="1012" width="9.140625" style="1"/>
    <col min="1013" max="1013" width="12.140625" style="1" bestFit="1" customWidth="1"/>
    <col min="1014" max="1014" width="26.42578125" style="1" bestFit="1" customWidth="1"/>
    <col min="1015" max="1015" width="26.42578125" style="1" customWidth="1"/>
    <col min="1016" max="1016" width="12.7109375" style="1" customWidth="1"/>
    <col min="1017" max="1017" width="13" style="1" customWidth="1"/>
    <col min="1018" max="1018" width="13.85546875" style="1" customWidth="1"/>
    <col min="1019" max="1019" width="12" style="1" customWidth="1"/>
    <col min="1020" max="1020" width="11.85546875" style="1" customWidth="1"/>
    <col min="1021" max="1021" width="13.140625" style="1" customWidth="1"/>
    <col min="1022" max="1022" width="13.28515625" style="1" customWidth="1"/>
    <col min="1023" max="1023" width="14.28515625" style="1" customWidth="1"/>
    <col min="1024" max="1024" width="14.7109375" style="1" customWidth="1"/>
    <col min="1025" max="1268" width="9.140625" style="1"/>
    <col min="1269" max="1269" width="12.140625" style="1" bestFit="1" customWidth="1"/>
    <col min="1270" max="1270" width="26.42578125" style="1" bestFit="1" customWidth="1"/>
    <col min="1271" max="1271" width="26.42578125" style="1" customWidth="1"/>
    <col min="1272" max="1272" width="12.7109375" style="1" customWidth="1"/>
    <col min="1273" max="1273" width="13" style="1" customWidth="1"/>
    <col min="1274" max="1274" width="13.85546875" style="1" customWidth="1"/>
    <col min="1275" max="1275" width="12" style="1" customWidth="1"/>
    <col min="1276" max="1276" width="11.85546875" style="1" customWidth="1"/>
    <col min="1277" max="1277" width="13.140625" style="1" customWidth="1"/>
    <col min="1278" max="1278" width="13.28515625" style="1" customWidth="1"/>
    <col min="1279" max="1279" width="14.28515625" style="1" customWidth="1"/>
    <col min="1280" max="1280" width="14.7109375" style="1" customWidth="1"/>
    <col min="1281" max="1524" width="9.140625" style="1"/>
    <col min="1525" max="1525" width="12.140625" style="1" bestFit="1" customWidth="1"/>
    <col min="1526" max="1526" width="26.42578125" style="1" bestFit="1" customWidth="1"/>
    <col min="1527" max="1527" width="26.42578125" style="1" customWidth="1"/>
    <col min="1528" max="1528" width="12.7109375" style="1" customWidth="1"/>
    <col min="1529" max="1529" width="13" style="1" customWidth="1"/>
    <col min="1530" max="1530" width="13.85546875" style="1" customWidth="1"/>
    <col min="1531" max="1531" width="12" style="1" customWidth="1"/>
    <col min="1532" max="1532" width="11.85546875" style="1" customWidth="1"/>
    <col min="1533" max="1533" width="13.140625" style="1" customWidth="1"/>
    <col min="1534" max="1534" width="13.28515625" style="1" customWidth="1"/>
    <col min="1535" max="1535" width="14.28515625" style="1" customWidth="1"/>
    <col min="1536" max="1536" width="14.7109375" style="1" customWidth="1"/>
    <col min="1537" max="1780" width="9.140625" style="1"/>
    <col min="1781" max="1781" width="12.140625" style="1" bestFit="1" customWidth="1"/>
    <col min="1782" max="1782" width="26.42578125" style="1" bestFit="1" customWidth="1"/>
    <col min="1783" max="1783" width="26.42578125" style="1" customWidth="1"/>
    <col min="1784" max="1784" width="12.7109375" style="1" customWidth="1"/>
    <col min="1785" max="1785" width="13" style="1" customWidth="1"/>
    <col min="1786" max="1786" width="13.85546875" style="1" customWidth="1"/>
    <col min="1787" max="1787" width="12" style="1" customWidth="1"/>
    <col min="1788" max="1788" width="11.85546875" style="1" customWidth="1"/>
    <col min="1789" max="1789" width="13.140625" style="1" customWidth="1"/>
    <col min="1790" max="1790" width="13.28515625" style="1" customWidth="1"/>
    <col min="1791" max="1791" width="14.28515625" style="1" customWidth="1"/>
    <col min="1792" max="1792" width="14.7109375" style="1" customWidth="1"/>
    <col min="1793" max="2036" width="9.140625" style="1"/>
    <col min="2037" max="2037" width="12.140625" style="1" bestFit="1" customWidth="1"/>
    <col min="2038" max="2038" width="26.42578125" style="1" bestFit="1" customWidth="1"/>
    <col min="2039" max="2039" width="26.42578125" style="1" customWidth="1"/>
    <col min="2040" max="2040" width="12.7109375" style="1" customWidth="1"/>
    <col min="2041" max="2041" width="13" style="1" customWidth="1"/>
    <col min="2042" max="2042" width="13.85546875" style="1" customWidth="1"/>
    <col min="2043" max="2043" width="12" style="1" customWidth="1"/>
    <col min="2044" max="2044" width="11.85546875" style="1" customWidth="1"/>
    <col min="2045" max="2045" width="13.140625" style="1" customWidth="1"/>
    <col min="2046" max="2046" width="13.28515625" style="1" customWidth="1"/>
    <col min="2047" max="2047" width="14.28515625" style="1" customWidth="1"/>
    <col min="2048" max="2048" width="14.7109375" style="1" customWidth="1"/>
    <col min="2049" max="2292" width="9.140625" style="1"/>
    <col min="2293" max="2293" width="12.140625" style="1" bestFit="1" customWidth="1"/>
    <col min="2294" max="2294" width="26.42578125" style="1" bestFit="1" customWidth="1"/>
    <col min="2295" max="2295" width="26.42578125" style="1" customWidth="1"/>
    <col min="2296" max="2296" width="12.7109375" style="1" customWidth="1"/>
    <col min="2297" max="2297" width="13" style="1" customWidth="1"/>
    <col min="2298" max="2298" width="13.85546875" style="1" customWidth="1"/>
    <col min="2299" max="2299" width="12" style="1" customWidth="1"/>
    <col min="2300" max="2300" width="11.85546875" style="1" customWidth="1"/>
    <col min="2301" max="2301" width="13.140625" style="1" customWidth="1"/>
    <col min="2302" max="2302" width="13.28515625" style="1" customWidth="1"/>
    <col min="2303" max="2303" width="14.28515625" style="1" customWidth="1"/>
    <col min="2304" max="2304" width="14.7109375" style="1" customWidth="1"/>
    <col min="2305" max="2548" width="9.140625" style="1"/>
    <col min="2549" max="2549" width="12.140625" style="1" bestFit="1" customWidth="1"/>
    <col min="2550" max="2550" width="26.42578125" style="1" bestFit="1" customWidth="1"/>
    <col min="2551" max="2551" width="26.42578125" style="1" customWidth="1"/>
    <col min="2552" max="2552" width="12.7109375" style="1" customWidth="1"/>
    <col min="2553" max="2553" width="13" style="1" customWidth="1"/>
    <col min="2554" max="2554" width="13.85546875" style="1" customWidth="1"/>
    <col min="2555" max="2555" width="12" style="1" customWidth="1"/>
    <col min="2556" max="2556" width="11.85546875" style="1" customWidth="1"/>
    <col min="2557" max="2557" width="13.140625" style="1" customWidth="1"/>
    <col min="2558" max="2558" width="13.28515625" style="1" customWidth="1"/>
    <col min="2559" max="2559" width="14.28515625" style="1" customWidth="1"/>
    <col min="2560" max="2560" width="14.7109375" style="1" customWidth="1"/>
    <col min="2561" max="2804" width="9.140625" style="1"/>
    <col min="2805" max="2805" width="12.140625" style="1" bestFit="1" customWidth="1"/>
    <col min="2806" max="2806" width="26.42578125" style="1" bestFit="1" customWidth="1"/>
    <col min="2807" max="2807" width="26.42578125" style="1" customWidth="1"/>
    <col min="2808" max="2808" width="12.7109375" style="1" customWidth="1"/>
    <col min="2809" max="2809" width="13" style="1" customWidth="1"/>
    <col min="2810" max="2810" width="13.85546875" style="1" customWidth="1"/>
    <col min="2811" max="2811" width="12" style="1" customWidth="1"/>
    <col min="2812" max="2812" width="11.85546875" style="1" customWidth="1"/>
    <col min="2813" max="2813" width="13.140625" style="1" customWidth="1"/>
    <col min="2814" max="2814" width="13.28515625" style="1" customWidth="1"/>
    <col min="2815" max="2815" width="14.28515625" style="1" customWidth="1"/>
    <col min="2816" max="2816" width="14.7109375" style="1" customWidth="1"/>
    <col min="2817" max="3060" width="9.140625" style="1"/>
    <col min="3061" max="3061" width="12.140625" style="1" bestFit="1" customWidth="1"/>
    <col min="3062" max="3062" width="26.42578125" style="1" bestFit="1" customWidth="1"/>
    <col min="3063" max="3063" width="26.42578125" style="1" customWidth="1"/>
    <col min="3064" max="3064" width="12.7109375" style="1" customWidth="1"/>
    <col min="3065" max="3065" width="13" style="1" customWidth="1"/>
    <col min="3066" max="3066" width="13.85546875" style="1" customWidth="1"/>
    <col min="3067" max="3067" width="12" style="1" customWidth="1"/>
    <col min="3068" max="3068" width="11.85546875" style="1" customWidth="1"/>
    <col min="3069" max="3069" width="13.140625" style="1" customWidth="1"/>
    <col min="3070" max="3070" width="13.28515625" style="1" customWidth="1"/>
    <col min="3071" max="3071" width="14.28515625" style="1" customWidth="1"/>
    <col min="3072" max="3072" width="14.7109375" style="1" customWidth="1"/>
    <col min="3073" max="3316" width="9.140625" style="1"/>
    <col min="3317" max="3317" width="12.140625" style="1" bestFit="1" customWidth="1"/>
    <col min="3318" max="3318" width="26.42578125" style="1" bestFit="1" customWidth="1"/>
    <col min="3319" max="3319" width="26.42578125" style="1" customWidth="1"/>
    <col min="3320" max="3320" width="12.7109375" style="1" customWidth="1"/>
    <col min="3321" max="3321" width="13" style="1" customWidth="1"/>
    <col min="3322" max="3322" width="13.85546875" style="1" customWidth="1"/>
    <col min="3323" max="3323" width="12" style="1" customWidth="1"/>
    <col min="3324" max="3324" width="11.85546875" style="1" customWidth="1"/>
    <col min="3325" max="3325" width="13.140625" style="1" customWidth="1"/>
    <col min="3326" max="3326" width="13.28515625" style="1" customWidth="1"/>
    <col min="3327" max="3327" width="14.28515625" style="1" customWidth="1"/>
    <col min="3328" max="3328" width="14.7109375" style="1" customWidth="1"/>
    <col min="3329" max="3572" width="9.140625" style="1"/>
    <col min="3573" max="3573" width="12.140625" style="1" bestFit="1" customWidth="1"/>
    <col min="3574" max="3574" width="26.42578125" style="1" bestFit="1" customWidth="1"/>
    <col min="3575" max="3575" width="26.42578125" style="1" customWidth="1"/>
    <col min="3576" max="3576" width="12.7109375" style="1" customWidth="1"/>
    <col min="3577" max="3577" width="13" style="1" customWidth="1"/>
    <col min="3578" max="3578" width="13.85546875" style="1" customWidth="1"/>
    <col min="3579" max="3579" width="12" style="1" customWidth="1"/>
    <col min="3580" max="3580" width="11.85546875" style="1" customWidth="1"/>
    <col min="3581" max="3581" width="13.140625" style="1" customWidth="1"/>
    <col min="3582" max="3582" width="13.28515625" style="1" customWidth="1"/>
    <col min="3583" max="3583" width="14.28515625" style="1" customWidth="1"/>
    <col min="3584" max="3584" width="14.7109375" style="1" customWidth="1"/>
    <col min="3585" max="3828" width="9.140625" style="1"/>
    <col min="3829" max="3829" width="12.140625" style="1" bestFit="1" customWidth="1"/>
    <col min="3830" max="3830" width="26.42578125" style="1" bestFit="1" customWidth="1"/>
    <col min="3831" max="3831" width="26.42578125" style="1" customWidth="1"/>
    <col min="3832" max="3832" width="12.7109375" style="1" customWidth="1"/>
    <col min="3833" max="3833" width="13" style="1" customWidth="1"/>
    <col min="3834" max="3834" width="13.85546875" style="1" customWidth="1"/>
    <col min="3835" max="3835" width="12" style="1" customWidth="1"/>
    <col min="3836" max="3836" width="11.85546875" style="1" customWidth="1"/>
    <col min="3837" max="3837" width="13.140625" style="1" customWidth="1"/>
    <col min="3838" max="3838" width="13.28515625" style="1" customWidth="1"/>
    <col min="3839" max="3839" width="14.28515625" style="1" customWidth="1"/>
    <col min="3840" max="3840" width="14.7109375" style="1" customWidth="1"/>
    <col min="3841" max="4084" width="9.140625" style="1"/>
    <col min="4085" max="4085" width="12.140625" style="1" bestFit="1" customWidth="1"/>
    <col min="4086" max="4086" width="26.42578125" style="1" bestFit="1" customWidth="1"/>
    <col min="4087" max="4087" width="26.42578125" style="1" customWidth="1"/>
    <col min="4088" max="4088" width="12.7109375" style="1" customWidth="1"/>
    <col min="4089" max="4089" width="13" style="1" customWidth="1"/>
    <col min="4090" max="4090" width="13.85546875" style="1" customWidth="1"/>
    <col min="4091" max="4091" width="12" style="1" customWidth="1"/>
    <col min="4092" max="4092" width="11.85546875" style="1" customWidth="1"/>
    <col min="4093" max="4093" width="13.140625" style="1" customWidth="1"/>
    <col min="4094" max="4094" width="13.28515625" style="1" customWidth="1"/>
    <col min="4095" max="4095" width="14.28515625" style="1" customWidth="1"/>
    <col min="4096" max="4096" width="14.7109375" style="1" customWidth="1"/>
    <col min="4097" max="4340" width="9.140625" style="1"/>
    <col min="4341" max="4341" width="12.140625" style="1" bestFit="1" customWidth="1"/>
    <col min="4342" max="4342" width="26.42578125" style="1" bestFit="1" customWidth="1"/>
    <col min="4343" max="4343" width="26.42578125" style="1" customWidth="1"/>
    <col min="4344" max="4344" width="12.7109375" style="1" customWidth="1"/>
    <col min="4345" max="4345" width="13" style="1" customWidth="1"/>
    <col min="4346" max="4346" width="13.85546875" style="1" customWidth="1"/>
    <col min="4347" max="4347" width="12" style="1" customWidth="1"/>
    <col min="4348" max="4348" width="11.85546875" style="1" customWidth="1"/>
    <col min="4349" max="4349" width="13.140625" style="1" customWidth="1"/>
    <col min="4350" max="4350" width="13.28515625" style="1" customWidth="1"/>
    <col min="4351" max="4351" width="14.28515625" style="1" customWidth="1"/>
    <col min="4352" max="4352" width="14.7109375" style="1" customWidth="1"/>
    <col min="4353" max="4596" width="9.140625" style="1"/>
    <col min="4597" max="4597" width="12.140625" style="1" bestFit="1" customWidth="1"/>
    <col min="4598" max="4598" width="26.42578125" style="1" bestFit="1" customWidth="1"/>
    <col min="4599" max="4599" width="26.42578125" style="1" customWidth="1"/>
    <col min="4600" max="4600" width="12.7109375" style="1" customWidth="1"/>
    <col min="4601" max="4601" width="13" style="1" customWidth="1"/>
    <col min="4602" max="4602" width="13.85546875" style="1" customWidth="1"/>
    <col min="4603" max="4603" width="12" style="1" customWidth="1"/>
    <col min="4604" max="4604" width="11.85546875" style="1" customWidth="1"/>
    <col min="4605" max="4605" width="13.140625" style="1" customWidth="1"/>
    <col min="4606" max="4606" width="13.28515625" style="1" customWidth="1"/>
    <col min="4607" max="4607" width="14.28515625" style="1" customWidth="1"/>
    <col min="4608" max="4608" width="14.7109375" style="1" customWidth="1"/>
    <col min="4609" max="4852" width="9.140625" style="1"/>
    <col min="4853" max="4853" width="12.140625" style="1" bestFit="1" customWidth="1"/>
    <col min="4854" max="4854" width="26.42578125" style="1" bestFit="1" customWidth="1"/>
    <col min="4855" max="4855" width="26.42578125" style="1" customWidth="1"/>
    <col min="4856" max="4856" width="12.7109375" style="1" customWidth="1"/>
    <col min="4857" max="4857" width="13" style="1" customWidth="1"/>
    <col min="4858" max="4858" width="13.85546875" style="1" customWidth="1"/>
    <col min="4859" max="4859" width="12" style="1" customWidth="1"/>
    <col min="4860" max="4860" width="11.85546875" style="1" customWidth="1"/>
    <col min="4861" max="4861" width="13.140625" style="1" customWidth="1"/>
    <col min="4862" max="4862" width="13.28515625" style="1" customWidth="1"/>
    <col min="4863" max="4863" width="14.28515625" style="1" customWidth="1"/>
    <col min="4864" max="4864" width="14.7109375" style="1" customWidth="1"/>
    <col min="4865" max="5108" width="9.140625" style="1"/>
    <col min="5109" max="5109" width="12.140625" style="1" bestFit="1" customWidth="1"/>
    <col min="5110" max="5110" width="26.42578125" style="1" bestFit="1" customWidth="1"/>
    <col min="5111" max="5111" width="26.42578125" style="1" customWidth="1"/>
    <col min="5112" max="5112" width="12.7109375" style="1" customWidth="1"/>
    <col min="5113" max="5113" width="13" style="1" customWidth="1"/>
    <col min="5114" max="5114" width="13.85546875" style="1" customWidth="1"/>
    <col min="5115" max="5115" width="12" style="1" customWidth="1"/>
    <col min="5116" max="5116" width="11.85546875" style="1" customWidth="1"/>
    <col min="5117" max="5117" width="13.140625" style="1" customWidth="1"/>
    <col min="5118" max="5118" width="13.28515625" style="1" customWidth="1"/>
    <col min="5119" max="5119" width="14.28515625" style="1" customWidth="1"/>
    <col min="5120" max="5120" width="14.7109375" style="1" customWidth="1"/>
    <col min="5121" max="5364" width="9.140625" style="1"/>
    <col min="5365" max="5365" width="12.140625" style="1" bestFit="1" customWidth="1"/>
    <col min="5366" max="5366" width="26.42578125" style="1" bestFit="1" customWidth="1"/>
    <col min="5367" max="5367" width="26.42578125" style="1" customWidth="1"/>
    <col min="5368" max="5368" width="12.7109375" style="1" customWidth="1"/>
    <col min="5369" max="5369" width="13" style="1" customWidth="1"/>
    <col min="5370" max="5370" width="13.85546875" style="1" customWidth="1"/>
    <col min="5371" max="5371" width="12" style="1" customWidth="1"/>
    <col min="5372" max="5372" width="11.85546875" style="1" customWidth="1"/>
    <col min="5373" max="5373" width="13.140625" style="1" customWidth="1"/>
    <col min="5374" max="5374" width="13.28515625" style="1" customWidth="1"/>
    <col min="5375" max="5375" width="14.28515625" style="1" customWidth="1"/>
    <col min="5376" max="5376" width="14.7109375" style="1" customWidth="1"/>
    <col min="5377" max="5620" width="9.140625" style="1"/>
    <col min="5621" max="5621" width="12.140625" style="1" bestFit="1" customWidth="1"/>
    <col min="5622" max="5622" width="26.42578125" style="1" bestFit="1" customWidth="1"/>
    <col min="5623" max="5623" width="26.42578125" style="1" customWidth="1"/>
    <col min="5624" max="5624" width="12.7109375" style="1" customWidth="1"/>
    <col min="5625" max="5625" width="13" style="1" customWidth="1"/>
    <col min="5626" max="5626" width="13.85546875" style="1" customWidth="1"/>
    <col min="5627" max="5627" width="12" style="1" customWidth="1"/>
    <col min="5628" max="5628" width="11.85546875" style="1" customWidth="1"/>
    <col min="5629" max="5629" width="13.140625" style="1" customWidth="1"/>
    <col min="5630" max="5630" width="13.28515625" style="1" customWidth="1"/>
    <col min="5631" max="5631" width="14.28515625" style="1" customWidth="1"/>
    <col min="5632" max="5632" width="14.7109375" style="1" customWidth="1"/>
    <col min="5633" max="5876" width="9.140625" style="1"/>
    <col min="5877" max="5877" width="12.140625" style="1" bestFit="1" customWidth="1"/>
    <col min="5878" max="5878" width="26.42578125" style="1" bestFit="1" customWidth="1"/>
    <col min="5879" max="5879" width="26.42578125" style="1" customWidth="1"/>
    <col min="5880" max="5880" width="12.7109375" style="1" customWidth="1"/>
    <col min="5881" max="5881" width="13" style="1" customWidth="1"/>
    <col min="5882" max="5882" width="13.85546875" style="1" customWidth="1"/>
    <col min="5883" max="5883" width="12" style="1" customWidth="1"/>
    <col min="5884" max="5884" width="11.85546875" style="1" customWidth="1"/>
    <col min="5885" max="5885" width="13.140625" style="1" customWidth="1"/>
    <col min="5886" max="5886" width="13.28515625" style="1" customWidth="1"/>
    <col min="5887" max="5887" width="14.28515625" style="1" customWidth="1"/>
    <col min="5888" max="5888" width="14.7109375" style="1" customWidth="1"/>
    <col min="5889" max="6132" width="9.140625" style="1"/>
    <col min="6133" max="6133" width="12.140625" style="1" bestFit="1" customWidth="1"/>
    <col min="6134" max="6134" width="26.42578125" style="1" bestFit="1" customWidth="1"/>
    <col min="6135" max="6135" width="26.42578125" style="1" customWidth="1"/>
    <col min="6136" max="6136" width="12.7109375" style="1" customWidth="1"/>
    <col min="6137" max="6137" width="13" style="1" customWidth="1"/>
    <col min="6138" max="6138" width="13.85546875" style="1" customWidth="1"/>
    <col min="6139" max="6139" width="12" style="1" customWidth="1"/>
    <col min="6140" max="6140" width="11.85546875" style="1" customWidth="1"/>
    <col min="6141" max="6141" width="13.140625" style="1" customWidth="1"/>
    <col min="6142" max="6142" width="13.28515625" style="1" customWidth="1"/>
    <col min="6143" max="6143" width="14.28515625" style="1" customWidth="1"/>
    <col min="6144" max="6144" width="14.7109375" style="1" customWidth="1"/>
    <col min="6145" max="6388" width="9.140625" style="1"/>
    <col min="6389" max="6389" width="12.140625" style="1" bestFit="1" customWidth="1"/>
    <col min="6390" max="6390" width="26.42578125" style="1" bestFit="1" customWidth="1"/>
    <col min="6391" max="6391" width="26.42578125" style="1" customWidth="1"/>
    <col min="6392" max="6392" width="12.7109375" style="1" customWidth="1"/>
    <col min="6393" max="6393" width="13" style="1" customWidth="1"/>
    <col min="6394" max="6394" width="13.85546875" style="1" customWidth="1"/>
    <col min="6395" max="6395" width="12" style="1" customWidth="1"/>
    <col min="6396" max="6396" width="11.85546875" style="1" customWidth="1"/>
    <col min="6397" max="6397" width="13.140625" style="1" customWidth="1"/>
    <col min="6398" max="6398" width="13.28515625" style="1" customWidth="1"/>
    <col min="6399" max="6399" width="14.28515625" style="1" customWidth="1"/>
    <col min="6400" max="6400" width="14.7109375" style="1" customWidth="1"/>
    <col min="6401" max="6644" width="9.140625" style="1"/>
    <col min="6645" max="6645" width="12.140625" style="1" bestFit="1" customWidth="1"/>
    <col min="6646" max="6646" width="26.42578125" style="1" bestFit="1" customWidth="1"/>
    <col min="6647" max="6647" width="26.42578125" style="1" customWidth="1"/>
    <col min="6648" max="6648" width="12.7109375" style="1" customWidth="1"/>
    <col min="6649" max="6649" width="13" style="1" customWidth="1"/>
    <col min="6650" max="6650" width="13.85546875" style="1" customWidth="1"/>
    <col min="6651" max="6651" width="12" style="1" customWidth="1"/>
    <col min="6652" max="6652" width="11.85546875" style="1" customWidth="1"/>
    <col min="6653" max="6653" width="13.140625" style="1" customWidth="1"/>
    <col min="6654" max="6654" width="13.28515625" style="1" customWidth="1"/>
    <col min="6655" max="6655" width="14.28515625" style="1" customWidth="1"/>
    <col min="6656" max="6656" width="14.7109375" style="1" customWidth="1"/>
    <col min="6657" max="6900" width="9.140625" style="1"/>
    <col min="6901" max="6901" width="12.140625" style="1" bestFit="1" customWidth="1"/>
    <col min="6902" max="6902" width="26.42578125" style="1" bestFit="1" customWidth="1"/>
    <col min="6903" max="6903" width="26.42578125" style="1" customWidth="1"/>
    <col min="6904" max="6904" width="12.7109375" style="1" customWidth="1"/>
    <col min="6905" max="6905" width="13" style="1" customWidth="1"/>
    <col min="6906" max="6906" width="13.85546875" style="1" customWidth="1"/>
    <col min="6907" max="6907" width="12" style="1" customWidth="1"/>
    <col min="6908" max="6908" width="11.85546875" style="1" customWidth="1"/>
    <col min="6909" max="6909" width="13.140625" style="1" customWidth="1"/>
    <col min="6910" max="6910" width="13.28515625" style="1" customWidth="1"/>
    <col min="6911" max="6911" width="14.28515625" style="1" customWidth="1"/>
    <col min="6912" max="6912" width="14.7109375" style="1" customWidth="1"/>
    <col min="6913" max="7156" width="9.140625" style="1"/>
    <col min="7157" max="7157" width="12.140625" style="1" bestFit="1" customWidth="1"/>
    <col min="7158" max="7158" width="26.42578125" style="1" bestFit="1" customWidth="1"/>
    <col min="7159" max="7159" width="26.42578125" style="1" customWidth="1"/>
    <col min="7160" max="7160" width="12.7109375" style="1" customWidth="1"/>
    <col min="7161" max="7161" width="13" style="1" customWidth="1"/>
    <col min="7162" max="7162" width="13.85546875" style="1" customWidth="1"/>
    <col min="7163" max="7163" width="12" style="1" customWidth="1"/>
    <col min="7164" max="7164" width="11.85546875" style="1" customWidth="1"/>
    <col min="7165" max="7165" width="13.140625" style="1" customWidth="1"/>
    <col min="7166" max="7166" width="13.28515625" style="1" customWidth="1"/>
    <col min="7167" max="7167" width="14.28515625" style="1" customWidth="1"/>
    <col min="7168" max="7168" width="14.7109375" style="1" customWidth="1"/>
    <col min="7169" max="7412" width="9.140625" style="1"/>
    <col min="7413" max="7413" width="12.140625" style="1" bestFit="1" customWidth="1"/>
    <col min="7414" max="7414" width="26.42578125" style="1" bestFit="1" customWidth="1"/>
    <col min="7415" max="7415" width="26.42578125" style="1" customWidth="1"/>
    <col min="7416" max="7416" width="12.7109375" style="1" customWidth="1"/>
    <col min="7417" max="7417" width="13" style="1" customWidth="1"/>
    <col min="7418" max="7418" width="13.85546875" style="1" customWidth="1"/>
    <col min="7419" max="7419" width="12" style="1" customWidth="1"/>
    <col min="7420" max="7420" width="11.85546875" style="1" customWidth="1"/>
    <col min="7421" max="7421" width="13.140625" style="1" customWidth="1"/>
    <col min="7422" max="7422" width="13.28515625" style="1" customWidth="1"/>
    <col min="7423" max="7423" width="14.28515625" style="1" customWidth="1"/>
    <col min="7424" max="7424" width="14.7109375" style="1" customWidth="1"/>
    <col min="7425" max="7668" width="9.140625" style="1"/>
    <col min="7669" max="7669" width="12.140625" style="1" bestFit="1" customWidth="1"/>
    <col min="7670" max="7670" width="26.42578125" style="1" bestFit="1" customWidth="1"/>
    <col min="7671" max="7671" width="26.42578125" style="1" customWidth="1"/>
    <col min="7672" max="7672" width="12.7109375" style="1" customWidth="1"/>
    <col min="7673" max="7673" width="13" style="1" customWidth="1"/>
    <col min="7674" max="7674" width="13.85546875" style="1" customWidth="1"/>
    <col min="7675" max="7675" width="12" style="1" customWidth="1"/>
    <col min="7676" max="7676" width="11.85546875" style="1" customWidth="1"/>
    <col min="7677" max="7677" width="13.140625" style="1" customWidth="1"/>
    <col min="7678" max="7678" width="13.28515625" style="1" customWidth="1"/>
    <col min="7679" max="7679" width="14.28515625" style="1" customWidth="1"/>
    <col min="7680" max="7680" width="14.7109375" style="1" customWidth="1"/>
    <col min="7681" max="7924" width="9.140625" style="1"/>
    <col min="7925" max="7925" width="12.140625" style="1" bestFit="1" customWidth="1"/>
    <col min="7926" max="7926" width="26.42578125" style="1" bestFit="1" customWidth="1"/>
    <col min="7927" max="7927" width="26.42578125" style="1" customWidth="1"/>
    <col min="7928" max="7928" width="12.7109375" style="1" customWidth="1"/>
    <col min="7929" max="7929" width="13" style="1" customWidth="1"/>
    <col min="7930" max="7930" width="13.85546875" style="1" customWidth="1"/>
    <col min="7931" max="7931" width="12" style="1" customWidth="1"/>
    <col min="7932" max="7932" width="11.85546875" style="1" customWidth="1"/>
    <col min="7933" max="7933" width="13.140625" style="1" customWidth="1"/>
    <col min="7934" max="7934" width="13.28515625" style="1" customWidth="1"/>
    <col min="7935" max="7935" width="14.28515625" style="1" customWidth="1"/>
    <col min="7936" max="7936" width="14.7109375" style="1" customWidth="1"/>
    <col min="7937" max="8180" width="9.140625" style="1"/>
    <col min="8181" max="8181" width="12.140625" style="1" bestFit="1" customWidth="1"/>
    <col min="8182" max="8182" width="26.42578125" style="1" bestFit="1" customWidth="1"/>
    <col min="8183" max="8183" width="26.42578125" style="1" customWidth="1"/>
    <col min="8184" max="8184" width="12.7109375" style="1" customWidth="1"/>
    <col min="8185" max="8185" width="13" style="1" customWidth="1"/>
    <col min="8186" max="8186" width="13.85546875" style="1" customWidth="1"/>
    <col min="8187" max="8187" width="12" style="1" customWidth="1"/>
    <col min="8188" max="8188" width="11.85546875" style="1" customWidth="1"/>
    <col min="8189" max="8189" width="13.140625" style="1" customWidth="1"/>
    <col min="8190" max="8190" width="13.28515625" style="1" customWidth="1"/>
    <col min="8191" max="8191" width="14.28515625" style="1" customWidth="1"/>
    <col min="8192" max="8192" width="14.7109375" style="1" customWidth="1"/>
    <col min="8193" max="8436" width="9.140625" style="1"/>
    <col min="8437" max="8437" width="12.140625" style="1" bestFit="1" customWidth="1"/>
    <col min="8438" max="8438" width="26.42578125" style="1" bestFit="1" customWidth="1"/>
    <col min="8439" max="8439" width="26.42578125" style="1" customWidth="1"/>
    <col min="8440" max="8440" width="12.7109375" style="1" customWidth="1"/>
    <col min="8441" max="8441" width="13" style="1" customWidth="1"/>
    <col min="8442" max="8442" width="13.85546875" style="1" customWidth="1"/>
    <col min="8443" max="8443" width="12" style="1" customWidth="1"/>
    <col min="8444" max="8444" width="11.85546875" style="1" customWidth="1"/>
    <col min="8445" max="8445" width="13.140625" style="1" customWidth="1"/>
    <col min="8446" max="8446" width="13.28515625" style="1" customWidth="1"/>
    <col min="8447" max="8447" width="14.28515625" style="1" customWidth="1"/>
    <col min="8448" max="8448" width="14.7109375" style="1" customWidth="1"/>
    <col min="8449" max="8692" width="9.140625" style="1"/>
    <col min="8693" max="8693" width="12.140625" style="1" bestFit="1" customWidth="1"/>
    <col min="8694" max="8694" width="26.42578125" style="1" bestFit="1" customWidth="1"/>
    <col min="8695" max="8695" width="26.42578125" style="1" customWidth="1"/>
    <col min="8696" max="8696" width="12.7109375" style="1" customWidth="1"/>
    <col min="8697" max="8697" width="13" style="1" customWidth="1"/>
    <col min="8698" max="8698" width="13.85546875" style="1" customWidth="1"/>
    <col min="8699" max="8699" width="12" style="1" customWidth="1"/>
    <col min="8700" max="8700" width="11.85546875" style="1" customWidth="1"/>
    <col min="8701" max="8701" width="13.140625" style="1" customWidth="1"/>
    <col min="8702" max="8702" width="13.28515625" style="1" customWidth="1"/>
    <col min="8703" max="8703" width="14.28515625" style="1" customWidth="1"/>
    <col min="8704" max="8704" width="14.7109375" style="1" customWidth="1"/>
    <col min="8705" max="8948" width="9.140625" style="1"/>
    <col min="8949" max="8949" width="12.140625" style="1" bestFit="1" customWidth="1"/>
    <col min="8950" max="8950" width="26.42578125" style="1" bestFit="1" customWidth="1"/>
    <col min="8951" max="8951" width="26.42578125" style="1" customWidth="1"/>
    <col min="8952" max="8952" width="12.7109375" style="1" customWidth="1"/>
    <col min="8953" max="8953" width="13" style="1" customWidth="1"/>
    <col min="8954" max="8954" width="13.85546875" style="1" customWidth="1"/>
    <col min="8955" max="8955" width="12" style="1" customWidth="1"/>
    <col min="8956" max="8956" width="11.85546875" style="1" customWidth="1"/>
    <col min="8957" max="8957" width="13.140625" style="1" customWidth="1"/>
    <col min="8958" max="8958" width="13.28515625" style="1" customWidth="1"/>
    <col min="8959" max="8959" width="14.28515625" style="1" customWidth="1"/>
    <col min="8960" max="8960" width="14.7109375" style="1" customWidth="1"/>
    <col min="8961" max="9204" width="9.140625" style="1"/>
    <col min="9205" max="9205" width="12.140625" style="1" bestFit="1" customWidth="1"/>
    <col min="9206" max="9206" width="26.42578125" style="1" bestFit="1" customWidth="1"/>
    <col min="9207" max="9207" width="26.42578125" style="1" customWidth="1"/>
    <col min="9208" max="9208" width="12.7109375" style="1" customWidth="1"/>
    <col min="9209" max="9209" width="13" style="1" customWidth="1"/>
    <col min="9210" max="9210" width="13.85546875" style="1" customWidth="1"/>
    <col min="9211" max="9211" width="12" style="1" customWidth="1"/>
    <col min="9212" max="9212" width="11.85546875" style="1" customWidth="1"/>
    <col min="9213" max="9213" width="13.140625" style="1" customWidth="1"/>
    <col min="9214" max="9214" width="13.28515625" style="1" customWidth="1"/>
    <col min="9215" max="9215" width="14.28515625" style="1" customWidth="1"/>
    <col min="9216" max="9216" width="14.7109375" style="1" customWidth="1"/>
    <col min="9217" max="9460" width="9.140625" style="1"/>
    <col min="9461" max="9461" width="12.140625" style="1" bestFit="1" customWidth="1"/>
    <col min="9462" max="9462" width="26.42578125" style="1" bestFit="1" customWidth="1"/>
    <col min="9463" max="9463" width="26.42578125" style="1" customWidth="1"/>
    <col min="9464" max="9464" width="12.7109375" style="1" customWidth="1"/>
    <col min="9465" max="9465" width="13" style="1" customWidth="1"/>
    <col min="9466" max="9466" width="13.85546875" style="1" customWidth="1"/>
    <col min="9467" max="9467" width="12" style="1" customWidth="1"/>
    <col min="9468" max="9468" width="11.85546875" style="1" customWidth="1"/>
    <col min="9469" max="9469" width="13.140625" style="1" customWidth="1"/>
    <col min="9470" max="9470" width="13.28515625" style="1" customWidth="1"/>
    <col min="9471" max="9471" width="14.28515625" style="1" customWidth="1"/>
    <col min="9472" max="9472" width="14.7109375" style="1" customWidth="1"/>
    <col min="9473" max="9716" width="9.140625" style="1"/>
    <col min="9717" max="9717" width="12.140625" style="1" bestFit="1" customWidth="1"/>
    <col min="9718" max="9718" width="26.42578125" style="1" bestFit="1" customWidth="1"/>
    <col min="9719" max="9719" width="26.42578125" style="1" customWidth="1"/>
    <col min="9720" max="9720" width="12.7109375" style="1" customWidth="1"/>
    <col min="9721" max="9721" width="13" style="1" customWidth="1"/>
    <col min="9722" max="9722" width="13.85546875" style="1" customWidth="1"/>
    <col min="9723" max="9723" width="12" style="1" customWidth="1"/>
    <col min="9724" max="9724" width="11.85546875" style="1" customWidth="1"/>
    <col min="9725" max="9725" width="13.140625" style="1" customWidth="1"/>
    <col min="9726" max="9726" width="13.28515625" style="1" customWidth="1"/>
    <col min="9727" max="9727" width="14.28515625" style="1" customWidth="1"/>
    <col min="9728" max="9728" width="14.7109375" style="1" customWidth="1"/>
    <col min="9729" max="9972" width="9.140625" style="1"/>
    <col min="9973" max="9973" width="12.140625" style="1" bestFit="1" customWidth="1"/>
    <col min="9974" max="9974" width="26.42578125" style="1" bestFit="1" customWidth="1"/>
    <col min="9975" max="9975" width="26.42578125" style="1" customWidth="1"/>
    <col min="9976" max="9976" width="12.7109375" style="1" customWidth="1"/>
    <col min="9977" max="9977" width="13" style="1" customWidth="1"/>
    <col min="9978" max="9978" width="13.85546875" style="1" customWidth="1"/>
    <col min="9979" max="9979" width="12" style="1" customWidth="1"/>
    <col min="9980" max="9980" width="11.85546875" style="1" customWidth="1"/>
    <col min="9981" max="9981" width="13.140625" style="1" customWidth="1"/>
    <col min="9982" max="9982" width="13.28515625" style="1" customWidth="1"/>
    <col min="9983" max="9983" width="14.28515625" style="1" customWidth="1"/>
    <col min="9984" max="9984" width="14.7109375" style="1" customWidth="1"/>
    <col min="9985" max="10228" width="9.140625" style="1"/>
    <col min="10229" max="10229" width="12.140625" style="1" bestFit="1" customWidth="1"/>
    <col min="10230" max="10230" width="26.42578125" style="1" bestFit="1" customWidth="1"/>
    <col min="10231" max="10231" width="26.42578125" style="1" customWidth="1"/>
    <col min="10232" max="10232" width="12.7109375" style="1" customWidth="1"/>
    <col min="10233" max="10233" width="13" style="1" customWidth="1"/>
    <col min="10234" max="10234" width="13.85546875" style="1" customWidth="1"/>
    <col min="10235" max="10235" width="12" style="1" customWidth="1"/>
    <col min="10236" max="10236" width="11.85546875" style="1" customWidth="1"/>
    <col min="10237" max="10237" width="13.140625" style="1" customWidth="1"/>
    <col min="10238" max="10238" width="13.28515625" style="1" customWidth="1"/>
    <col min="10239" max="10239" width="14.28515625" style="1" customWidth="1"/>
    <col min="10240" max="10240" width="14.7109375" style="1" customWidth="1"/>
    <col min="10241" max="10484" width="9.140625" style="1"/>
    <col min="10485" max="10485" width="12.140625" style="1" bestFit="1" customWidth="1"/>
    <col min="10486" max="10486" width="26.42578125" style="1" bestFit="1" customWidth="1"/>
    <col min="10487" max="10487" width="26.42578125" style="1" customWidth="1"/>
    <col min="10488" max="10488" width="12.7109375" style="1" customWidth="1"/>
    <col min="10489" max="10489" width="13" style="1" customWidth="1"/>
    <col min="10490" max="10490" width="13.85546875" style="1" customWidth="1"/>
    <col min="10491" max="10491" width="12" style="1" customWidth="1"/>
    <col min="10492" max="10492" width="11.85546875" style="1" customWidth="1"/>
    <col min="10493" max="10493" width="13.140625" style="1" customWidth="1"/>
    <col min="10494" max="10494" width="13.28515625" style="1" customWidth="1"/>
    <col min="10495" max="10495" width="14.28515625" style="1" customWidth="1"/>
    <col min="10496" max="10496" width="14.7109375" style="1" customWidth="1"/>
    <col min="10497" max="10740" width="9.140625" style="1"/>
    <col min="10741" max="10741" width="12.140625" style="1" bestFit="1" customWidth="1"/>
    <col min="10742" max="10742" width="26.42578125" style="1" bestFit="1" customWidth="1"/>
    <col min="10743" max="10743" width="26.42578125" style="1" customWidth="1"/>
    <col min="10744" max="10744" width="12.7109375" style="1" customWidth="1"/>
    <col min="10745" max="10745" width="13" style="1" customWidth="1"/>
    <col min="10746" max="10746" width="13.85546875" style="1" customWidth="1"/>
    <col min="10747" max="10747" width="12" style="1" customWidth="1"/>
    <col min="10748" max="10748" width="11.85546875" style="1" customWidth="1"/>
    <col min="10749" max="10749" width="13.140625" style="1" customWidth="1"/>
    <col min="10750" max="10750" width="13.28515625" style="1" customWidth="1"/>
    <col min="10751" max="10751" width="14.28515625" style="1" customWidth="1"/>
    <col min="10752" max="10752" width="14.7109375" style="1" customWidth="1"/>
    <col min="10753" max="10996" width="9.140625" style="1"/>
    <col min="10997" max="10997" width="12.140625" style="1" bestFit="1" customWidth="1"/>
    <col min="10998" max="10998" width="26.42578125" style="1" bestFit="1" customWidth="1"/>
    <col min="10999" max="10999" width="26.42578125" style="1" customWidth="1"/>
    <col min="11000" max="11000" width="12.7109375" style="1" customWidth="1"/>
    <col min="11001" max="11001" width="13" style="1" customWidth="1"/>
    <col min="11002" max="11002" width="13.85546875" style="1" customWidth="1"/>
    <col min="11003" max="11003" width="12" style="1" customWidth="1"/>
    <col min="11004" max="11004" width="11.85546875" style="1" customWidth="1"/>
    <col min="11005" max="11005" width="13.140625" style="1" customWidth="1"/>
    <col min="11006" max="11006" width="13.28515625" style="1" customWidth="1"/>
    <col min="11007" max="11007" width="14.28515625" style="1" customWidth="1"/>
    <col min="11008" max="11008" width="14.7109375" style="1" customWidth="1"/>
    <col min="11009" max="11252" width="9.140625" style="1"/>
    <col min="11253" max="11253" width="12.140625" style="1" bestFit="1" customWidth="1"/>
    <col min="11254" max="11254" width="26.42578125" style="1" bestFit="1" customWidth="1"/>
    <col min="11255" max="11255" width="26.42578125" style="1" customWidth="1"/>
    <col min="11256" max="11256" width="12.7109375" style="1" customWidth="1"/>
    <col min="11257" max="11257" width="13" style="1" customWidth="1"/>
    <col min="11258" max="11258" width="13.85546875" style="1" customWidth="1"/>
    <col min="11259" max="11259" width="12" style="1" customWidth="1"/>
    <col min="11260" max="11260" width="11.85546875" style="1" customWidth="1"/>
    <col min="11261" max="11261" width="13.140625" style="1" customWidth="1"/>
    <col min="11262" max="11262" width="13.28515625" style="1" customWidth="1"/>
    <col min="11263" max="11263" width="14.28515625" style="1" customWidth="1"/>
    <col min="11264" max="11264" width="14.7109375" style="1" customWidth="1"/>
    <col min="11265" max="11508" width="9.140625" style="1"/>
    <col min="11509" max="11509" width="12.140625" style="1" bestFit="1" customWidth="1"/>
    <col min="11510" max="11510" width="26.42578125" style="1" bestFit="1" customWidth="1"/>
    <col min="11511" max="11511" width="26.42578125" style="1" customWidth="1"/>
    <col min="11512" max="11512" width="12.7109375" style="1" customWidth="1"/>
    <col min="11513" max="11513" width="13" style="1" customWidth="1"/>
    <col min="11514" max="11514" width="13.85546875" style="1" customWidth="1"/>
    <col min="11515" max="11515" width="12" style="1" customWidth="1"/>
    <col min="11516" max="11516" width="11.85546875" style="1" customWidth="1"/>
    <col min="11517" max="11517" width="13.140625" style="1" customWidth="1"/>
    <col min="11518" max="11518" width="13.28515625" style="1" customWidth="1"/>
    <col min="11519" max="11519" width="14.28515625" style="1" customWidth="1"/>
    <col min="11520" max="11520" width="14.7109375" style="1" customWidth="1"/>
    <col min="11521" max="11764" width="9.140625" style="1"/>
    <col min="11765" max="11765" width="12.140625" style="1" bestFit="1" customWidth="1"/>
    <col min="11766" max="11766" width="26.42578125" style="1" bestFit="1" customWidth="1"/>
    <col min="11767" max="11767" width="26.42578125" style="1" customWidth="1"/>
    <col min="11768" max="11768" width="12.7109375" style="1" customWidth="1"/>
    <col min="11769" max="11769" width="13" style="1" customWidth="1"/>
    <col min="11770" max="11770" width="13.85546875" style="1" customWidth="1"/>
    <col min="11771" max="11771" width="12" style="1" customWidth="1"/>
    <col min="11772" max="11772" width="11.85546875" style="1" customWidth="1"/>
    <col min="11773" max="11773" width="13.140625" style="1" customWidth="1"/>
    <col min="11774" max="11774" width="13.28515625" style="1" customWidth="1"/>
    <col min="11775" max="11775" width="14.28515625" style="1" customWidth="1"/>
    <col min="11776" max="11776" width="14.7109375" style="1" customWidth="1"/>
    <col min="11777" max="12020" width="9.140625" style="1"/>
    <col min="12021" max="12021" width="12.140625" style="1" bestFit="1" customWidth="1"/>
    <col min="12022" max="12022" width="26.42578125" style="1" bestFit="1" customWidth="1"/>
    <col min="12023" max="12023" width="26.42578125" style="1" customWidth="1"/>
    <col min="12024" max="12024" width="12.7109375" style="1" customWidth="1"/>
    <col min="12025" max="12025" width="13" style="1" customWidth="1"/>
    <col min="12026" max="12026" width="13.85546875" style="1" customWidth="1"/>
    <col min="12027" max="12027" width="12" style="1" customWidth="1"/>
    <col min="12028" max="12028" width="11.85546875" style="1" customWidth="1"/>
    <col min="12029" max="12029" width="13.140625" style="1" customWidth="1"/>
    <col min="12030" max="12030" width="13.28515625" style="1" customWidth="1"/>
    <col min="12031" max="12031" width="14.28515625" style="1" customWidth="1"/>
    <col min="12032" max="12032" width="14.7109375" style="1" customWidth="1"/>
    <col min="12033" max="12276" width="9.140625" style="1"/>
    <col min="12277" max="12277" width="12.140625" style="1" bestFit="1" customWidth="1"/>
    <col min="12278" max="12278" width="26.42578125" style="1" bestFit="1" customWidth="1"/>
    <col min="12279" max="12279" width="26.42578125" style="1" customWidth="1"/>
    <col min="12280" max="12280" width="12.7109375" style="1" customWidth="1"/>
    <col min="12281" max="12281" width="13" style="1" customWidth="1"/>
    <col min="12282" max="12282" width="13.85546875" style="1" customWidth="1"/>
    <col min="12283" max="12283" width="12" style="1" customWidth="1"/>
    <col min="12284" max="12284" width="11.85546875" style="1" customWidth="1"/>
    <col min="12285" max="12285" width="13.140625" style="1" customWidth="1"/>
    <col min="12286" max="12286" width="13.28515625" style="1" customWidth="1"/>
    <col min="12287" max="12287" width="14.28515625" style="1" customWidth="1"/>
    <col min="12288" max="12288" width="14.7109375" style="1" customWidth="1"/>
    <col min="12289" max="12532" width="9.140625" style="1"/>
    <col min="12533" max="12533" width="12.140625" style="1" bestFit="1" customWidth="1"/>
    <col min="12534" max="12534" width="26.42578125" style="1" bestFit="1" customWidth="1"/>
    <col min="12535" max="12535" width="26.42578125" style="1" customWidth="1"/>
    <col min="12536" max="12536" width="12.7109375" style="1" customWidth="1"/>
    <col min="12537" max="12537" width="13" style="1" customWidth="1"/>
    <col min="12538" max="12538" width="13.85546875" style="1" customWidth="1"/>
    <col min="12539" max="12539" width="12" style="1" customWidth="1"/>
    <col min="12540" max="12540" width="11.85546875" style="1" customWidth="1"/>
    <col min="12541" max="12541" width="13.140625" style="1" customWidth="1"/>
    <col min="12542" max="12542" width="13.28515625" style="1" customWidth="1"/>
    <col min="12543" max="12543" width="14.28515625" style="1" customWidth="1"/>
    <col min="12544" max="12544" width="14.7109375" style="1" customWidth="1"/>
    <col min="12545" max="12788" width="9.140625" style="1"/>
    <col min="12789" max="12789" width="12.140625" style="1" bestFit="1" customWidth="1"/>
    <col min="12790" max="12790" width="26.42578125" style="1" bestFit="1" customWidth="1"/>
    <col min="12791" max="12791" width="26.42578125" style="1" customWidth="1"/>
    <col min="12792" max="12792" width="12.7109375" style="1" customWidth="1"/>
    <col min="12793" max="12793" width="13" style="1" customWidth="1"/>
    <col min="12794" max="12794" width="13.85546875" style="1" customWidth="1"/>
    <col min="12795" max="12795" width="12" style="1" customWidth="1"/>
    <col min="12796" max="12796" width="11.85546875" style="1" customWidth="1"/>
    <col min="12797" max="12797" width="13.140625" style="1" customWidth="1"/>
    <col min="12798" max="12798" width="13.28515625" style="1" customWidth="1"/>
    <col min="12799" max="12799" width="14.28515625" style="1" customWidth="1"/>
    <col min="12800" max="12800" width="14.7109375" style="1" customWidth="1"/>
    <col min="12801" max="13044" width="9.140625" style="1"/>
    <col min="13045" max="13045" width="12.140625" style="1" bestFit="1" customWidth="1"/>
    <col min="13046" max="13046" width="26.42578125" style="1" bestFit="1" customWidth="1"/>
    <col min="13047" max="13047" width="26.42578125" style="1" customWidth="1"/>
    <col min="13048" max="13048" width="12.7109375" style="1" customWidth="1"/>
    <col min="13049" max="13049" width="13" style="1" customWidth="1"/>
    <col min="13050" max="13050" width="13.85546875" style="1" customWidth="1"/>
    <col min="13051" max="13051" width="12" style="1" customWidth="1"/>
    <col min="13052" max="13052" width="11.85546875" style="1" customWidth="1"/>
    <col min="13053" max="13053" width="13.140625" style="1" customWidth="1"/>
    <col min="13054" max="13054" width="13.28515625" style="1" customWidth="1"/>
    <col min="13055" max="13055" width="14.28515625" style="1" customWidth="1"/>
    <col min="13056" max="13056" width="14.7109375" style="1" customWidth="1"/>
    <col min="13057" max="13300" width="9.140625" style="1"/>
    <col min="13301" max="13301" width="12.140625" style="1" bestFit="1" customWidth="1"/>
    <col min="13302" max="13302" width="26.42578125" style="1" bestFit="1" customWidth="1"/>
    <col min="13303" max="13303" width="26.42578125" style="1" customWidth="1"/>
    <col min="13304" max="13304" width="12.7109375" style="1" customWidth="1"/>
    <col min="13305" max="13305" width="13" style="1" customWidth="1"/>
    <col min="13306" max="13306" width="13.85546875" style="1" customWidth="1"/>
    <col min="13307" max="13307" width="12" style="1" customWidth="1"/>
    <col min="13308" max="13308" width="11.85546875" style="1" customWidth="1"/>
    <col min="13309" max="13309" width="13.140625" style="1" customWidth="1"/>
    <col min="13310" max="13310" width="13.28515625" style="1" customWidth="1"/>
    <col min="13311" max="13311" width="14.28515625" style="1" customWidth="1"/>
    <col min="13312" max="13312" width="14.7109375" style="1" customWidth="1"/>
    <col min="13313" max="13556" width="9.140625" style="1"/>
    <col min="13557" max="13557" width="12.140625" style="1" bestFit="1" customWidth="1"/>
    <col min="13558" max="13558" width="26.42578125" style="1" bestFit="1" customWidth="1"/>
    <col min="13559" max="13559" width="26.42578125" style="1" customWidth="1"/>
    <col min="13560" max="13560" width="12.7109375" style="1" customWidth="1"/>
    <col min="13561" max="13561" width="13" style="1" customWidth="1"/>
    <col min="13562" max="13562" width="13.85546875" style="1" customWidth="1"/>
    <col min="13563" max="13563" width="12" style="1" customWidth="1"/>
    <col min="13564" max="13564" width="11.85546875" style="1" customWidth="1"/>
    <col min="13565" max="13565" width="13.140625" style="1" customWidth="1"/>
    <col min="13566" max="13566" width="13.28515625" style="1" customWidth="1"/>
    <col min="13567" max="13567" width="14.28515625" style="1" customWidth="1"/>
    <col min="13568" max="13568" width="14.7109375" style="1" customWidth="1"/>
    <col min="13569" max="13812" width="9.140625" style="1"/>
    <col min="13813" max="13813" width="12.140625" style="1" bestFit="1" customWidth="1"/>
    <col min="13814" max="13814" width="26.42578125" style="1" bestFit="1" customWidth="1"/>
    <col min="13815" max="13815" width="26.42578125" style="1" customWidth="1"/>
    <col min="13816" max="13816" width="12.7109375" style="1" customWidth="1"/>
    <col min="13817" max="13817" width="13" style="1" customWidth="1"/>
    <col min="13818" max="13818" width="13.85546875" style="1" customWidth="1"/>
    <col min="13819" max="13819" width="12" style="1" customWidth="1"/>
    <col min="13820" max="13820" width="11.85546875" style="1" customWidth="1"/>
    <col min="13821" max="13821" width="13.140625" style="1" customWidth="1"/>
    <col min="13822" max="13822" width="13.28515625" style="1" customWidth="1"/>
    <col min="13823" max="13823" width="14.28515625" style="1" customWidth="1"/>
    <col min="13824" max="13824" width="14.7109375" style="1" customWidth="1"/>
    <col min="13825" max="14068" width="9.140625" style="1"/>
    <col min="14069" max="14069" width="12.140625" style="1" bestFit="1" customWidth="1"/>
    <col min="14070" max="14070" width="26.42578125" style="1" bestFit="1" customWidth="1"/>
    <col min="14071" max="14071" width="26.42578125" style="1" customWidth="1"/>
    <col min="14072" max="14072" width="12.7109375" style="1" customWidth="1"/>
    <col min="14073" max="14073" width="13" style="1" customWidth="1"/>
    <col min="14074" max="14074" width="13.85546875" style="1" customWidth="1"/>
    <col min="14075" max="14075" width="12" style="1" customWidth="1"/>
    <col min="14076" max="14076" width="11.85546875" style="1" customWidth="1"/>
    <col min="14077" max="14077" width="13.140625" style="1" customWidth="1"/>
    <col min="14078" max="14078" width="13.28515625" style="1" customWidth="1"/>
    <col min="14079" max="14079" width="14.28515625" style="1" customWidth="1"/>
    <col min="14080" max="14080" width="14.7109375" style="1" customWidth="1"/>
    <col min="14081" max="14324" width="9.140625" style="1"/>
    <col min="14325" max="14325" width="12.140625" style="1" bestFit="1" customWidth="1"/>
    <col min="14326" max="14326" width="26.42578125" style="1" bestFit="1" customWidth="1"/>
    <col min="14327" max="14327" width="26.42578125" style="1" customWidth="1"/>
    <col min="14328" max="14328" width="12.7109375" style="1" customWidth="1"/>
    <col min="14329" max="14329" width="13" style="1" customWidth="1"/>
    <col min="14330" max="14330" width="13.85546875" style="1" customWidth="1"/>
    <col min="14331" max="14331" width="12" style="1" customWidth="1"/>
    <col min="14332" max="14332" width="11.85546875" style="1" customWidth="1"/>
    <col min="14333" max="14333" width="13.140625" style="1" customWidth="1"/>
    <col min="14334" max="14334" width="13.28515625" style="1" customWidth="1"/>
    <col min="14335" max="14335" width="14.28515625" style="1" customWidth="1"/>
    <col min="14336" max="14336" width="14.7109375" style="1" customWidth="1"/>
    <col min="14337" max="14580" width="9.140625" style="1"/>
    <col min="14581" max="14581" width="12.140625" style="1" bestFit="1" customWidth="1"/>
    <col min="14582" max="14582" width="26.42578125" style="1" bestFit="1" customWidth="1"/>
    <col min="14583" max="14583" width="26.42578125" style="1" customWidth="1"/>
    <col min="14584" max="14584" width="12.7109375" style="1" customWidth="1"/>
    <col min="14585" max="14585" width="13" style="1" customWidth="1"/>
    <col min="14586" max="14586" width="13.85546875" style="1" customWidth="1"/>
    <col min="14587" max="14587" width="12" style="1" customWidth="1"/>
    <col min="14588" max="14588" width="11.85546875" style="1" customWidth="1"/>
    <col min="14589" max="14589" width="13.140625" style="1" customWidth="1"/>
    <col min="14590" max="14590" width="13.28515625" style="1" customWidth="1"/>
    <col min="14591" max="14591" width="14.28515625" style="1" customWidth="1"/>
    <col min="14592" max="14592" width="14.7109375" style="1" customWidth="1"/>
    <col min="14593" max="14836" width="9.140625" style="1"/>
    <col min="14837" max="14837" width="12.140625" style="1" bestFit="1" customWidth="1"/>
    <col min="14838" max="14838" width="26.42578125" style="1" bestFit="1" customWidth="1"/>
    <col min="14839" max="14839" width="26.42578125" style="1" customWidth="1"/>
    <col min="14840" max="14840" width="12.7109375" style="1" customWidth="1"/>
    <col min="14841" max="14841" width="13" style="1" customWidth="1"/>
    <col min="14842" max="14842" width="13.85546875" style="1" customWidth="1"/>
    <col min="14843" max="14843" width="12" style="1" customWidth="1"/>
    <col min="14844" max="14844" width="11.85546875" style="1" customWidth="1"/>
    <col min="14845" max="14845" width="13.140625" style="1" customWidth="1"/>
    <col min="14846" max="14846" width="13.28515625" style="1" customWidth="1"/>
    <col min="14847" max="14847" width="14.28515625" style="1" customWidth="1"/>
    <col min="14848" max="14848" width="14.7109375" style="1" customWidth="1"/>
    <col min="14849" max="15092" width="9.140625" style="1"/>
    <col min="15093" max="15093" width="12.140625" style="1" bestFit="1" customWidth="1"/>
    <col min="15094" max="15094" width="26.42578125" style="1" bestFit="1" customWidth="1"/>
    <col min="15095" max="15095" width="26.42578125" style="1" customWidth="1"/>
    <col min="15096" max="15096" width="12.7109375" style="1" customWidth="1"/>
    <col min="15097" max="15097" width="13" style="1" customWidth="1"/>
    <col min="15098" max="15098" width="13.85546875" style="1" customWidth="1"/>
    <col min="15099" max="15099" width="12" style="1" customWidth="1"/>
    <col min="15100" max="15100" width="11.85546875" style="1" customWidth="1"/>
    <col min="15101" max="15101" width="13.140625" style="1" customWidth="1"/>
    <col min="15102" max="15102" width="13.28515625" style="1" customWidth="1"/>
    <col min="15103" max="15103" width="14.28515625" style="1" customWidth="1"/>
    <col min="15104" max="15104" width="14.7109375" style="1" customWidth="1"/>
    <col min="15105" max="15348" width="9.140625" style="1"/>
    <col min="15349" max="15349" width="12.140625" style="1" bestFit="1" customWidth="1"/>
    <col min="15350" max="15350" width="26.42578125" style="1" bestFit="1" customWidth="1"/>
    <col min="15351" max="15351" width="26.42578125" style="1" customWidth="1"/>
    <col min="15352" max="15352" width="12.7109375" style="1" customWidth="1"/>
    <col min="15353" max="15353" width="13" style="1" customWidth="1"/>
    <col min="15354" max="15354" width="13.85546875" style="1" customWidth="1"/>
    <col min="15355" max="15355" width="12" style="1" customWidth="1"/>
    <col min="15356" max="15356" width="11.85546875" style="1" customWidth="1"/>
    <col min="15357" max="15357" width="13.140625" style="1" customWidth="1"/>
    <col min="15358" max="15358" width="13.28515625" style="1" customWidth="1"/>
    <col min="15359" max="15359" width="14.28515625" style="1" customWidth="1"/>
    <col min="15360" max="15360" width="14.7109375" style="1" customWidth="1"/>
    <col min="15361" max="15604" width="9.140625" style="1"/>
    <col min="15605" max="15605" width="12.140625" style="1" bestFit="1" customWidth="1"/>
    <col min="15606" max="15606" width="26.42578125" style="1" bestFit="1" customWidth="1"/>
    <col min="15607" max="15607" width="26.42578125" style="1" customWidth="1"/>
    <col min="15608" max="15608" width="12.7109375" style="1" customWidth="1"/>
    <col min="15609" max="15609" width="13" style="1" customWidth="1"/>
    <col min="15610" max="15610" width="13.85546875" style="1" customWidth="1"/>
    <col min="15611" max="15611" width="12" style="1" customWidth="1"/>
    <col min="15612" max="15612" width="11.85546875" style="1" customWidth="1"/>
    <col min="15613" max="15613" width="13.140625" style="1" customWidth="1"/>
    <col min="15614" max="15614" width="13.28515625" style="1" customWidth="1"/>
    <col min="15615" max="15615" width="14.28515625" style="1" customWidth="1"/>
    <col min="15616" max="15616" width="14.7109375" style="1" customWidth="1"/>
    <col min="15617" max="15860" width="9.140625" style="1"/>
    <col min="15861" max="15861" width="12.140625" style="1" bestFit="1" customWidth="1"/>
    <col min="15862" max="15862" width="26.42578125" style="1" bestFit="1" customWidth="1"/>
    <col min="15863" max="15863" width="26.42578125" style="1" customWidth="1"/>
    <col min="15864" max="15864" width="12.7109375" style="1" customWidth="1"/>
    <col min="15865" max="15865" width="13" style="1" customWidth="1"/>
    <col min="15866" max="15866" width="13.85546875" style="1" customWidth="1"/>
    <col min="15867" max="15867" width="12" style="1" customWidth="1"/>
    <col min="15868" max="15868" width="11.85546875" style="1" customWidth="1"/>
    <col min="15869" max="15869" width="13.140625" style="1" customWidth="1"/>
    <col min="15870" max="15870" width="13.28515625" style="1" customWidth="1"/>
    <col min="15871" max="15871" width="14.28515625" style="1" customWidth="1"/>
    <col min="15872" max="15872" width="14.7109375" style="1" customWidth="1"/>
    <col min="15873" max="16116" width="9.140625" style="1"/>
    <col min="16117" max="16117" width="12.140625" style="1" bestFit="1" customWidth="1"/>
    <col min="16118" max="16118" width="26.42578125" style="1" bestFit="1" customWidth="1"/>
    <col min="16119" max="16119" width="26.42578125" style="1" customWidth="1"/>
    <col min="16120" max="16120" width="12.7109375" style="1" customWidth="1"/>
    <col min="16121" max="16121" width="13" style="1" customWidth="1"/>
    <col min="16122" max="16122" width="13.85546875" style="1" customWidth="1"/>
    <col min="16123" max="16123" width="12" style="1" customWidth="1"/>
    <col min="16124" max="16124" width="11.85546875" style="1" customWidth="1"/>
    <col min="16125" max="16125" width="13.140625" style="1" customWidth="1"/>
    <col min="16126" max="16126" width="13.28515625" style="1" customWidth="1"/>
    <col min="16127" max="16127" width="14.28515625" style="1" customWidth="1"/>
    <col min="16128" max="16128" width="14.7109375" style="1" customWidth="1"/>
    <col min="16129" max="16384" width="9.140625" style="1"/>
  </cols>
  <sheetData>
    <row r="1" spans="1:37" s="78" customFormat="1" ht="20.100000000000001" customHeight="1" x14ac:dyDescent="0.25">
      <c r="A1" s="299" t="s">
        <v>201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2" spans="1:37" ht="36.75" customHeight="1" x14ac:dyDescent="0.25">
      <c r="B2" s="246" t="s">
        <v>142</v>
      </c>
      <c r="C2" s="247"/>
      <c r="D2" s="258"/>
      <c r="E2" s="248" t="s">
        <v>143</v>
      </c>
      <c r="F2" s="248"/>
      <c r="G2" s="248"/>
      <c r="H2" s="248"/>
      <c r="I2" s="248" t="s">
        <v>144</v>
      </c>
      <c r="J2" s="248"/>
      <c r="K2" s="248"/>
      <c r="L2" s="248" t="s">
        <v>145</v>
      </c>
      <c r="M2" s="248"/>
      <c r="N2" s="248"/>
      <c r="O2" s="248"/>
    </row>
    <row r="3" spans="1:37" ht="30" customHeight="1" x14ac:dyDescent="0.25">
      <c r="A3" s="272" t="s">
        <v>1</v>
      </c>
      <c r="B3" s="297" t="s">
        <v>153</v>
      </c>
      <c r="C3" s="298" t="s">
        <v>185</v>
      </c>
      <c r="D3" s="297" t="s">
        <v>180</v>
      </c>
      <c r="E3" s="297" t="s">
        <v>153</v>
      </c>
      <c r="F3" s="298" t="s">
        <v>185</v>
      </c>
      <c r="G3" s="297" t="s">
        <v>180</v>
      </c>
      <c r="H3" s="281" t="s">
        <v>200</v>
      </c>
      <c r="I3" s="297" t="s">
        <v>153</v>
      </c>
      <c r="J3" s="298" t="s">
        <v>185</v>
      </c>
      <c r="K3" s="297" t="s">
        <v>180</v>
      </c>
      <c r="L3" s="297" t="s">
        <v>153</v>
      </c>
      <c r="M3" s="298" t="s">
        <v>185</v>
      </c>
      <c r="N3" s="297" t="s">
        <v>180</v>
      </c>
      <c r="O3" s="281" t="s">
        <v>200</v>
      </c>
    </row>
    <row r="4" spans="1:37" s="78" customFormat="1" ht="44.25" customHeight="1" x14ac:dyDescent="0.25">
      <c r="A4" s="272"/>
      <c r="B4" s="297"/>
      <c r="C4" s="298"/>
      <c r="D4" s="297"/>
      <c r="E4" s="297"/>
      <c r="F4" s="298"/>
      <c r="G4" s="297"/>
      <c r="H4" s="282"/>
      <c r="I4" s="297"/>
      <c r="J4" s="298"/>
      <c r="K4" s="297"/>
      <c r="L4" s="297"/>
      <c r="M4" s="298"/>
      <c r="N4" s="297"/>
      <c r="O4" s="282"/>
    </row>
    <row r="5" spans="1:37" customFormat="1" ht="15.75" x14ac:dyDescent="0.25">
      <c r="A5" s="46" t="s">
        <v>202</v>
      </c>
      <c r="B5" s="103">
        <v>1</v>
      </c>
      <c r="C5" s="104">
        <v>20</v>
      </c>
      <c r="D5" s="100"/>
      <c r="E5" s="103">
        <v>1</v>
      </c>
      <c r="F5" s="104">
        <v>20</v>
      </c>
      <c r="G5" s="49">
        <f>9/20</f>
        <v>0.45</v>
      </c>
      <c r="H5" s="200">
        <v>3.9E-2</v>
      </c>
      <c r="I5" s="103">
        <v>1</v>
      </c>
      <c r="J5" s="104">
        <v>20</v>
      </c>
      <c r="K5" s="48">
        <f>12/20</f>
        <v>0.6</v>
      </c>
      <c r="L5" s="103">
        <v>1</v>
      </c>
      <c r="M5" s="104">
        <v>20</v>
      </c>
      <c r="N5" s="48">
        <f>13/20</f>
        <v>0.65</v>
      </c>
      <c r="O5" s="204">
        <v>7.1999999999999995E-2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customFormat="1" ht="15.75" x14ac:dyDescent="0.25">
      <c r="A6" s="46" t="s">
        <v>67</v>
      </c>
      <c r="B6" s="103">
        <v>1</v>
      </c>
      <c r="C6" s="104">
        <v>60</v>
      </c>
      <c r="D6" s="49">
        <f>53/60</f>
        <v>0.8833333333333333</v>
      </c>
      <c r="E6" s="103">
        <v>1</v>
      </c>
      <c r="F6" s="104">
        <v>60</v>
      </c>
      <c r="G6" s="49">
        <f>53/60</f>
        <v>0.8833333333333333</v>
      </c>
      <c r="H6" s="200">
        <v>0.64200000000000002</v>
      </c>
      <c r="I6" s="103">
        <v>1</v>
      </c>
      <c r="J6" s="104">
        <v>60</v>
      </c>
      <c r="K6" s="48">
        <f>50/60</f>
        <v>0.83333333333333337</v>
      </c>
      <c r="L6" s="103">
        <v>1</v>
      </c>
      <c r="M6" s="104">
        <v>60</v>
      </c>
      <c r="N6" s="48">
        <f>54/60</f>
        <v>0.9</v>
      </c>
      <c r="O6" s="204">
        <v>0.41399999999999998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customFormat="1" ht="15.75" x14ac:dyDescent="0.25">
      <c r="A7" s="46" t="s">
        <v>168</v>
      </c>
      <c r="B7" s="103">
        <v>1</v>
      </c>
      <c r="C7" s="104">
        <v>60</v>
      </c>
      <c r="D7" s="49">
        <f>55/60</f>
        <v>0.91666666666666663</v>
      </c>
      <c r="E7" s="103">
        <v>1</v>
      </c>
      <c r="F7" s="104">
        <v>60</v>
      </c>
      <c r="G7" s="49">
        <f>56/60</f>
        <v>0.93333333333333335</v>
      </c>
      <c r="H7" s="200">
        <v>0.44500000000000001</v>
      </c>
      <c r="I7" s="103">
        <v>1</v>
      </c>
      <c r="J7" s="104">
        <v>60</v>
      </c>
      <c r="K7" s="48">
        <f>54/60</f>
        <v>0.9</v>
      </c>
      <c r="L7" s="103">
        <v>1</v>
      </c>
      <c r="M7" s="104">
        <v>60</v>
      </c>
      <c r="N7" s="48">
        <f>56/60</f>
        <v>0.93333333333333335</v>
      </c>
      <c r="O7" s="204">
        <v>0.311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customFormat="1" ht="15.75" x14ac:dyDescent="0.25">
      <c r="A8" s="46" t="s">
        <v>99</v>
      </c>
      <c r="B8" s="110"/>
      <c r="C8" s="111"/>
      <c r="D8" s="112"/>
      <c r="E8" s="103">
        <v>1</v>
      </c>
      <c r="F8" s="104">
        <v>20</v>
      </c>
      <c r="G8" s="50">
        <f>2/20</f>
        <v>0.1</v>
      </c>
      <c r="H8" s="201"/>
      <c r="I8" s="103">
        <v>1</v>
      </c>
      <c r="J8" s="104">
        <v>40</v>
      </c>
      <c r="K8" s="48">
        <f>4/40</f>
        <v>0.1</v>
      </c>
      <c r="L8" s="103">
        <v>1</v>
      </c>
      <c r="M8" s="104">
        <v>40</v>
      </c>
      <c r="N8" s="48">
        <f>7/40</f>
        <v>0.17499999999999999</v>
      </c>
      <c r="O8" s="205">
        <v>3.3000000000000002E-2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5.75" x14ac:dyDescent="0.25">
      <c r="A9" s="46" t="s">
        <v>171</v>
      </c>
      <c r="B9" s="105">
        <v>2</v>
      </c>
      <c r="C9" s="104">
        <v>75</v>
      </c>
      <c r="D9" s="51">
        <f>75/75</f>
        <v>1</v>
      </c>
      <c r="E9" s="105">
        <v>2</v>
      </c>
      <c r="F9" s="104">
        <v>75</v>
      </c>
      <c r="G9" s="51">
        <f>78/75</f>
        <v>1.04</v>
      </c>
      <c r="H9" s="202">
        <v>0.22600000000000001</v>
      </c>
      <c r="I9" s="105">
        <v>2</v>
      </c>
      <c r="J9" s="104">
        <v>75</v>
      </c>
      <c r="K9" s="51">
        <f>76/75</f>
        <v>1.0133333333333334</v>
      </c>
      <c r="L9" s="105">
        <v>2</v>
      </c>
      <c r="M9" s="104">
        <v>75</v>
      </c>
      <c r="N9" s="51">
        <f>78/75</f>
        <v>1.04</v>
      </c>
      <c r="O9" s="202">
        <v>0.10299999999999999</v>
      </c>
    </row>
    <row r="10" spans="1:37" ht="15" customHeight="1" x14ac:dyDescent="0.25">
      <c r="A10" s="101" t="s">
        <v>182</v>
      </c>
      <c r="B10" s="40">
        <f>SUM(B5:B9)</f>
        <v>5</v>
      </c>
      <c r="C10" s="40">
        <f>SUM(C5:C9)</f>
        <v>215</v>
      </c>
      <c r="D10" s="178">
        <v>0.93</v>
      </c>
      <c r="E10" s="40">
        <f>SUM(E5:E9)</f>
        <v>6</v>
      </c>
      <c r="F10" s="40">
        <f>SUM(F5:F9)</f>
        <v>235</v>
      </c>
      <c r="G10" s="178">
        <v>0.68</v>
      </c>
      <c r="H10" s="203">
        <v>0.40100000000000002</v>
      </c>
      <c r="I10" s="40">
        <f>SUM(I5:I9)</f>
        <v>6</v>
      </c>
      <c r="J10" s="40">
        <f>SUM(J5:J9)</f>
        <v>255</v>
      </c>
      <c r="K10" s="178">
        <v>0.69</v>
      </c>
      <c r="L10" s="40">
        <f>SUM(L5:L9)</f>
        <v>6</v>
      </c>
      <c r="M10" s="40">
        <f>SUM(M5:M9)</f>
        <v>255</v>
      </c>
      <c r="N10" s="178">
        <v>0.74</v>
      </c>
      <c r="O10" s="203">
        <v>0.23400000000000001</v>
      </c>
    </row>
    <row r="11" spans="1:37" x14ac:dyDescent="0.25">
      <c r="A11" s="102" t="s">
        <v>183</v>
      </c>
    </row>
    <row r="12" spans="1:37" x14ac:dyDescent="0.25">
      <c r="A12" s="102" t="s">
        <v>149</v>
      </c>
    </row>
    <row r="13" spans="1:37" x14ac:dyDescent="0.25">
      <c r="A13" s="1" t="s">
        <v>243</v>
      </c>
    </row>
    <row r="14" spans="1:37" x14ac:dyDescent="0.25">
      <c r="A14" s="1" t="s">
        <v>244</v>
      </c>
    </row>
  </sheetData>
  <mergeCells count="20">
    <mergeCell ref="A3:A4"/>
    <mergeCell ref="B3:B4"/>
    <mergeCell ref="C3:C4"/>
    <mergeCell ref="D3:D4"/>
    <mergeCell ref="E3:E4"/>
    <mergeCell ref="A1:O1"/>
    <mergeCell ref="B2:D2"/>
    <mergeCell ref="E2:H2"/>
    <mergeCell ref="I2:K2"/>
    <mergeCell ref="L2:O2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2C593-66D7-4A84-9CC2-516F4263138D}">
  <dimension ref="A1:M54"/>
  <sheetViews>
    <sheetView zoomScale="85" zoomScaleNormal="85" workbookViewId="0">
      <pane xSplit="1" topLeftCell="B1" activePane="topRight" state="frozen"/>
      <selection pane="topRight" activeCell="H58" sqref="H58"/>
    </sheetView>
  </sheetViews>
  <sheetFormatPr defaultRowHeight="15" x14ac:dyDescent="0.25"/>
  <cols>
    <col min="1" max="1" width="26.42578125" customWidth="1"/>
    <col min="2" max="2" width="12.5703125" customWidth="1"/>
    <col min="3" max="3" width="11.42578125" customWidth="1"/>
    <col min="4" max="4" width="14.7109375" customWidth="1"/>
    <col min="5" max="5" width="12" customWidth="1"/>
    <col min="6" max="7" width="13.140625" customWidth="1"/>
    <col min="8" max="8" width="11.42578125" customWidth="1"/>
    <col min="9" max="9" width="10.85546875" customWidth="1"/>
    <col min="10" max="10" width="12.7109375" customWidth="1"/>
    <col min="11" max="11" width="10.85546875" customWidth="1"/>
    <col min="12" max="12" width="11.28515625" customWidth="1"/>
    <col min="13" max="13" width="11.140625" customWidth="1"/>
  </cols>
  <sheetData>
    <row r="1" spans="1:13" ht="27.75" customHeight="1" x14ac:dyDescent="0.25">
      <c r="A1" s="301" t="s">
        <v>199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27.75" customHeight="1" x14ac:dyDescent="0.25">
      <c r="A2" s="1"/>
      <c r="B2" s="246" t="s">
        <v>142</v>
      </c>
      <c r="C2" s="247"/>
      <c r="D2" s="258"/>
      <c r="E2" s="248" t="s">
        <v>143</v>
      </c>
      <c r="F2" s="248"/>
      <c r="G2" s="248"/>
      <c r="H2" s="248" t="s">
        <v>144</v>
      </c>
      <c r="I2" s="248"/>
      <c r="J2" s="248"/>
      <c r="K2" s="248" t="s">
        <v>145</v>
      </c>
      <c r="L2" s="248"/>
      <c r="M2" s="248"/>
    </row>
    <row r="3" spans="1:13" ht="37.5" customHeight="1" x14ac:dyDescent="0.25">
      <c r="A3" s="272" t="s">
        <v>1</v>
      </c>
      <c r="B3" s="297" t="s">
        <v>153</v>
      </c>
      <c r="C3" s="298" t="s">
        <v>185</v>
      </c>
      <c r="D3" s="297" t="s">
        <v>180</v>
      </c>
      <c r="E3" s="297" t="s">
        <v>153</v>
      </c>
      <c r="F3" s="298" t="s">
        <v>185</v>
      </c>
      <c r="G3" s="297" t="s">
        <v>180</v>
      </c>
      <c r="H3" s="297" t="s">
        <v>153</v>
      </c>
      <c r="I3" s="298" t="s">
        <v>185</v>
      </c>
      <c r="J3" s="297" t="s">
        <v>180</v>
      </c>
      <c r="K3" s="297" t="s">
        <v>153</v>
      </c>
      <c r="L3" s="298" t="s">
        <v>185</v>
      </c>
      <c r="M3" s="297" t="s">
        <v>180</v>
      </c>
    </row>
    <row r="4" spans="1:13" ht="42.75" customHeight="1" x14ac:dyDescent="0.25">
      <c r="A4" s="272"/>
      <c r="B4" s="297"/>
      <c r="C4" s="298"/>
      <c r="D4" s="297"/>
      <c r="E4" s="297"/>
      <c r="F4" s="298"/>
      <c r="G4" s="297"/>
      <c r="H4" s="297"/>
      <c r="I4" s="298"/>
      <c r="J4" s="297"/>
      <c r="K4" s="297"/>
      <c r="L4" s="298"/>
      <c r="M4" s="297"/>
    </row>
    <row r="5" spans="1:13" ht="18" customHeight="1" x14ac:dyDescent="0.25">
      <c r="A5" s="98" t="s">
        <v>63</v>
      </c>
      <c r="B5" s="107">
        <v>1</v>
      </c>
      <c r="C5" s="107">
        <v>12</v>
      </c>
      <c r="D5" s="179">
        <f>10/12</f>
        <v>0.83333333333333337</v>
      </c>
      <c r="E5" s="107">
        <v>1</v>
      </c>
      <c r="F5" s="107">
        <v>12</v>
      </c>
      <c r="G5" s="66">
        <f>12/12</f>
        <v>1</v>
      </c>
      <c r="H5" s="107">
        <v>1</v>
      </c>
      <c r="I5" s="107">
        <v>12</v>
      </c>
      <c r="J5" s="66">
        <f>12/12</f>
        <v>1</v>
      </c>
      <c r="K5" s="107">
        <v>1</v>
      </c>
      <c r="L5" s="107">
        <v>12</v>
      </c>
      <c r="M5" s="66">
        <f>10/12</f>
        <v>0.83333333333333337</v>
      </c>
    </row>
    <row r="6" spans="1:13" hidden="1" x14ac:dyDescent="0.25">
      <c r="A6" s="98"/>
      <c r="B6" s="107"/>
      <c r="C6" s="107"/>
      <c r="D6" s="179"/>
      <c r="E6" s="107"/>
      <c r="F6" s="107"/>
      <c r="G6" s="66"/>
      <c r="H6" s="107"/>
      <c r="I6" s="107"/>
      <c r="J6" s="66"/>
      <c r="K6" s="107"/>
      <c r="L6" s="107"/>
      <c r="M6" s="66"/>
    </row>
    <row r="7" spans="1:13" hidden="1" x14ac:dyDescent="0.25">
      <c r="A7" s="98"/>
      <c r="B7" s="107"/>
      <c r="C7" s="107"/>
      <c r="D7" s="179"/>
      <c r="E7" s="107"/>
      <c r="F7" s="107"/>
      <c r="G7" s="66"/>
      <c r="H7" s="107"/>
      <c r="I7" s="107"/>
      <c r="J7" s="66"/>
      <c r="K7" s="107"/>
      <c r="L7" s="107"/>
      <c r="M7" s="66"/>
    </row>
    <row r="8" spans="1:13" hidden="1" x14ac:dyDescent="0.25">
      <c r="A8" s="98"/>
      <c r="B8" s="107"/>
      <c r="C8" s="107"/>
      <c r="D8" s="179"/>
      <c r="E8" s="107"/>
      <c r="F8" s="107"/>
      <c r="G8" s="66"/>
      <c r="H8" s="107"/>
      <c r="I8" s="107"/>
      <c r="J8" s="66"/>
      <c r="K8" s="107"/>
      <c r="L8" s="107"/>
      <c r="M8" s="66"/>
    </row>
    <row r="9" spans="1:13" hidden="1" x14ac:dyDescent="0.25">
      <c r="A9" s="98"/>
      <c r="B9" s="107"/>
      <c r="C9" s="107"/>
      <c r="D9" s="179"/>
      <c r="E9" s="107"/>
      <c r="F9" s="107"/>
      <c r="G9" s="66"/>
      <c r="H9" s="107"/>
      <c r="I9" s="107"/>
      <c r="J9" s="66"/>
      <c r="K9" s="107"/>
      <c r="L9" s="107"/>
      <c r="M9" s="66"/>
    </row>
    <row r="10" spans="1:13" hidden="1" x14ac:dyDescent="0.25">
      <c r="A10" s="98"/>
      <c r="B10" s="107"/>
      <c r="C10" s="107"/>
      <c r="D10" s="179"/>
      <c r="E10" s="107"/>
      <c r="F10" s="107"/>
      <c r="G10" s="66"/>
      <c r="H10" s="107"/>
      <c r="I10" s="107"/>
      <c r="J10" s="66"/>
      <c r="K10" s="107"/>
      <c r="L10" s="107"/>
      <c r="M10" s="66"/>
    </row>
    <row r="11" spans="1:13" hidden="1" x14ac:dyDescent="0.25">
      <c r="A11" s="98"/>
      <c r="B11" s="107"/>
      <c r="C11" s="107"/>
      <c r="D11" s="179"/>
      <c r="E11" s="107"/>
      <c r="F11" s="107"/>
      <c r="G11" s="66"/>
      <c r="H11" s="107"/>
      <c r="I11" s="107"/>
      <c r="J11" s="66"/>
      <c r="K11" s="107"/>
      <c r="L11" s="107"/>
      <c r="M11" s="66"/>
    </row>
    <row r="12" spans="1:13" hidden="1" x14ac:dyDescent="0.25">
      <c r="A12" s="98"/>
      <c r="B12" s="107"/>
      <c r="C12" s="107"/>
      <c r="D12" s="179"/>
      <c r="E12" s="107"/>
      <c r="F12" s="107"/>
      <c r="G12" s="66"/>
      <c r="H12" s="107"/>
      <c r="I12" s="107"/>
      <c r="J12" s="66"/>
      <c r="K12" s="107"/>
      <c r="L12" s="107"/>
      <c r="M12" s="66"/>
    </row>
    <row r="13" spans="1:13" hidden="1" x14ac:dyDescent="0.25">
      <c r="A13" s="98"/>
      <c r="B13" s="107"/>
      <c r="C13" s="107"/>
      <c r="D13" s="179"/>
      <c r="E13" s="107"/>
      <c r="F13" s="107"/>
      <c r="G13" s="66"/>
      <c r="H13" s="107"/>
      <c r="I13" s="107"/>
      <c r="J13" s="66"/>
      <c r="K13" s="107"/>
      <c r="L13" s="107"/>
      <c r="M13" s="66"/>
    </row>
    <row r="14" spans="1:13" x14ac:dyDescent="0.25">
      <c r="A14" s="98" t="s">
        <v>203</v>
      </c>
      <c r="B14" s="107">
        <v>1</v>
      </c>
      <c r="C14" s="107">
        <v>6</v>
      </c>
      <c r="D14" s="181"/>
      <c r="E14" s="107">
        <v>1</v>
      </c>
      <c r="F14" s="107">
        <v>6</v>
      </c>
      <c r="G14" s="66">
        <f>2/6</f>
        <v>0.33333333333333331</v>
      </c>
      <c r="H14" s="107">
        <v>1</v>
      </c>
      <c r="I14" s="107">
        <v>6</v>
      </c>
      <c r="J14" s="66">
        <f>5/6</f>
        <v>0.83333333333333337</v>
      </c>
      <c r="K14" s="107">
        <v>1</v>
      </c>
      <c r="L14" s="107">
        <v>6</v>
      </c>
      <c r="M14" s="66">
        <f>6/6</f>
        <v>1</v>
      </c>
    </row>
    <row r="15" spans="1:13" x14ac:dyDescent="0.25">
      <c r="A15" s="98" t="s">
        <v>165</v>
      </c>
      <c r="B15" s="106">
        <v>1</v>
      </c>
      <c r="C15" s="106">
        <v>12</v>
      </c>
      <c r="D15" s="180">
        <f>11/12</f>
        <v>0.91666666666666663</v>
      </c>
      <c r="E15" s="106">
        <v>1</v>
      </c>
      <c r="F15" s="106">
        <v>12</v>
      </c>
      <c r="G15" s="66">
        <f>9/12</f>
        <v>0.75</v>
      </c>
      <c r="H15" s="106">
        <v>1</v>
      </c>
      <c r="I15" s="106">
        <v>12</v>
      </c>
      <c r="J15" s="66">
        <f>10/12</f>
        <v>0.83333333333333337</v>
      </c>
      <c r="K15" s="106">
        <v>1</v>
      </c>
      <c r="L15" s="106">
        <v>12</v>
      </c>
      <c r="M15" s="66">
        <f>12/12</f>
        <v>1</v>
      </c>
    </row>
    <row r="16" spans="1:13" x14ac:dyDescent="0.25">
      <c r="A16" s="98" t="s">
        <v>85</v>
      </c>
      <c r="B16" s="107">
        <v>1</v>
      </c>
      <c r="C16" s="107">
        <v>12</v>
      </c>
      <c r="D16" s="179">
        <f>9/12</f>
        <v>0.75</v>
      </c>
      <c r="E16" s="107">
        <v>1</v>
      </c>
      <c r="F16" s="107">
        <v>12</v>
      </c>
      <c r="G16" s="66">
        <f>10/12</f>
        <v>0.83333333333333337</v>
      </c>
      <c r="H16" s="107">
        <v>1</v>
      </c>
      <c r="I16" s="107">
        <v>12</v>
      </c>
      <c r="J16" s="66">
        <f>11/12</f>
        <v>0.91666666666666663</v>
      </c>
      <c r="K16" s="107">
        <v>1</v>
      </c>
      <c r="L16" s="107">
        <v>12</v>
      </c>
      <c r="M16" s="66">
        <f>9/12</f>
        <v>0.75</v>
      </c>
    </row>
    <row r="17" spans="1:13" x14ac:dyDescent="0.25">
      <c r="A17" s="98" t="s">
        <v>108</v>
      </c>
      <c r="B17" s="108"/>
      <c r="C17" s="108"/>
      <c r="D17" s="181"/>
      <c r="E17" s="108"/>
      <c r="F17" s="108"/>
      <c r="G17" s="76"/>
      <c r="H17" s="107">
        <v>1</v>
      </c>
      <c r="I17" s="107">
        <v>6</v>
      </c>
      <c r="J17" s="66">
        <f>1/6</f>
        <v>0.16666666666666666</v>
      </c>
      <c r="K17" s="107">
        <v>1</v>
      </c>
      <c r="L17" s="107">
        <v>6</v>
      </c>
      <c r="M17" s="66">
        <f>2/6</f>
        <v>0.33333333333333331</v>
      </c>
    </row>
    <row r="18" spans="1:13" x14ac:dyDescent="0.25">
      <c r="A18" s="98" t="s">
        <v>247</v>
      </c>
      <c r="B18" s="107">
        <v>1</v>
      </c>
      <c r="C18" s="107">
        <v>6</v>
      </c>
      <c r="D18" s="179">
        <f>3/6</f>
        <v>0.5</v>
      </c>
      <c r="E18" s="107">
        <v>1</v>
      </c>
      <c r="F18" s="107">
        <v>6</v>
      </c>
      <c r="G18" s="66">
        <f>4/6</f>
        <v>0.66666666666666663</v>
      </c>
      <c r="H18" s="107">
        <v>1</v>
      </c>
      <c r="I18" s="107">
        <v>6</v>
      </c>
      <c r="J18" s="66">
        <f>5/6</f>
        <v>0.83333333333333337</v>
      </c>
      <c r="K18" s="107">
        <v>1</v>
      </c>
      <c r="L18" s="107">
        <v>6</v>
      </c>
      <c r="M18" s="66">
        <f>5/6</f>
        <v>0.83333333333333337</v>
      </c>
    </row>
    <row r="19" spans="1:13" x14ac:dyDescent="0.25">
      <c r="A19" s="98" t="s">
        <v>40</v>
      </c>
      <c r="B19" s="107">
        <v>1</v>
      </c>
      <c r="C19" s="107">
        <v>12</v>
      </c>
      <c r="D19" s="179">
        <f>8/12</f>
        <v>0.66666666666666663</v>
      </c>
      <c r="E19" s="107">
        <v>1</v>
      </c>
      <c r="F19" s="107">
        <v>12</v>
      </c>
      <c r="G19" s="66">
        <f>10/12</f>
        <v>0.83333333333333337</v>
      </c>
      <c r="H19" s="107">
        <v>1</v>
      </c>
      <c r="I19" s="107">
        <v>12</v>
      </c>
      <c r="J19" s="66">
        <f>11/12</f>
        <v>0.91666666666666663</v>
      </c>
      <c r="K19" s="107">
        <v>1</v>
      </c>
      <c r="L19" s="107">
        <v>12</v>
      </c>
      <c r="M19" s="66">
        <f>11/12</f>
        <v>0.91666666666666663</v>
      </c>
    </row>
    <row r="20" spans="1:13" x14ac:dyDescent="0.25">
      <c r="A20" s="98" t="s">
        <v>248</v>
      </c>
      <c r="B20" s="107">
        <v>1</v>
      </c>
      <c r="C20" s="107">
        <v>18</v>
      </c>
      <c r="D20" s="179">
        <f>2/18</f>
        <v>0.1111111111111111</v>
      </c>
      <c r="E20" s="107">
        <v>1</v>
      </c>
      <c r="F20" s="107">
        <v>18</v>
      </c>
      <c r="G20" s="66">
        <f>6/18</f>
        <v>0.33333333333333331</v>
      </c>
      <c r="H20" s="107">
        <v>1</v>
      </c>
      <c r="I20" s="107">
        <v>18</v>
      </c>
      <c r="J20" s="66">
        <f>11/18</f>
        <v>0.61111111111111116</v>
      </c>
      <c r="K20" s="107">
        <v>1</v>
      </c>
      <c r="L20" s="107">
        <v>18</v>
      </c>
      <c r="M20" s="66">
        <f>14/18</f>
        <v>0.77777777777777779</v>
      </c>
    </row>
    <row r="21" spans="1:13" x14ac:dyDescent="0.25">
      <c r="A21" s="98" t="s">
        <v>249</v>
      </c>
      <c r="B21" s="107">
        <v>1</v>
      </c>
      <c r="C21" s="107">
        <v>18</v>
      </c>
      <c r="D21" s="179">
        <f>7/18</f>
        <v>0.3888888888888889</v>
      </c>
      <c r="E21" s="107">
        <v>1</v>
      </c>
      <c r="F21" s="107">
        <v>18</v>
      </c>
      <c r="G21" s="66">
        <f>13/18</f>
        <v>0.72222222222222221</v>
      </c>
      <c r="H21" s="107">
        <v>1</v>
      </c>
      <c r="I21" s="107">
        <v>18</v>
      </c>
      <c r="J21" s="66">
        <f>14/18</f>
        <v>0.77777777777777779</v>
      </c>
      <c r="K21" s="107">
        <v>1</v>
      </c>
      <c r="L21" s="107">
        <v>18</v>
      </c>
      <c r="M21" s="66">
        <f>13/18</f>
        <v>0.72222222222222221</v>
      </c>
    </row>
    <row r="22" spans="1:13" ht="15.75" x14ac:dyDescent="0.25">
      <c r="A22" s="101" t="s">
        <v>182</v>
      </c>
      <c r="B22" s="40">
        <f>SUM(B5:B21)</f>
        <v>8</v>
      </c>
      <c r="C22" s="40">
        <f>SUM(C5:C21)</f>
        <v>96</v>
      </c>
      <c r="D22" s="178">
        <v>0.6</v>
      </c>
      <c r="E22" s="40">
        <f>SUM(E5:E21)</f>
        <v>8</v>
      </c>
      <c r="F22" s="40">
        <f>SUM(F5:F21)</f>
        <v>96</v>
      </c>
      <c r="G22" s="178">
        <v>0.68</v>
      </c>
      <c r="H22" s="40">
        <f>SUM(H5:H21)</f>
        <v>9</v>
      </c>
      <c r="I22" s="40">
        <f>SUM(I5:I21)</f>
        <v>102</v>
      </c>
      <c r="J22" s="178">
        <v>0.77</v>
      </c>
      <c r="K22" s="40">
        <f t="shared" ref="K22:L22" si="0">SUM(K5:K21)</f>
        <v>9</v>
      </c>
      <c r="L22" s="40">
        <f t="shared" si="0"/>
        <v>102</v>
      </c>
      <c r="M22" s="178">
        <v>0.8</v>
      </c>
    </row>
    <row r="23" spans="1:13" x14ac:dyDescent="0.25">
      <c r="A23" s="102" t="s">
        <v>183</v>
      </c>
      <c r="B23" s="1"/>
      <c r="C23" s="1"/>
      <c r="D23" s="1"/>
      <c r="F23" s="44"/>
      <c r="G23" s="44"/>
    </row>
    <row r="24" spans="1:13" x14ac:dyDescent="0.25">
      <c r="A24" s="102" t="s">
        <v>149</v>
      </c>
      <c r="B24" s="1"/>
      <c r="C24" s="1"/>
      <c r="D24" s="1"/>
    </row>
    <row r="25" spans="1:13" x14ac:dyDescent="0.25">
      <c r="A25" s="1" t="s">
        <v>245</v>
      </c>
      <c r="B25" s="1"/>
      <c r="C25" s="1"/>
      <c r="D25" s="1"/>
    </row>
    <row r="26" spans="1:13" ht="15.75" hidden="1" customHeight="1" x14ac:dyDescent="0.25">
      <c r="A26" s="1"/>
      <c r="B26" s="1"/>
      <c r="C26" s="1"/>
      <c r="D26" s="1"/>
    </row>
    <row r="27" spans="1:13" ht="15.75" hidden="1" customHeight="1" x14ac:dyDescent="0.25">
      <c r="A27" s="1"/>
      <c r="B27" s="1"/>
      <c r="C27" s="1"/>
      <c r="D27" s="1"/>
    </row>
    <row r="28" spans="1:13" ht="15.75" hidden="1" customHeight="1" x14ac:dyDescent="0.25">
      <c r="A28" s="1"/>
      <c r="B28" s="1"/>
      <c r="C28" s="1"/>
      <c r="D28" s="1"/>
    </row>
    <row r="29" spans="1:13" ht="15.75" hidden="1" customHeight="1" x14ac:dyDescent="0.25">
      <c r="A29" s="1"/>
      <c r="B29" s="1"/>
      <c r="C29" s="1"/>
      <c r="D29" s="1"/>
    </row>
    <row r="30" spans="1:13" ht="15.75" hidden="1" customHeight="1" x14ac:dyDescent="0.25">
      <c r="A30" s="1"/>
      <c r="B30" s="1"/>
      <c r="C30" s="1"/>
      <c r="D30" s="1"/>
    </row>
    <row r="31" spans="1:13" ht="15" hidden="1" customHeight="1" x14ac:dyDescent="0.25">
      <c r="A31" s="1"/>
      <c r="B31" s="1"/>
      <c r="C31" s="1"/>
      <c r="D31" s="1"/>
    </row>
    <row r="32" spans="1:13" ht="15.75" hidden="1" customHeight="1" x14ac:dyDescent="0.25">
      <c r="A32" s="1"/>
      <c r="B32" s="1"/>
      <c r="C32" s="1"/>
      <c r="D32" s="1"/>
    </row>
    <row r="33" spans="1:4" ht="15.75" hidden="1" customHeight="1" x14ac:dyDescent="0.25">
      <c r="A33" s="1"/>
      <c r="B33" s="1"/>
      <c r="C33" s="1"/>
      <c r="D33" s="1"/>
    </row>
    <row r="34" spans="1:4" ht="15.75" hidden="1" customHeight="1" x14ac:dyDescent="0.25">
      <c r="A34" s="1"/>
      <c r="B34" s="1"/>
      <c r="C34" s="1"/>
      <c r="D34" s="1"/>
    </row>
    <row r="35" spans="1:4" ht="15.75" hidden="1" customHeight="1" x14ac:dyDescent="0.25">
      <c r="A35" s="1"/>
      <c r="B35" s="1"/>
      <c r="C35" s="1"/>
      <c r="D35" s="1"/>
    </row>
    <row r="36" spans="1:4" ht="15.75" hidden="1" customHeight="1" x14ac:dyDescent="0.25">
      <c r="A36" s="1"/>
      <c r="B36" s="1"/>
      <c r="C36" s="1"/>
      <c r="D36" s="1"/>
    </row>
    <row r="37" spans="1:4" ht="15.75" hidden="1" customHeight="1" x14ac:dyDescent="0.25">
      <c r="A37" s="1"/>
      <c r="B37" s="1"/>
      <c r="C37" s="1"/>
      <c r="D37" s="1"/>
    </row>
    <row r="38" spans="1:4" ht="15.75" hidden="1" customHeight="1" x14ac:dyDescent="0.25">
      <c r="A38" s="1"/>
      <c r="B38" s="1"/>
      <c r="C38" s="1"/>
      <c r="D38" s="1"/>
    </row>
    <row r="39" spans="1:4" ht="15.75" hidden="1" customHeight="1" x14ac:dyDescent="0.25">
      <c r="A39" s="1"/>
      <c r="B39" s="1"/>
      <c r="C39" s="1"/>
      <c r="D39" s="1"/>
    </row>
    <row r="40" spans="1:4" ht="15.75" hidden="1" customHeight="1" x14ac:dyDescent="0.25">
      <c r="A40" s="1"/>
      <c r="B40" s="1"/>
      <c r="C40" s="1"/>
      <c r="D40" s="1"/>
    </row>
    <row r="41" spans="1:4" ht="15.75" hidden="1" customHeight="1" x14ac:dyDescent="0.25">
      <c r="A41" s="1"/>
      <c r="B41" s="1"/>
      <c r="C41" s="1"/>
      <c r="D41" s="1"/>
    </row>
    <row r="42" spans="1:4" ht="15.75" hidden="1" customHeight="1" x14ac:dyDescent="0.25">
      <c r="A42" s="1"/>
      <c r="B42" s="1"/>
      <c r="C42" s="1"/>
      <c r="D42" s="1"/>
    </row>
    <row r="43" spans="1:4" ht="15.75" hidden="1" customHeight="1" x14ac:dyDescent="0.25">
      <c r="A43" s="1"/>
      <c r="B43" s="1"/>
      <c r="C43" s="1"/>
      <c r="D43" s="1"/>
    </row>
    <row r="44" spans="1:4" ht="15.75" hidden="1" customHeight="1" x14ac:dyDescent="0.25">
      <c r="A44" s="1"/>
      <c r="B44" s="1"/>
      <c r="C44" s="1"/>
      <c r="D44" s="1"/>
    </row>
    <row r="45" spans="1:4" ht="15.75" hidden="1" customHeight="1" x14ac:dyDescent="0.25">
      <c r="A45" s="1"/>
      <c r="B45" s="1"/>
      <c r="C45" s="1"/>
      <c r="D45" s="1"/>
    </row>
    <row r="46" spans="1:4" ht="15.75" hidden="1" customHeight="1" x14ac:dyDescent="0.25">
      <c r="A46" s="1"/>
      <c r="B46" s="1"/>
      <c r="C46" s="1"/>
      <c r="D46" s="1"/>
    </row>
    <row r="47" spans="1:4" ht="15" hidden="1" customHeight="1" x14ac:dyDescent="0.25">
      <c r="A47" s="1"/>
      <c r="B47" s="1"/>
      <c r="C47" s="1"/>
      <c r="D47" s="1"/>
    </row>
    <row r="48" spans="1:4" x14ac:dyDescent="0.25">
      <c r="A48" s="1" t="s">
        <v>246</v>
      </c>
      <c r="B48" s="1"/>
      <c r="C48" s="1"/>
      <c r="D48" s="1"/>
    </row>
    <row r="49" spans="1:4" x14ac:dyDescent="0.25">
      <c r="A49" s="1" t="s">
        <v>250</v>
      </c>
      <c r="B49" s="1"/>
      <c r="C49" s="1"/>
      <c r="D49" s="1"/>
    </row>
    <row r="50" spans="1:4" x14ac:dyDescent="0.25">
      <c r="A50" s="31"/>
      <c r="B50" s="31"/>
      <c r="C50" s="3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</sheetData>
  <sortState xmlns:xlrd2="http://schemas.microsoft.com/office/spreadsheetml/2017/richdata2" ref="A6:M21">
    <sortCondition ref="A5:A21"/>
  </sortState>
  <mergeCells count="18">
    <mergeCell ref="D3:D4"/>
    <mergeCell ref="E3:E4"/>
    <mergeCell ref="F3:F4"/>
    <mergeCell ref="G3:G4"/>
    <mergeCell ref="B2:D2"/>
    <mergeCell ref="M3:M4"/>
    <mergeCell ref="A1:M1"/>
    <mergeCell ref="H3:H4"/>
    <mergeCell ref="I3:I4"/>
    <mergeCell ref="J3:J4"/>
    <mergeCell ref="K3:K4"/>
    <mergeCell ref="L3:L4"/>
    <mergeCell ref="E2:G2"/>
    <mergeCell ref="H2:J2"/>
    <mergeCell ref="K2:M2"/>
    <mergeCell ref="A3:A4"/>
    <mergeCell ref="B3:B4"/>
    <mergeCell ref="C3:C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729B-EC20-4429-B1D3-1A04296BF3EF}">
  <dimension ref="A1:O15"/>
  <sheetViews>
    <sheetView zoomScale="78" zoomScaleNormal="78" workbookViewId="0">
      <pane xSplit="1" ySplit="4" topLeftCell="B5" activePane="bottomRight" state="frozen"/>
      <selection activeCell="B214" sqref="B214"/>
      <selection pane="topRight" activeCell="B214" sqref="B214"/>
      <selection pane="bottomLeft" activeCell="B214" sqref="B214"/>
      <selection pane="bottomRight" activeCell="K27" sqref="K27"/>
    </sheetView>
  </sheetViews>
  <sheetFormatPr defaultRowHeight="15" x14ac:dyDescent="0.25"/>
  <cols>
    <col min="1" max="1" width="28.28515625" customWidth="1"/>
    <col min="2" max="2" width="15.5703125" customWidth="1"/>
    <col min="3" max="3" width="14" customWidth="1"/>
    <col min="4" max="4" width="15.5703125" customWidth="1"/>
    <col min="5" max="5" width="13" customWidth="1"/>
    <col min="6" max="7" width="11.140625" customWidth="1"/>
    <col min="8" max="8" width="15.7109375" customWidth="1"/>
    <col min="9" max="9" width="12.85546875" customWidth="1"/>
    <col min="10" max="10" width="12.5703125" customWidth="1"/>
    <col min="11" max="11" width="12.85546875" customWidth="1"/>
    <col min="12" max="12" width="11.28515625" customWidth="1"/>
    <col min="13" max="13" width="10.5703125" customWidth="1"/>
    <col min="14" max="14" width="11.5703125" customWidth="1"/>
    <col min="15" max="15" width="19.140625" customWidth="1"/>
  </cols>
  <sheetData>
    <row r="1" spans="1:15" ht="27.75" customHeight="1" x14ac:dyDescent="0.25">
      <c r="A1" s="276" t="s">
        <v>193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15" ht="24.95" customHeight="1" x14ac:dyDescent="0.25">
      <c r="B2" s="246" t="s">
        <v>142</v>
      </c>
      <c r="C2" s="247"/>
      <c r="D2" s="247"/>
      <c r="E2" s="248" t="s">
        <v>143</v>
      </c>
      <c r="F2" s="248"/>
      <c r="G2" s="248"/>
      <c r="H2" s="248"/>
      <c r="I2" s="248" t="s">
        <v>144</v>
      </c>
      <c r="J2" s="248"/>
      <c r="K2" s="248"/>
      <c r="L2" s="248" t="s">
        <v>145</v>
      </c>
      <c r="M2" s="248"/>
      <c r="N2" s="248"/>
      <c r="O2" s="248"/>
    </row>
    <row r="3" spans="1:15" ht="24.95" customHeight="1" x14ac:dyDescent="0.25">
      <c r="A3" s="303" t="s">
        <v>1</v>
      </c>
      <c r="B3" s="304" t="s">
        <v>194</v>
      </c>
      <c r="C3" s="304" t="s">
        <v>195</v>
      </c>
      <c r="D3" s="306" t="s">
        <v>180</v>
      </c>
      <c r="E3" s="304" t="s">
        <v>194</v>
      </c>
      <c r="F3" s="304" t="s">
        <v>195</v>
      </c>
      <c r="G3" s="306" t="s">
        <v>180</v>
      </c>
      <c r="H3" s="308" t="s">
        <v>188</v>
      </c>
      <c r="I3" s="304" t="s">
        <v>194</v>
      </c>
      <c r="J3" s="304" t="s">
        <v>195</v>
      </c>
      <c r="K3" s="306" t="s">
        <v>180</v>
      </c>
      <c r="L3" s="304" t="s">
        <v>194</v>
      </c>
      <c r="M3" s="304" t="s">
        <v>195</v>
      </c>
      <c r="N3" s="306" t="s">
        <v>180</v>
      </c>
      <c r="O3" s="308" t="s">
        <v>188</v>
      </c>
    </row>
    <row r="4" spans="1:15" ht="100.5" customHeight="1" x14ac:dyDescent="0.25">
      <c r="A4" s="303"/>
      <c r="B4" s="305"/>
      <c r="C4" s="305"/>
      <c r="D4" s="307"/>
      <c r="E4" s="305"/>
      <c r="F4" s="305"/>
      <c r="G4" s="307"/>
      <c r="H4" s="308"/>
      <c r="I4" s="305"/>
      <c r="J4" s="305"/>
      <c r="K4" s="307"/>
      <c r="L4" s="305"/>
      <c r="M4" s="305"/>
      <c r="N4" s="307"/>
      <c r="O4" s="308"/>
    </row>
    <row r="5" spans="1:15" ht="15.75" x14ac:dyDescent="0.25">
      <c r="A5" s="46" t="s">
        <v>85</v>
      </c>
      <c r="B5" s="47">
        <v>1</v>
      </c>
      <c r="C5" s="47">
        <v>60</v>
      </c>
      <c r="D5" s="48">
        <f>88/60</f>
        <v>1.4666666666666666</v>
      </c>
      <c r="E5" s="47">
        <v>1</v>
      </c>
      <c r="F5" s="47">
        <v>60</v>
      </c>
      <c r="G5" s="66">
        <f>89/60</f>
        <v>1.4833333333333334</v>
      </c>
      <c r="H5" s="8">
        <v>40.6</v>
      </c>
      <c r="I5" s="8">
        <v>1</v>
      </c>
      <c r="J5" s="8">
        <v>60</v>
      </c>
      <c r="K5" s="66">
        <f>88/60</f>
        <v>1.4666666666666666</v>
      </c>
      <c r="L5" s="8">
        <v>1</v>
      </c>
      <c r="M5" s="8">
        <v>60</v>
      </c>
      <c r="N5" s="66">
        <f>87/60</f>
        <v>1.45</v>
      </c>
      <c r="O5" s="8">
        <v>20.6</v>
      </c>
    </row>
    <row r="6" spans="1:15" ht="15.75" x14ac:dyDescent="0.25">
      <c r="A6" s="46" t="s">
        <v>67</v>
      </c>
      <c r="B6" s="47">
        <v>2</v>
      </c>
      <c r="C6" s="47">
        <v>216</v>
      </c>
      <c r="D6" s="48">
        <f>249/216</f>
        <v>1.1527777777777777</v>
      </c>
      <c r="E6" s="47">
        <v>2</v>
      </c>
      <c r="F6" s="47">
        <v>216</v>
      </c>
      <c r="G6" s="66">
        <f>276/216</f>
        <v>1.2777777777777777</v>
      </c>
      <c r="H6" s="8">
        <v>16.3</v>
      </c>
      <c r="I6" s="47">
        <v>2</v>
      </c>
      <c r="J6" s="47">
        <v>216</v>
      </c>
      <c r="K6" s="66">
        <f>291/216</f>
        <v>1.3472222222222223</v>
      </c>
      <c r="L6" s="47">
        <v>2</v>
      </c>
      <c r="M6" s="47">
        <v>216</v>
      </c>
      <c r="N6" s="66">
        <f>263/216</f>
        <v>1.2175925925925926</v>
      </c>
      <c r="O6" s="8">
        <v>22.8</v>
      </c>
    </row>
    <row r="7" spans="1:15" ht="15.75" x14ac:dyDescent="0.25">
      <c r="A7" s="46" t="s">
        <v>74</v>
      </c>
      <c r="B7" s="47">
        <v>1</v>
      </c>
      <c r="C7" s="47">
        <v>80</v>
      </c>
      <c r="D7" s="48">
        <f>97/80</f>
        <v>1.2124999999999999</v>
      </c>
      <c r="E7" s="47">
        <v>1</v>
      </c>
      <c r="F7" s="47">
        <v>80</v>
      </c>
      <c r="G7" s="66">
        <f>112/80</f>
        <v>1.4</v>
      </c>
      <c r="H7" s="8">
        <v>52.3</v>
      </c>
      <c r="I7" s="47">
        <v>1</v>
      </c>
      <c r="J7" s="47">
        <v>80</v>
      </c>
      <c r="K7" s="66">
        <f>105/80</f>
        <v>1.3125</v>
      </c>
      <c r="L7" s="47">
        <v>1</v>
      </c>
      <c r="M7" s="47">
        <v>80</v>
      </c>
      <c r="N7" s="66">
        <f>101/80</f>
        <v>1.2625</v>
      </c>
      <c r="O7" s="8">
        <v>34.1</v>
      </c>
    </row>
    <row r="8" spans="1:15" ht="15.75" x14ac:dyDescent="0.25">
      <c r="A8" s="46" t="s">
        <v>168</v>
      </c>
      <c r="B8" s="47">
        <v>1</v>
      </c>
      <c r="C8" s="47">
        <v>30</v>
      </c>
      <c r="D8" s="48">
        <f>40/30</f>
        <v>1.3333333333333333</v>
      </c>
      <c r="E8" s="47">
        <v>1</v>
      </c>
      <c r="F8" s="47">
        <v>30</v>
      </c>
      <c r="G8" s="66">
        <f>37/30</f>
        <v>1.2333333333333334</v>
      </c>
      <c r="H8" s="8">
        <v>28.8</v>
      </c>
      <c r="I8" s="47">
        <v>1</v>
      </c>
      <c r="J8" s="47">
        <v>30</v>
      </c>
      <c r="K8" s="66">
        <f>44/30</f>
        <v>1.4666666666666666</v>
      </c>
      <c r="L8" s="47">
        <v>1</v>
      </c>
      <c r="M8" s="47">
        <v>30</v>
      </c>
      <c r="N8" s="66">
        <f>42/30</f>
        <v>1.4</v>
      </c>
      <c r="O8" s="8">
        <v>26.5</v>
      </c>
    </row>
    <row r="9" spans="1:15" ht="15.75" x14ac:dyDescent="0.25">
      <c r="A9" s="46" t="s">
        <v>136</v>
      </c>
      <c r="B9" s="47">
        <v>1</v>
      </c>
      <c r="C9" s="47">
        <v>80</v>
      </c>
      <c r="D9" s="48">
        <f>131/80</f>
        <v>1.6375</v>
      </c>
      <c r="E9" s="47">
        <v>1</v>
      </c>
      <c r="F9" s="47">
        <v>80</v>
      </c>
      <c r="G9" s="66">
        <f>114/80</f>
        <v>1.425</v>
      </c>
      <c r="H9" s="8">
        <v>41.5</v>
      </c>
      <c r="I9" s="8">
        <v>2</v>
      </c>
      <c r="J9" s="8">
        <v>110</v>
      </c>
      <c r="K9" s="66">
        <f>127/110</f>
        <v>1.1545454545454545</v>
      </c>
      <c r="L9" s="8">
        <v>2</v>
      </c>
      <c r="M9" s="8">
        <v>110</v>
      </c>
      <c r="N9" s="66">
        <f>137/110</f>
        <v>1.2454545454545454</v>
      </c>
      <c r="O9" s="8">
        <v>23.3</v>
      </c>
    </row>
    <row r="10" spans="1:15" ht="15.75" x14ac:dyDescent="0.25">
      <c r="A10" s="46" t="s">
        <v>170</v>
      </c>
      <c r="B10" s="47">
        <v>1</v>
      </c>
      <c r="C10" s="47">
        <v>50</v>
      </c>
      <c r="D10" s="48">
        <f>62/50</f>
        <v>1.24</v>
      </c>
      <c r="E10" s="47">
        <v>1</v>
      </c>
      <c r="F10" s="47">
        <v>50</v>
      </c>
      <c r="G10" s="66">
        <f>61/50</f>
        <v>1.22</v>
      </c>
      <c r="H10" s="8">
        <v>17.8</v>
      </c>
      <c r="I10" s="47">
        <v>1</v>
      </c>
      <c r="J10" s="47">
        <v>50</v>
      </c>
      <c r="K10" s="66">
        <f>72/50</f>
        <v>1.44</v>
      </c>
      <c r="L10" s="47">
        <v>1</v>
      </c>
      <c r="M10" s="47">
        <v>50</v>
      </c>
      <c r="N10" s="66">
        <f>66/50</f>
        <v>1.32</v>
      </c>
      <c r="O10" s="8">
        <v>18.399999999999999</v>
      </c>
    </row>
    <row r="11" spans="1:15" ht="15.75" x14ac:dyDescent="0.25">
      <c r="A11" s="46" t="s">
        <v>171</v>
      </c>
      <c r="B11" s="47">
        <v>2</v>
      </c>
      <c r="C11" s="47">
        <v>170</v>
      </c>
      <c r="D11" s="48">
        <f>228/170</f>
        <v>1.3411764705882352</v>
      </c>
      <c r="E11" s="47">
        <v>2</v>
      </c>
      <c r="F11" s="47">
        <v>170</v>
      </c>
      <c r="G11" s="66">
        <f>242/170</f>
        <v>1.4235294117647059</v>
      </c>
      <c r="H11" s="8">
        <v>17.399999999999999</v>
      </c>
      <c r="I11" s="47">
        <v>2</v>
      </c>
      <c r="J11" s="47">
        <v>170</v>
      </c>
      <c r="K11" s="66">
        <f>263/170</f>
        <v>1.5470588235294118</v>
      </c>
      <c r="L11" s="47">
        <v>2</v>
      </c>
      <c r="M11" s="47">
        <v>170</v>
      </c>
      <c r="N11" s="66">
        <f>209/170</f>
        <v>1.2294117647058824</v>
      </c>
      <c r="O11" s="8">
        <v>24.4</v>
      </c>
    </row>
    <row r="12" spans="1:15" ht="15.75" x14ac:dyDescent="0.25">
      <c r="A12" s="46" t="s">
        <v>148</v>
      </c>
      <c r="B12" s="47">
        <v>1</v>
      </c>
      <c r="C12" s="47">
        <v>100</v>
      </c>
      <c r="D12" s="48">
        <f>104/100</f>
        <v>1.04</v>
      </c>
      <c r="E12" s="47">
        <v>1</v>
      </c>
      <c r="F12" s="47">
        <v>100</v>
      </c>
      <c r="G12" s="66">
        <f>109/100</f>
        <v>1.0900000000000001</v>
      </c>
      <c r="H12" s="8">
        <v>14.1</v>
      </c>
      <c r="I12" s="47">
        <v>1</v>
      </c>
      <c r="J12" s="47">
        <v>100</v>
      </c>
      <c r="K12" s="66">
        <f>123/100</f>
        <v>1.23</v>
      </c>
      <c r="L12" s="47">
        <v>1</v>
      </c>
      <c r="M12" s="47">
        <v>100</v>
      </c>
      <c r="N12" s="66">
        <f>144/100</f>
        <v>1.44</v>
      </c>
      <c r="O12" s="8">
        <v>13.3</v>
      </c>
    </row>
    <row r="13" spans="1:15" ht="15.75" x14ac:dyDescent="0.25">
      <c r="A13" s="52" t="s">
        <v>182</v>
      </c>
      <c r="B13" s="53">
        <f>SUM(B5:B12)</f>
        <v>10</v>
      </c>
      <c r="C13" s="53">
        <f>SUM(C5:C12)</f>
        <v>786</v>
      </c>
      <c r="D13" s="54">
        <v>1.3</v>
      </c>
      <c r="E13" s="53">
        <f t="shared" ref="E13:F13" si="0">SUM(E5:E12)</f>
        <v>10</v>
      </c>
      <c r="F13" s="53">
        <f t="shared" si="0"/>
        <v>786</v>
      </c>
      <c r="G13" s="54">
        <v>1.32</v>
      </c>
      <c r="H13" s="54">
        <v>0.24</v>
      </c>
      <c r="I13" s="53">
        <f t="shared" ref="I13" si="1">SUM(I5:I12)</f>
        <v>11</v>
      </c>
      <c r="J13" s="53">
        <f t="shared" ref="J13" si="2">SUM(J5:J12)</f>
        <v>816</v>
      </c>
      <c r="K13" s="54">
        <v>1.37</v>
      </c>
      <c r="L13" s="53">
        <f t="shared" ref="L13:M13" si="3">SUM(L5:L12)</f>
        <v>11</v>
      </c>
      <c r="M13" s="53">
        <f t="shared" si="3"/>
        <v>816</v>
      </c>
      <c r="N13" s="54">
        <v>1.32</v>
      </c>
      <c r="O13" s="54">
        <v>0.23100000000000001</v>
      </c>
    </row>
    <row r="14" spans="1:15" x14ac:dyDescent="0.25">
      <c r="A14" s="37" t="s">
        <v>183</v>
      </c>
      <c r="D14" s="55"/>
    </row>
    <row r="15" spans="1:15" x14ac:dyDescent="0.25">
      <c r="A15" s="37" t="s">
        <v>149</v>
      </c>
      <c r="B15" s="30"/>
    </row>
  </sheetData>
  <mergeCells count="20">
    <mergeCell ref="F3:F4"/>
    <mergeCell ref="G3:G4"/>
    <mergeCell ref="H3:H4"/>
    <mergeCell ref="E2:H2"/>
    <mergeCell ref="A3:A4"/>
    <mergeCell ref="B3:B4"/>
    <mergeCell ref="C3:C4"/>
    <mergeCell ref="D3:D4"/>
    <mergeCell ref="A1:O1"/>
    <mergeCell ref="I2:K2"/>
    <mergeCell ref="L2:O2"/>
    <mergeCell ref="L3:L4"/>
    <mergeCell ref="M3:M4"/>
    <mergeCell ref="N3:N4"/>
    <mergeCell ref="O3:O4"/>
    <mergeCell ref="I3:I4"/>
    <mergeCell ref="J3:J4"/>
    <mergeCell ref="K3:K4"/>
    <mergeCell ref="B2:D2"/>
    <mergeCell ref="E3:E4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90DE4-1D27-495F-837A-49166998B442}">
  <dimension ref="A1:O15"/>
  <sheetViews>
    <sheetView workbookViewId="0">
      <selection activeCell="G15" sqref="G15"/>
    </sheetView>
  </sheetViews>
  <sheetFormatPr defaultRowHeight="15" x14ac:dyDescent="0.25"/>
  <cols>
    <col min="1" max="1" width="23" customWidth="1"/>
    <col min="8" max="8" width="18" customWidth="1"/>
    <col min="15" max="15" width="17.42578125" customWidth="1"/>
  </cols>
  <sheetData>
    <row r="1" spans="1:15" ht="15.75" customHeight="1" x14ac:dyDescent="0.25">
      <c r="A1" s="309" t="s">
        <v>184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ht="15.75" customHeight="1" x14ac:dyDescent="0.25">
      <c r="B2" s="246" t="s">
        <v>142</v>
      </c>
      <c r="C2" s="247"/>
      <c r="D2" s="247"/>
      <c r="E2" s="246" t="s">
        <v>143</v>
      </c>
      <c r="F2" s="247"/>
      <c r="G2" s="247"/>
      <c r="H2" s="258"/>
      <c r="I2" s="246" t="s">
        <v>144</v>
      </c>
      <c r="J2" s="247"/>
      <c r="K2" s="247"/>
      <c r="L2" s="246" t="s">
        <v>145</v>
      </c>
      <c r="M2" s="247"/>
      <c r="N2" s="247"/>
      <c r="O2" s="258"/>
    </row>
    <row r="3" spans="1:15" ht="78" customHeight="1" x14ac:dyDescent="0.25">
      <c r="A3" s="163" t="s">
        <v>1</v>
      </c>
      <c r="B3" s="83" t="s">
        <v>179</v>
      </c>
      <c r="C3" s="83" t="s">
        <v>4</v>
      </c>
      <c r="D3" s="74" t="s">
        <v>180</v>
      </c>
      <c r="E3" s="83" t="s">
        <v>179</v>
      </c>
      <c r="F3" s="83" t="s">
        <v>4</v>
      </c>
      <c r="G3" s="74" t="s">
        <v>180</v>
      </c>
      <c r="H3" s="74" t="s">
        <v>188</v>
      </c>
      <c r="I3" s="83" t="s">
        <v>179</v>
      </c>
      <c r="J3" s="83" t="s">
        <v>4</v>
      </c>
      <c r="K3" s="74" t="s">
        <v>180</v>
      </c>
      <c r="L3" s="83" t="s">
        <v>179</v>
      </c>
      <c r="M3" s="83" t="s">
        <v>4</v>
      </c>
      <c r="N3" s="74" t="s">
        <v>180</v>
      </c>
      <c r="O3" s="74" t="s">
        <v>188</v>
      </c>
    </row>
    <row r="4" spans="1:15" ht="15" customHeight="1" x14ac:dyDescent="0.25">
      <c r="A4" t="s">
        <v>187</v>
      </c>
      <c r="B4" s="8">
        <v>1</v>
      </c>
      <c r="C4" s="8">
        <v>60</v>
      </c>
      <c r="D4" s="94">
        <f>54/60</f>
        <v>0.9</v>
      </c>
      <c r="E4" s="8">
        <v>1</v>
      </c>
      <c r="F4" s="8">
        <v>60</v>
      </c>
      <c r="G4" s="94">
        <f>56/60</f>
        <v>0.93333333333333335</v>
      </c>
      <c r="H4" s="197">
        <v>9.5000000000000001E-2</v>
      </c>
      <c r="I4" s="8">
        <v>1</v>
      </c>
      <c r="J4" s="8">
        <v>60</v>
      </c>
      <c r="K4" s="94">
        <f>61/60</f>
        <v>1.0166666666666666</v>
      </c>
      <c r="L4" s="8">
        <v>1</v>
      </c>
      <c r="M4" s="8">
        <v>60</v>
      </c>
      <c r="N4" s="94">
        <f>63/60</f>
        <v>1.05</v>
      </c>
      <c r="O4" s="197">
        <v>7.6999999999999999E-2</v>
      </c>
    </row>
    <row r="5" spans="1:15" ht="15" customHeight="1" x14ac:dyDescent="0.25">
      <c r="A5" t="s">
        <v>128</v>
      </c>
      <c r="B5" s="8">
        <v>1</v>
      </c>
      <c r="C5" s="8">
        <v>62</v>
      </c>
      <c r="D5" s="94">
        <f>62/62</f>
        <v>1</v>
      </c>
      <c r="E5" s="8">
        <v>1</v>
      </c>
      <c r="F5" s="8">
        <v>62</v>
      </c>
      <c r="G5" s="94">
        <f>63/62</f>
        <v>1.0161290322580645</v>
      </c>
      <c r="H5" s="197">
        <v>0.108</v>
      </c>
      <c r="I5" s="8">
        <v>1</v>
      </c>
      <c r="J5" s="8">
        <v>62</v>
      </c>
      <c r="K5" s="94">
        <f>64/62</f>
        <v>1.032258064516129</v>
      </c>
      <c r="L5" s="8">
        <v>1</v>
      </c>
      <c r="M5" s="8">
        <v>62</v>
      </c>
      <c r="N5" s="94">
        <f>66/62</f>
        <v>1.064516129032258</v>
      </c>
      <c r="O5" s="197">
        <v>2.5999999999999999E-2</v>
      </c>
    </row>
    <row r="6" spans="1:15" ht="15" customHeight="1" x14ac:dyDescent="0.25">
      <c r="A6" t="s">
        <v>190</v>
      </c>
      <c r="B6" s="8">
        <v>2</v>
      </c>
      <c r="C6" s="8">
        <v>210</v>
      </c>
      <c r="D6" s="94">
        <f>219/210</f>
        <v>1.0428571428571429</v>
      </c>
      <c r="E6" s="8">
        <v>2</v>
      </c>
      <c r="F6" s="8">
        <v>210</v>
      </c>
      <c r="G6" s="94">
        <f>217/210</f>
        <v>1.0333333333333334</v>
      </c>
      <c r="H6" s="197">
        <v>0.157</v>
      </c>
      <c r="I6" s="8">
        <v>2</v>
      </c>
      <c r="J6" s="8">
        <v>250</v>
      </c>
      <c r="K6" s="94">
        <f>291/250</f>
        <v>1.1639999999999999</v>
      </c>
      <c r="L6" s="8">
        <v>3</v>
      </c>
      <c r="M6" s="8">
        <v>330</v>
      </c>
      <c r="N6" s="94">
        <f>314/330</f>
        <v>0.95151515151515154</v>
      </c>
      <c r="O6" s="197">
        <v>8.7999999999999995E-2</v>
      </c>
    </row>
    <row r="7" spans="1:15" x14ac:dyDescent="0.25">
      <c r="A7" t="s">
        <v>191</v>
      </c>
      <c r="B7" s="8">
        <v>5</v>
      </c>
      <c r="C7" s="8">
        <v>957</v>
      </c>
      <c r="D7" s="94">
        <f>934/957</f>
        <v>0.97596656217345867</v>
      </c>
      <c r="E7" s="8">
        <v>5</v>
      </c>
      <c r="F7" s="8">
        <v>1032</v>
      </c>
      <c r="G7" s="94">
        <f>1115/1032</f>
        <v>1.0804263565891472</v>
      </c>
      <c r="H7" s="197">
        <v>6.4000000000000001E-2</v>
      </c>
      <c r="I7" s="8">
        <v>6</v>
      </c>
      <c r="J7" s="8">
        <v>1182</v>
      </c>
      <c r="K7" s="94">
        <f>1176/1182</f>
        <v>0.99492385786802029</v>
      </c>
      <c r="L7" s="8">
        <v>6</v>
      </c>
      <c r="M7" s="8">
        <v>1182</v>
      </c>
      <c r="N7" s="94">
        <f>1175/1182</f>
        <v>0.99407783417935702</v>
      </c>
      <c r="O7" s="197">
        <v>5.1999999999999998E-2</v>
      </c>
    </row>
    <row r="8" spans="1:15" x14ac:dyDescent="0.25">
      <c r="A8" t="s">
        <v>12</v>
      </c>
      <c r="B8" s="8">
        <v>1</v>
      </c>
      <c r="C8" s="8">
        <v>50</v>
      </c>
      <c r="D8" s="94">
        <f>52/50</f>
        <v>1.04</v>
      </c>
      <c r="E8" s="8">
        <v>1</v>
      </c>
      <c r="F8" s="8">
        <v>50</v>
      </c>
      <c r="G8" s="94">
        <f>56/50</f>
        <v>1.1200000000000001</v>
      </c>
      <c r="H8" s="197">
        <v>0.18099999999999999</v>
      </c>
      <c r="I8" s="8">
        <v>1</v>
      </c>
      <c r="J8" s="8">
        <v>50</v>
      </c>
      <c r="K8" s="94">
        <f>65/50</f>
        <v>1.3</v>
      </c>
      <c r="L8" s="8">
        <v>1</v>
      </c>
      <c r="M8" s="8">
        <v>50</v>
      </c>
      <c r="N8" s="94">
        <f>66/50</f>
        <v>1.32</v>
      </c>
      <c r="O8" s="197">
        <v>6.4000000000000001E-2</v>
      </c>
    </row>
    <row r="9" spans="1:15" x14ac:dyDescent="0.25">
      <c r="A9" t="s">
        <v>139</v>
      </c>
      <c r="B9" s="109"/>
      <c r="C9" s="109"/>
      <c r="D9" s="109"/>
      <c r="E9" s="109"/>
      <c r="F9" s="109"/>
      <c r="G9" s="109"/>
      <c r="H9" s="206"/>
      <c r="I9" s="109"/>
      <c r="J9" s="109"/>
      <c r="K9" s="109"/>
      <c r="L9" s="8">
        <v>1</v>
      </c>
      <c r="M9" s="8">
        <v>60</v>
      </c>
      <c r="N9" s="94">
        <f>55/60</f>
        <v>0.91666666666666663</v>
      </c>
      <c r="O9" s="197">
        <v>2.5000000000000001E-2</v>
      </c>
    </row>
    <row r="10" spans="1:15" ht="15.75" x14ac:dyDescent="0.25">
      <c r="A10" s="84" t="s">
        <v>182</v>
      </c>
      <c r="B10" s="85">
        <f>SUM(B4:B9)</f>
        <v>10</v>
      </c>
      <c r="C10" s="85">
        <f>SUM(C4:C9)</f>
        <v>1339</v>
      </c>
      <c r="D10" s="124">
        <v>0.99</v>
      </c>
      <c r="E10" s="85">
        <f>SUM(E4:E9)</f>
        <v>10</v>
      </c>
      <c r="F10" s="85">
        <f>SUM(F4:F9)</f>
        <v>1414</v>
      </c>
      <c r="G10" s="124">
        <v>1.04</v>
      </c>
      <c r="H10" s="207">
        <v>8.5999999999999993E-2</v>
      </c>
      <c r="I10" s="85">
        <f>SUM(I4:I9)</f>
        <v>11</v>
      </c>
      <c r="J10" s="85">
        <f>SUM(J4:J9)</f>
        <v>1604</v>
      </c>
      <c r="K10" s="124">
        <v>1.1000000000000001</v>
      </c>
      <c r="L10" s="85">
        <f>SUM(L4:L9)</f>
        <v>13</v>
      </c>
      <c r="M10" s="85">
        <f>SUM(M4:M9)</f>
        <v>1744</v>
      </c>
      <c r="N10" s="124">
        <v>1.05</v>
      </c>
      <c r="O10" s="208">
        <v>5.8000000000000003E-2</v>
      </c>
    </row>
    <row r="11" spans="1:15" x14ac:dyDescent="0.25">
      <c r="A11" s="37" t="s">
        <v>183</v>
      </c>
    </row>
    <row r="12" spans="1:15" x14ac:dyDescent="0.25">
      <c r="A12" s="37" t="s">
        <v>149</v>
      </c>
    </row>
    <row r="13" spans="1:15" x14ac:dyDescent="0.25">
      <c r="A13" s="228" t="s">
        <v>251</v>
      </c>
    </row>
    <row r="14" spans="1:15" x14ac:dyDescent="0.25">
      <c r="A14" s="228" t="s">
        <v>189</v>
      </c>
    </row>
    <row r="15" spans="1:15" x14ac:dyDescent="0.25">
      <c r="A15" s="228" t="s">
        <v>192</v>
      </c>
    </row>
  </sheetData>
  <mergeCells count="5">
    <mergeCell ref="A1:O1"/>
    <mergeCell ref="B2:D2"/>
    <mergeCell ref="E2:H2"/>
    <mergeCell ref="I2:K2"/>
    <mergeCell ref="L2:O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57C6-4D7B-419B-8082-0C28470BF091}">
  <dimension ref="A1:O62"/>
  <sheetViews>
    <sheetView topLeftCell="A14" zoomScale="80" zoomScaleNormal="80" workbookViewId="0">
      <pane xSplit="1" topLeftCell="B1" activePane="topRight" state="frozen"/>
      <selection pane="topRight" activeCell="N3" sqref="N3:N4"/>
    </sheetView>
  </sheetViews>
  <sheetFormatPr defaultRowHeight="15" x14ac:dyDescent="0.25"/>
  <cols>
    <col min="1" max="1" width="24.85546875" style="56" customWidth="1"/>
    <col min="2" max="3" width="11.7109375" customWidth="1"/>
    <col min="4" max="4" width="13.28515625" style="55" customWidth="1"/>
    <col min="5" max="5" width="11.5703125" customWidth="1"/>
    <col min="6" max="6" width="10.28515625" customWidth="1"/>
    <col min="7" max="7" width="11.42578125" customWidth="1"/>
    <col min="8" max="8" width="23.140625" customWidth="1"/>
    <col min="10" max="10" width="9.85546875" customWidth="1"/>
    <col min="11" max="11" width="11.28515625" customWidth="1"/>
    <col min="14" max="14" width="11.85546875" customWidth="1"/>
    <col min="15" max="15" width="23.42578125" customWidth="1"/>
  </cols>
  <sheetData>
    <row r="1" spans="1:15" ht="18.75" x14ac:dyDescent="0.25">
      <c r="A1" s="276" t="s">
        <v>204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15" ht="15.75" x14ac:dyDescent="0.25">
      <c r="B2" s="248" t="s">
        <v>142</v>
      </c>
      <c r="C2" s="248"/>
      <c r="D2" s="248"/>
      <c r="E2" s="248" t="s">
        <v>143</v>
      </c>
      <c r="F2" s="248"/>
      <c r="G2" s="248"/>
      <c r="H2" s="248"/>
      <c r="I2" s="248" t="s">
        <v>144</v>
      </c>
      <c r="J2" s="248"/>
      <c r="K2" s="248"/>
      <c r="L2" s="248" t="s">
        <v>145</v>
      </c>
      <c r="M2" s="248"/>
      <c r="N2" s="248"/>
      <c r="O2" s="248"/>
    </row>
    <row r="3" spans="1:15" ht="15" customHeight="1" x14ac:dyDescent="0.25">
      <c r="A3" s="303" t="s">
        <v>1</v>
      </c>
      <c r="B3" s="311" t="s">
        <v>194</v>
      </c>
      <c r="C3" s="311" t="s">
        <v>205</v>
      </c>
      <c r="D3" s="313" t="s">
        <v>206</v>
      </c>
      <c r="E3" s="311" t="s">
        <v>194</v>
      </c>
      <c r="F3" s="311" t="s">
        <v>205</v>
      </c>
      <c r="G3" s="313" t="s">
        <v>206</v>
      </c>
      <c r="H3" s="315" t="s">
        <v>207</v>
      </c>
      <c r="I3" s="311" t="s">
        <v>194</v>
      </c>
      <c r="J3" s="311" t="s">
        <v>205</v>
      </c>
      <c r="K3" s="313" t="s">
        <v>206</v>
      </c>
      <c r="L3" s="311" t="s">
        <v>194</v>
      </c>
      <c r="M3" s="311" t="s">
        <v>205</v>
      </c>
      <c r="N3" s="313" t="s">
        <v>206</v>
      </c>
      <c r="O3" s="315" t="s">
        <v>207</v>
      </c>
    </row>
    <row r="4" spans="1:15" ht="62.25" customHeight="1" x14ac:dyDescent="0.25">
      <c r="A4" s="303"/>
      <c r="B4" s="312"/>
      <c r="C4" s="312"/>
      <c r="D4" s="314"/>
      <c r="E4" s="312"/>
      <c r="F4" s="312"/>
      <c r="G4" s="314"/>
      <c r="H4" s="316"/>
      <c r="I4" s="312"/>
      <c r="J4" s="312"/>
      <c r="K4" s="314"/>
      <c r="L4" s="312"/>
      <c r="M4" s="312"/>
      <c r="N4" s="314"/>
      <c r="O4" s="316"/>
    </row>
    <row r="5" spans="1:15" ht="15.75" x14ac:dyDescent="0.25">
      <c r="A5" s="114" t="s">
        <v>63</v>
      </c>
      <c r="B5" s="115">
        <v>1</v>
      </c>
      <c r="C5" s="115">
        <v>200</v>
      </c>
      <c r="D5" s="48">
        <f>175/200</f>
        <v>0.875</v>
      </c>
      <c r="E5" s="115">
        <v>1</v>
      </c>
      <c r="F5" s="115">
        <v>200</v>
      </c>
      <c r="G5" s="48">
        <f>165/200</f>
        <v>0.82499999999999996</v>
      </c>
      <c r="H5" s="200">
        <v>9.2999999999999999E-2</v>
      </c>
      <c r="I5" s="115">
        <v>1</v>
      </c>
      <c r="J5" s="115">
        <v>200</v>
      </c>
      <c r="K5" s="48">
        <f>164/200</f>
        <v>0.82</v>
      </c>
      <c r="L5" s="115">
        <v>1</v>
      </c>
      <c r="M5" s="115">
        <v>200</v>
      </c>
      <c r="N5" s="48">
        <f>172/200</f>
        <v>0.86</v>
      </c>
      <c r="O5" s="200">
        <v>4.3999999999999997E-2</v>
      </c>
    </row>
    <row r="6" spans="1:15" ht="15.75" x14ac:dyDescent="0.25">
      <c r="A6" s="114" t="s">
        <v>34</v>
      </c>
      <c r="B6" s="115">
        <v>1</v>
      </c>
      <c r="C6" s="115">
        <v>188</v>
      </c>
      <c r="D6" s="48">
        <f>122/188</f>
        <v>0.64893617021276595</v>
      </c>
      <c r="E6" s="115">
        <v>1</v>
      </c>
      <c r="F6" s="115">
        <v>158</v>
      </c>
      <c r="G6" s="48">
        <f>114/158</f>
        <v>0.72151898734177211</v>
      </c>
      <c r="H6" s="200">
        <v>9.0999999999999998E-2</v>
      </c>
      <c r="I6" s="115">
        <v>1</v>
      </c>
      <c r="J6" s="115">
        <v>158</v>
      </c>
      <c r="K6" s="48">
        <f>117/158</f>
        <v>0.740506329113924</v>
      </c>
      <c r="L6" s="115">
        <v>1</v>
      </c>
      <c r="M6" s="115">
        <v>158</v>
      </c>
      <c r="N6" s="48">
        <f>117/158</f>
        <v>0.740506329113924</v>
      </c>
      <c r="O6" s="200">
        <v>7.3999999999999996E-2</v>
      </c>
    </row>
    <row r="7" spans="1:15" ht="15.75" x14ac:dyDescent="0.25">
      <c r="A7" s="114" t="s">
        <v>119</v>
      </c>
      <c r="B7" s="182"/>
      <c r="C7" s="182"/>
      <c r="D7" s="183"/>
      <c r="E7" s="182"/>
      <c r="F7" s="182"/>
      <c r="G7" s="183"/>
      <c r="H7" s="209"/>
      <c r="I7" s="115">
        <v>1</v>
      </c>
      <c r="J7" s="115">
        <v>100</v>
      </c>
      <c r="K7" s="48">
        <f>49/100</f>
        <v>0.49</v>
      </c>
      <c r="L7" s="115">
        <v>1</v>
      </c>
      <c r="M7" s="115">
        <v>100</v>
      </c>
      <c r="N7" s="48">
        <f>86/100</f>
        <v>0.86</v>
      </c>
      <c r="O7" s="200">
        <v>3.1E-2</v>
      </c>
    </row>
    <row r="8" spans="1:15" ht="15.75" x14ac:dyDescent="0.25">
      <c r="A8" s="114" t="s">
        <v>203</v>
      </c>
      <c r="B8" s="115">
        <v>1</v>
      </c>
      <c r="C8" s="115">
        <v>50</v>
      </c>
      <c r="D8" s="48">
        <f>46/50</f>
        <v>0.92</v>
      </c>
      <c r="E8" s="115">
        <v>1</v>
      </c>
      <c r="F8" s="115">
        <v>50</v>
      </c>
      <c r="G8" s="48">
        <f>48/50</f>
        <v>0.96</v>
      </c>
      <c r="H8" s="200">
        <v>0.17399999999999999</v>
      </c>
      <c r="I8" s="115">
        <v>1</v>
      </c>
      <c r="J8" s="115">
        <v>50</v>
      </c>
      <c r="K8" s="48">
        <f>51/50</f>
        <v>1.02</v>
      </c>
      <c r="L8" s="115">
        <v>1</v>
      </c>
      <c r="M8" s="115">
        <v>50</v>
      </c>
      <c r="N8" s="48">
        <f>51/50</f>
        <v>1.02</v>
      </c>
      <c r="O8" s="200">
        <v>0.11</v>
      </c>
    </row>
    <row r="9" spans="1:15" ht="15.75" x14ac:dyDescent="0.25">
      <c r="A9" s="114" t="s">
        <v>165</v>
      </c>
      <c r="B9" s="115">
        <v>1</v>
      </c>
      <c r="C9" s="115">
        <v>100</v>
      </c>
      <c r="D9" s="48">
        <f>96/100</f>
        <v>0.96</v>
      </c>
      <c r="E9" s="115">
        <v>1</v>
      </c>
      <c r="F9" s="115">
        <v>100</v>
      </c>
      <c r="G9" s="48">
        <f>96/100</f>
        <v>0.96</v>
      </c>
      <c r="H9" s="200">
        <v>9.2999999999999999E-2</v>
      </c>
      <c r="I9" s="115">
        <v>1</v>
      </c>
      <c r="J9" s="115">
        <v>100</v>
      </c>
      <c r="K9" s="48">
        <f>107/100</f>
        <v>1.07</v>
      </c>
      <c r="L9" s="115">
        <v>1</v>
      </c>
      <c r="M9" s="115">
        <v>100</v>
      </c>
      <c r="N9" s="48">
        <f>117/100</f>
        <v>1.17</v>
      </c>
      <c r="O9" s="200">
        <v>5.0999999999999997E-2</v>
      </c>
    </row>
    <row r="10" spans="1:15" ht="15.75" x14ac:dyDescent="0.25">
      <c r="A10" s="114" t="s">
        <v>85</v>
      </c>
      <c r="B10" s="115">
        <v>1</v>
      </c>
      <c r="C10" s="115">
        <v>80</v>
      </c>
      <c r="D10" s="48">
        <f>80/80</f>
        <v>1</v>
      </c>
      <c r="E10" s="115">
        <v>1</v>
      </c>
      <c r="F10" s="115">
        <v>80</v>
      </c>
      <c r="G10" s="48">
        <f>80/80</f>
        <v>1</v>
      </c>
      <c r="H10" s="200">
        <v>0.16400000000000001</v>
      </c>
      <c r="I10" s="115">
        <v>1</v>
      </c>
      <c r="J10" s="115">
        <v>80</v>
      </c>
      <c r="K10" s="48">
        <f>83/80</f>
        <v>1.0375000000000001</v>
      </c>
      <c r="L10" s="115">
        <v>1</v>
      </c>
      <c r="M10" s="115">
        <v>80</v>
      </c>
      <c r="N10" s="48">
        <f>80/80</f>
        <v>1</v>
      </c>
      <c r="O10" s="200">
        <v>0.111</v>
      </c>
    </row>
    <row r="11" spans="1:15" ht="15.75" x14ac:dyDescent="0.25">
      <c r="A11" s="114" t="s">
        <v>252</v>
      </c>
      <c r="B11" s="115">
        <v>2</v>
      </c>
      <c r="C11" s="115">
        <v>130</v>
      </c>
      <c r="D11" s="48">
        <f>128/130</f>
        <v>0.98461538461538467</v>
      </c>
      <c r="E11" s="115">
        <v>2</v>
      </c>
      <c r="F11" s="115">
        <v>130</v>
      </c>
      <c r="G11" s="48">
        <f>129/130</f>
        <v>0.99230769230769234</v>
      </c>
      <c r="H11" s="200">
        <v>0.128</v>
      </c>
      <c r="I11" s="115">
        <v>3</v>
      </c>
      <c r="J11" s="115">
        <v>300</v>
      </c>
      <c r="K11" s="48">
        <v>0.76</v>
      </c>
      <c r="L11" s="115">
        <v>3</v>
      </c>
      <c r="M11" s="115">
        <v>300</v>
      </c>
      <c r="N11" s="48">
        <f>222/300</f>
        <v>0.74</v>
      </c>
      <c r="O11" s="200">
        <v>0.1</v>
      </c>
    </row>
    <row r="12" spans="1:15" ht="15.75" x14ac:dyDescent="0.25">
      <c r="A12" s="114" t="s">
        <v>108</v>
      </c>
      <c r="B12" s="115">
        <v>1</v>
      </c>
      <c r="C12" s="115">
        <v>100</v>
      </c>
      <c r="D12" s="48">
        <f>93/100</f>
        <v>0.93</v>
      </c>
      <c r="E12" s="115">
        <v>1</v>
      </c>
      <c r="F12" s="115">
        <v>100</v>
      </c>
      <c r="G12" s="48">
        <f>93/100</f>
        <v>0.93</v>
      </c>
      <c r="H12" s="200">
        <v>0.13800000000000001</v>
      </c>
      <c r="I12" s="115">
        <v>1</v>
      </c>
      <c r="J12" s="115">
        <v>100</v>
      </c>
      <c r="K12" s="48">
        <f>92/100</f>
        <v>0.92</v>
      </c>
      <c r="L12" s="115">
        <v>1</v>
      </c>
      <c r="M12" s="115">
        <v>100</v>
      </c>
      <c r="N12" s="48">
        <f>96/100</f>
        <v>0.96</v>
      </c>
      <c r="O12" s="200">
        <v>0.125</v>
      </c>
    </row>
    <row r="13" spans="1:15" ht="15.75" x14ac:dyDescent="0.25">
      <c r="A13" s="114" t="s">
        <v>94</v>
      </c>
      <c r="B13" s="115">
        <v>1</v>
      </c>
      <c r="C13" s="115">
        <v>95</v>
      </c>
      <c r="D13" s="48">
        <f>87/95</f>
        <v>0.91578947368421049</v>
      </c>
      <c r="E13" s="115">
        <v>1</v>
      </c>
      <c r="F13" s="115">
        <v>95</v>
      </c>
      <c r="G13" s="48">
        <f>86/95</f>
        <v>0.90526315789473688</v>
      </c>
      <c r="H13" s="200">
        <v>8.1000000000000003E-2</v>
      </c>
      <c r="I13" s="115">
        <v>1</v>
      </c>
      <c r="J13" s="115">
        <v>95</v>
      </c>
      <c r="K13" s="48">
        <f>87/95</f>
        <v>0.91578947368421049</v>
      </c>
      <c r="L13" s="115">
        <v>1</v>
      </c>
      <c r="M13" s="115">
        <v>95</v>
      </c>
      <c r="N13" s="48">
        <f>89/95</f>
        <v>0.93684210526315792</v>
      </c>
      <c r="O13" s="200">
        <v>5.8000000000000003E-2</v>
      </c>
    </row>
    <row r="14" spans="1:15" ht="15.75" x14ac:dyDescent="0.25">
      <c r="A14" s="114" t="s">
        <v>112</v>
      </c>
      <c r="B14" s="115">
        <v>1</v>
      </c>
      <c r="C14" s="115">
        <v>150</v>
      </c>
      <c r="D14" s="48">
        <f>149/150</f>
        <v>0.99333333333333329</v>
      </c>
      <c r="E14" s="115">
        <v>1</v>
      </c>
      <c r="F14" s="115">
        <v>150</v>
      </c>
      <c r="G14" s="48">
        <f>147/150</f>
        <v>0.98</v>
      </c>
      <c r="H14" s="200">
        <v>0.159</v>
      </c>
      <c r="I14" s="115">
        <v>1</v>
      </c>
      <c r="J14" s="115">
        <v>150</v>
      </c>
      <c r="K14" s="48">
        <f>162/150</f>
        <v>1.08</v>
      </c>
      <c r="L14" s="115">
        <v>1</v>
      </c>
      <c r="M14" s="115">
        <v>150</v>
      </c>
      <c r="N14" s="48">
        <f>150/150</f>
        <v>1</v>
      </c>
      <c r="O14" s="200">
        <v>0.111</v>
      </c>
    </row>
    <row r="15" spans="1:15" ht="15.75" x14ac:dyDescent="0.25">
      <c r="A15" s="114" t="s">
        <v>175</v>
      </c>
      <c r="B15" s="115">
        <v>1</v>
      </c>
      <c r="C15" s="115">
        <v>100</v>
      </c>
      <c r="D15" s="48">
        <f>100/100</f>
        <v>1</v>
      </c>
      <c r="E15" s="115">
        <v>1</v>
      </c>
      <c r="F15" s="115">
        <v>100</v>
      </c>
      <c r="G15" s="48">
        <f>100/100</f>
        <v>1</v>
      </c>
      <c r="H15" s="200">
        <v>0.13100000000000001</v>
      </c>
      <c r="I15" s="115">
        <v>1</v>
      </c>
      <c r="J15" s="115">
        <v>100</v>
      </c>
      <c r="K15" s="48">
        <f>106/100</f>
        <v>1.06</v>
      </c>
      <c r="L15" s="115">
        <v>1</v>
      </c>
      <c r="M15" s="115">
        <v>100</v>
      </c>
      <c r="N15" s="48">
        <f>109/100</f>
        <v>1.0900000000000001</v>
      </c>
      <c r="O15" s="200">
        <v>0.08</v>
      </c>
    </row>
    <row r="16" spans="1:15" ht="15.75" x14ac:dyDescent="0.25">
      <c r="A16" s="114" t="s">
        <v>40</v>
      </c>
      <c r="B16" s="115">
        <v>3</v>
      </c>
      <c r="C16" s="115">
        <v>418</v>
      </c>
      <c r="D16" s="48">
        <f>382/418</f>
        <v>0.9138755980861244</v>
      </c>
      <c r="E16" s="115">
        <v>3</v>
      </c>
      <c r="F16" s="115">
        <v>418</v>
      </c>
      <c r="G16" s="48">
        <f>444/418</f>
        <v>1.062200956937799</v>
      </c>
      <c r="H16" s="200">
        <v>0.104</v>
      </c>
      <c r="I16" s="115">
        <v>3</v>
      </c>
      <c r="J16" s="115">
        <v>418</v>
      </c>
      <c r="K16" s="48">
        <f>516/418</f>
        <v>1.2344497607655502</v>
      </c>
      <c r="L16" s="115">
        <v>3</v>
      </c>
      <c r="M16" s="115">
        <v>418</v>
      </c>
      <c r="N16" s="48">
        <f>402/418</f>
        <v>0.96172248803827753</v>
      </c>
      <c r="O16" s="200">
        <v>8.5000000000000006E-2</v>
      </c>
    </row>
    <row r="17" spans="1:15" ht="15.75" x14ac:dyDescent="0.25">
      <c r="A17" s="114" t="s">
        <v>67</v>
      </c>
      <c r="B17" s="115">
        <v>11</v>
      </c>
      <c r="C17" s="115">
        <v>3190</v>
      </c>
      <c r="D17" s="48">
        <f>2379/3190</f>
        <v>0.74576802507836992</v>
      </c>
      <c r="E17" s="115">
        <v>11</v>
      </c>
      <c r="F17" s="115">
        <v>3190</v>
      </c>
      <c r="G17" s="48">
        <f>2829/3190</f>
        <v>0.88683385579937302</v>
      </c>
      <c r="H17" s="200">
        <v>0.14599999999999999</v>
      </c>
      <c r="I17" s="115">
        <v>12</v>
      </c>
      <c r="J17" s="115">
        <v>3370</v>
      </c>
      <c r="K17" s="48">
        <f>3017/3370</f>
        <v>0.89525222551928785</v>
      </c>
      <c r="L17" s="115">
        <v>11</v>
      </c>
      <c r="M17" s="115">
        <v>3240</v>
      </c>
      <c r="N17" s="48">
        <f>2979/3240</f>
        <v>0.9194444444444444</v>
      </c>
      <c r="O17" s="200">
        <v>0.115</v>
      </c>
    </row>
    <row r="18" spans="1:15" ht="15.75" x14ac:dyDescent="0.25">
      <c r="A18" s="114" t="s">
        <v>74</v>
      </c>
      <c r="B18" s="115">
        <v>1</v>
      </c>
      <c r="C18" s="115">
        <v>80</v>
      </c>
      <c r="D18" s="48">
        <f>79/80</f>
        <v>0.98750000000000004</v>
      </c>
      <c r="E18" s="115">
        <v>1</v>
      </c>
      <c r="F18" s="115">
        <v>80</v>
      </c>
      <c r="G18" s="48">
        <f>80/80</f>
        <v>1</v>
      </c>
      <c r="H18" s="200">
        <v>0.26900000000000002</v>
      </c>
      <c r="I18" s="115">
        <v>1</v>
      </c>
      <c r="J18" s="115">
        <v>80</v>
      </c>
      <c r="K18" s="48">
        <f>80/80</f>
        <v>1</v>
      </c>
      <c r="L18" s="115">
        <v>1</v>
      </c>
      <c r="M18" s="115">
        <v>80</v>
      </c>
      <c r="N18" s="48">
        <f>80/80</f>
        <v>1</v>
      </c>
      <c r="O18" s="200">
        <v>0.13200000000000001</v>
      </c>
    </row>
    <row r="19" spans="1:15" ht="15.75" x14ac:dyDescent="0.25">
      <c r="A19" s="114" t="s">
        <v>47</v>
      </c>
      <c r="B19" s="115">
        <v>1</v>
      </c>
      <c r="C19" s="115">
        <v>110</v>
      </c>
      <c r="D19" s="48">
        <f>106/110</f>
        <v>0.96363636363636362</v>
      </c>
      <c r="E19" s="115">
        <v>1</v>
      </c>
      <c r="F19" s="115">
        <v>110</v>
      </c>
      <c r="G19" s="48">
        <f>106/110</f>
        <v>0.96363636363636362</v>
      </c>
      <c r="H19" s="200">
        <v>0.12</v>
      </c>
      <c r="I19" s="115">
        <v>1</v>
      </c>
      <c r="J19" s="115">
        <v>110</v>
      </c>
      <c r="K19" s="48">
        <f>98/110</f>
        <v>0.89090909090909087</v>
      </c>
      <c r="L19" s="115">
        <v>1</v>
      </c>
      <c r="M19" s="115">
        <v>110</v>
      </c>
      <c r="N19" s="48">
        <f>106/110</f>
        <v>0.96363636363636362</v>
      </c>
      <c r="O19" s="200">
        <v>7.0999999999999994E-2</v>
      </c>
    </row>
    <row r="20" spans="1:15" ht="15.75" x14ac:dyDescent="0.25">
      <c r="A20" s="114" t="s">
        <v>168</v>
      </c>
      <c r="B20" s="115">
        <v>3</v>
      </c>
      <c r="C20" s="115">
        <v>288</v>
      </c>
      <c r="D20" s="48">
        <f>311/288</f>
        <v>1.0798611111111112</v>
      </c>
      <c r="E20" s="115">
        <v>3</v>
      </c>
      <c r="F20" s="115">
        <v>288</v>
      </c>
      <c r="G20" s="48">
        <f>283/288</f>
        <v>0.98263888888888884</v>
      </c>
      <c r="H20" s="200">
        <v>8.3000000000000004E-2</v>
      </c>
      <c r="I20" s="115">
        <v>3</v>
      </c>
      <c r="J20" s="115">
        <v>288</v>
      </c>
      <c r="K20" s="48">
        <f>285/288</f>
        <v>0.98958333333333337</v>
      </c>
      <c r="L20" s="115">
        <v>2</v>
      </c>
      <c r="M20" s="115">
        <v>258</v>
      </c>
      <c r="N20" s="48">
        <f>260/258</f>
        <v>1.0077519379844961</v>
      </c>
      <c r="O20" s="200">
        <v>0.09</v>
      </c>
    </row>
    <row r="21" spans="1:15" ht="15.75" x14ac:dyDescent="0.25">
      <c r="A21" s="114" t="s">
        <v>136</v>
      </c>
      <c r="B21" s="115">
        <v>4</v>
      </c>
      <c r="C21" s="115">
        <v>414</v>
      </c>
      <c r="D21" s="48">
        <f>412/414</f>
        <v>0.99516908212560384</v>
      </c>
      <c r="E21" s="115">
        <v>4</v>
      </c>
      <c r="F21" s="115">
        <v>414</v>
      </c>
      <c r="G21" s="48">
        <f>410/414</f>
        <v>0.99033816425120769</v>
      </c>
      <c r="H21" s="200">
        <v>8.5999999999999993E-2</v>
      </c>
      <c r="I21" s="115">
        <v>4</v>
      </c>
      <c r="J21" s="115">
        <v>414</v>
      </c>
      <c r="K21" s="48">
        <f>417/414</f>
        <v>1.0072463768115942</v>
      </c>
      <c r="L21" s="115">
        <v>3</v>
      </c>
      <c r="M21" s="115">
        <v>254</v>
      </c>
      <c r="N21" s="48">
        <f>372/254</f>
        <v>1.4645669291338583</v>
      </c>
      <c r="O21" s="200">
        <v>8.7999999999999995E-2</v>
      </c>
    </row>
    <row r="22" spans="1:15" ht="15.75" x14ac:dyDescent="0.25">
      <c r="A22" s="114" t="s">
        <v>169</v>
      </c>
      <c r="B22" s="115">
        <v>2</v>
      </c>
      <c r="C22" s="115">
        <v>282</v>
      </c>
      <c r="D22" s="48">
        <f>282/282</f>
        <v>1</v>
      </c>
      <c r="E22" s="115">
        <v>2</v>
      </c>
      <c r="F22" s="115">
        <v>282</v>
      </c>
      <c r="G22" s="48">
        <f>282/282</f>
        <v>1</v>
      </c>
      <c r="H22" s="200">
        <v>0.17499999999999999</v>
      </c>
      <c r="I22" s="115">
        <v>2</v>
      </c>
      <c r="J22" s="115">
        <v>282</v>
      </c>
      <c r="K22" s="48">
        <f>293/282</f>
        <v>1.0390070921985815</v>
      </c>
      <c r="L22" s="115">
        <v>2</v>
      </c>
      <c r="M22" s="115">
        <v>282</v>
      </c>
      <c r="N22" s="48">
        <f>297/282</f>
        <v>1.053191489361702</v>
      </c>
      <c r="O22" s="200">
        <v>0.109</v>
      </c>
    </row>
    <row r="23" spans="1:15" ht="15.75" x14ac:dyDescent="0.25">
      <c r="A23" s="114" t="s">
        <v>170</v>
      </c>
      <c r="B23" s="115">
        <v>1</v>
      </c>
      <c r="C23" s="115">
        <v>80</v>
      </c>
      <c r="D23" s="48">
        <f>65/80</f>
        <v>0.8125</v>
      </c>
      <c r="E23" s="115">
        <v>1</v>
      </c>
      <c r="F23" s="115">
        <v>80</v>
      </c>
      <c r="G23" s="48">
        <f>66/80</f>
        <v>0.82499999999999996</v>
      </c>
      <c r="H23" s="200">
        <v>0.14399999999999999</v>
      </c>
      <c r="I23" s="115">
        <v>1</v>
      </c>
      <c r="J23" s="115">
        <v>80</v>
      </c>
      <c r="K23" s="48">
        <f>67/80</f>
        <v>0.83750000000000002</v>
      </c>
      <c r="L23" s="115">
        <v>1</v>
      </c>
      <c r="M23" s="115">
        <v>80</v>
      </c>
      <c r="N23" s="48">
        <f>74/80</f>
        <v>0.92500000000000004</v>
      </c>
      <c r="O23" s="200">
        <v>7.6999999999999999E-2</v>
      </c>
    </row>
    <row r="24" spans="1:15" ht="15.75" x14ac:dyDescent="0.25">
      <c r="A24" s="114" t="s">
        <v>253</v>
      </c>
      <c r="B24" s="115">
        <v>19</v>
      </c>
      <c r="C24" s="115">
        <v>3470</v>
      </c>
      <c r="D24" s="48">
        <f>2908/3470</f>
        <v>0.83804034582132569</v>
      </c>
      <c r="E24" s="115">
        <v>19</v>
      </c>
      <c r="F24" s="115">
        <v>3470</v>
      </c>
      <c r="G24" s="48">
        <f>3027/3470</f>
        <v>0.87233429394812678</v>
      </c>
      <c r="H24" s="200">
        <v>9.0999999999999998E-2</v>
      </c>
      <c r="I24" s="115">
        <v>18</v>
      </c>
      <c r="J24" s="115">
        <v>3230</v>
      </c>
      <c r="K24" s="48">
        <f>3120/3230</f>
        <v>0.96594427244582048</v>
      </c>
      <c r="L24" s="115">
        <v>17</v>
      </c>
      <c r="M24" s="115">
        <v>3200</v>
      </c>
      <c r="N24" s="48">
        <f>2849/3200</f>
        <v>0.89031249999999995</v>
      </c>
      <c r="O24" s="200">
        <v>8.1000000000000003E-2</v>
      </c>
    </row>
    <row r="25" spans="1:15" ht="15.75" x14ac:dyDescent="0.25">
      <c r="A25" s="114" t="s">
        <v>254</v>
      </c>
      <c r="B25" s="115">
        <v>2</v>
      </c>
      <c r="C25" s="115">
        <v>770</v>
      </c>
      <c r="D25" s="48">
        <f>735/770</f>
        <v>0.95454545454545459</v>
      </c>
      <c r="E25" s="115">
        <v>2</v>
      </c>
      <c r="F25" s="115">
        <v>770</v>
      </c>
      <c r="G25" s="48">
        <f>730/770</f>
        <v>0.94805194805194803</v>
      </c>
      <c r="H25" s="200">
        <v>4.2000000000000003E-2</v>
      </c>
      <c r="I25" s="115">
        <v>2</v>
      </c>
      <c r="J25" s="115">
        <v>770</v>
      </c>
      <c r="K25" s="48">
        <f>722/770</f>
        <v>0.93766233766233764</v>
      </c>
      <c r="L25" s="115">
        <v>2</v>
      </c>
      <c r="M25" s="115">
        <v>770</v>
      </c>
      <c r="N25" s="48">
        <f>750/770</f>
        <v>0.97402597402597402</v>
      </c>
      <c r="O25" s="200">
        <v>0.04</v>
      </c>
    </row>
    <row r="26" spans="1:15" ht="15.75" x14ac:dyDescent="0.25">
      <c r="A26" s="114" t="s">
        <v>114</v>
      </c>
      <c r="B26" s="115">
        <v>2</v>
      </c>
      <c r="C26" s="115">
        <v>226</v>
      </c>
      <c r="D26" s="48">
        <f>149/226</f>
        <v>0.65929203539823011</v>
      </c>
      <c r="E26" s="115">
        <v>2</v>
      </c>
      <c r="F26" s="115">
        <v>226</v>
      </c>
      <c r="G26" s="48">
        <f>135/226</f>
        <v>0.59734513274336287</v>
      </c>
      <c r="H26" s="200">
        <v>0.106</v>
      </c>
      <c r="I26" s="115">
        <v>2</v>
      </c>
      <c r="J26" s="115">
        <v>226</v>
      </c>
      <c r="K26" s="48">
        <f>143/226</f>
        <v>0.63274336283185839</v>
      </c>
      <c r="L26" s="115">
        <v>2</v>
      </c>
      <c r="M26" s="115">
        <v>226</v>
      </c>
      <c r="N26" s="48">
        <f>140/226</f>
        <v>0.61946902654867253</v>
      </c>
      <c r="O26" s="200">
        <v>5.8000000000000003E-2</v>
      </c>
    </row>
    <row r="27" spans="1:15" ht="15.75" x14ac:dyDescent="0.25">
      <c r="A27" s="114" t="s">
        <v>148</v>
      </c>
      <c r="B27" s="115">
        <v>1</v>
      </c>
      <c r="C27" s="115">
        <v>100</v>
      </c>
      <c r="D27" s="48">
        <f>98/100</f>
        <v>0.98</v>
      </c>
      <c r="E27" s="115">
        <v>1</v>
      </c>
      <c r="F27" s="115">
        <v>100</v>
      </c>
      <c r="G27" s="48">
        <f>97/100</f>
        <v>0.97</v>
      </c>
      <c r="H27" s="200">
        <v>0.13800000000000001</v>
      </c>
      <c r="I27" s="115">
        <v>1</v>
      </c>
      <c r="J27" s="115">
        <v>100</v>
      </c>
      <c r="K27" s="48">
        <f>102/100</f>
        <v>1.02</v>
      </c>
      <c r="L27" s="115">
        <v>1</v>
      </c>
      <c r="M27" s="115">
        <v>100</v>
      </c>
      <c r="N27" s="48">
        <f>100/100</f>
        <v>1</v>
      </c>
      <c r="O27" s="200">
        <v>6.8000000000000005E-2</v>
      </c>
    </row>
    <row r="28" spans="1:15" ht="15.75" x14ac:dyDescent="0.25">
      <c r="A28" s="52" t="s">
        <v>140</v>
      </c>
      <c r="B28" s="53">
        <f>SUM(B5:B27)</f>
        <v>61</v>
      </c>
      <c r="C28" s="53">
        <f>SUM(C5:C27)</f>
        <v>10621</v>
      </c>
      <c r="D28" s="54">
        <f>AVERAGE(D5:D27)</f>
        <v>0.91626647171128539</v>
      </c>
      <c r="E28" s="53">
        <f t="shared" ref="E28:F28" si="0">SUM(E5:E27)</f>
        <v>61</v>
      </c>
      <c r="F28" s="53">
        <f t="shared" si="0"/>
        <v>10591</v>
      </c>
      <c r="G28" s="54">
        <f>AVERAGE(G5:G27)</f>
        <v>0.92602133826369415</v>
      </c>
      <c r="H28" s="198">
        <v>0.114</v>
      </c>
      <c r="I28" s="53">
        <f>SUM(I5:I27)</f>
        <v>63</v>
      </c>
      <c r="J28" s="53">
        <f>SUM(J5:J27)</f>
        <v>10801</v>
      </c>
      <c r="K28" s="54">
        <f>AVERAGE(K5:K27)</f>
        <v>0.928873637185895</v>
      </c>
      <c r="L28" s="53">
        <f t="shared" ref="L28:M28" si="1">SUM(L5:L27)</f>
        <v>59</v>
      </c>
      <c r="M28" s="53">
        <f t="shared" si="1"/>
        <v>10451</v>
      </c>
      <c r="N28" s="54">
        <f>AVERAGE(N5:N27)</f>
        <v>0.96332476467612482</v>
      </c>
      <c r="O28" s="198">
        <v>0.09</v>
      </c>
    </row>
    <row r="29" spans="1:15" x14ac:dyDescent="0.25">
      <c r="A29" s="102" t="s">
        <v>183</v>
      </c>
    </row>
    <row r="30" spans="1:15" x14ac:dyDescent="0.25">
      <c r="A30" s="102" t="s">
        <v>149</v>
      </c>
      <c r="B30" s="30"/>
    </row>
    <row r="31" spans="1:15" x14ac:dyDescent="0.25">
      <c r="A31" s="56" t="s">
        <v>255</v>
      </c>
    </row>
    <row r="32" spans="1:15" x14ac:dyDescent="0.25">
      <c r="A32" s="56" t="s">
        <v>256</v>
      </c>
    </row>
    <row r="33" spans="1:4" x14ac:dyDescent="0.25">
      <c r="A33" s="56" t="s">
        <v>257</v>
      </c>
    </row>
    <row r="39" spans="1:4" x14ac:dyDescent="0.25">
      <c r="D39" s="113"/>
    </row>
    <row r="40" spans="1:4" x14ac:dyDescent="0.25">
      <c r="D40" s="113"/>
    </row>
    <row r="41" spans="1:4" x14ac:dyDescent="0.25">
      <c r="D41" s="113"/>
    </row>
    <row r="42" spans="1:4" x14ac:dyDescent="0.25">
      <c r="D42" s="113"/>
    </row>
    <row r="43" spans="1:4" x14ac:dyDescent="0.25">
      <c r="D43" s="113"/>
    </row>
    <row r="44" spans="1:4" x14ac:dyDescent="0.25">
      <c r="D44" s="113"/>
    </row>
    <row r="45" spans="1:4" x14ac:dyDescent="0.25">
      <c r="D45" s="113"/>
    </row>
    <row r="46" spans="1:4" x14ac:dyDescent="0.25">
      <c r="D46" s="113"/>
    </row>
    <row r="47" spans="1:4" x14ac:dyDescent="0.25">
      <c r="D47" s="113"/>
    </row>
    <row r="48" spans="1:4" x14ac:dyDescent="0.25">
      <c r="D48" s="113"/>
    </row>
    <row r="49" spans="4:4" x14ac:dyDescent="0.25">
      <c r="D49" s="113"/>
    </row>
    <row r="50" spans="4:4" x14ac:dyDescent="0.25">
      <c r="D50" s="113"/>
    </row>
    <row r="51" spans="4:4" x14ac:dyDescent="0.25">
      <c r="D51" s="113"/>
    </row>
    <row r="52" spans="4:4" x14ac:dyDescent="0.25">
      <c r="D52" s="113"/>
    </row>
    <row r="53" spans="4:4" x14ac:dyDescent="0.25">
      <c r="D53" s="113"/>
    </row>
    <row r="54" spans="4:4" x14ac:dyDescent="0.25">
      <c r="D54" s="113"/>
    </row>
    <row r="55" spans="4:4" x14ac:dyDescent="0.25">
      <c r="D55" s="113"/>
    </row>
    <row r="56" spans="4:4" x14ac:dyDescent="0.25">
      <c r="D56" s="113"/>
    </row>
    <row r="57" spans="4:4" x14ac:dyDescent="0.25">
      <c r="D57" s="113"/>
    </row>
    <row r="58" spans="4:4" x14ac:dyDescent="0.25">
      <c r="D58" s="113"/>
    </row>
    <row r="59" spans="4:4" x14ac:dyDescent="0.25">
      <c r="D59" s="113"/>
    </row>
    <row r="60" spans="4:4" x14ac:dyDescent="0.25">
      <c r="D60" s="113"/>
    </row>
    <row r="61" spans="4:4" x14ac:dyDescent="0.25">
      <c r="D61" s="113"/>
    </row>
    <row r="62" spans="4:4" x14ac:dyDescent="0.25">
      <c r="D62" s="113"/>
    </row>
  </sheetData>
  <mergeCells count="20">
    <mergeCell ref="F3:F4"/>
    <mergeCell ref="G3:G4"/>
    <mergeCell ref="H3:H4"/>
    <mergeCell ref="O3:O4"/>
    <mergeCell ref="J3:J4"/>
    <mergeCell ref="K3:K4"/>
    <mergeCell ref="L3:L4"/>
    <mergeCell ref="M3:M4"/>
    <mergeCell ref="N3:N4"/>
    <mergeCell ref="I3:I4"/>
    <mergeCell ref="A3:A4"/>
    <mergeCell ref="B3:B4"/>
    <mergeCell ref="C3:C4"/>
    <mergeCell ref="D3:D4"/>
    <mergeCell ref="E3:E4"/>
    <mergeCell ref="A1:O1"/>
    <mergeCell ref="B2:D2"/>
    <mergeCell ref="E2:H2"/>
    <mergeCell ref="I2:K2"/>
    <mergeCell ref="L2:O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59B5E-3F24-40F8-87E7-6244930E785A}">
  <dimension ref="A1:AC43"/>
  <sheetViews>
    <sheetView topLeftCell="A5" zoomScale="90" zoomScaleNormal="90" zoomScaleSheetLayoutView="73" workbookViewId="0">
      <pane xSplit="1" topLeftCell="B1" activePane="topRight" state="frozen"/>
      <selection pane="topRight" activeCell="A6" sqref="A6:A37"/>
    </sheetView>
  </sheetViews>
  <sheetFormatPr defaultRowHeight="15" x14ac:dyDescent="0.25"/>
  <cols>
    <col min="1" max="1" width="36.7109375" customWidth="1"/>
    <col min="2" max="4" width="15.7109375" style="33" customWidth="1"/>
    <col min="5" max="5" width="16.28515625" customWidth="1"/>
    <col min="6" max="6" width="16" customWidth="1"/>
    <col min="7" max="7" width="15.85546875" customWidth="1"/>
    <col min="8" max="8" width="17.7109375" customWidth="1"/>
    <col min="9" max="11" width="15.7109375" customWidth="1"/>
    <col min="12" max="12" width="16.42578125" customWidth="1"/>
    <col min="13" max="14" width="14.7109375" customWidth="1"/>
    <col min="15" max="15" width="19.42578125" customWidth="1"/>
    <col min="16" max="29" width="15.7109375" customWidth="1"/>
    <col min="243" max="243" width="24.7109375" customWidth="1"/>
    <col min="244" max="244" width="19.7109375" customWidth="1"/>
    <col min="245" max="245" width="11.42578125" customWidth="1"/>
    <col min="246" max="246" width="15.42578125" customWidth="1"/>
    <col min="247" max="247" width="13.85546875" customWidth="1"/>
    <col min="248" max="248" width="11.42578125" customWidth="1"/>
    <col min="249" max="249" width="12.140625" customWidth="1"/>
    <col min="250" max="250" width="16" customWidth="1"/>
    <col min="251" max="251" width="14.5703125" customWidth="1"/>
    <col min="252" max="252" width="12.7109375" customWidth="1"/>
    <col min="253" max="253" width="14.7109375" customWidth="1"/>
    <col min="254" max="254" width="18.28515625" customWidth="1"/>
    <col min="255" max="255" width="14.28515625" customWidth="1"/>
    <col min="256" max="256" width="17.7109375" customWidth="1"/>
    <col min="257" max="257" width="13.85546875" customWidth="1"/>
    <col min="258" max="258" width="17.140625" customWidth="1"/>
    <col min="259" max="259" width="15.85546875" customWidth="1"/>
    <col min="260" max="260" width="17.5703125" customWidth="1"/>
    <col min="499" max="499" width="24.7109375" customWidth="1"/>
    <col min="500" max="500" width="19.7109375" customWidth="1"/>
    <col min="501" max="501" width="11.42578125" customWidth="1"/>
    <col min="502" max="502" width="15.42578125" customWidth="1"/>
    <col min="503" max="503" width="13.85546875" customWidth="1"/>
    <col min="504" max="504" width="11.42578125" customWidth="1"/>
    <col min="505" max="505" width="12.140625" customWidth="1"/>
    <col min="506" max="506" width="16" customWidth="1"/>
    <col min="507" max="507" width="14.5703125" customWidth="1"/>
    <col min="508" max="508" width="12.7109375" customWidth="1"/>
    <col min="509" max="509" width="14.7109375" customWidth="1"/>
    <col min="510" max="510" width="18.28515625" customWidth="1"/>
    <col min="511" max="511" width="14.28515625" customWidth="1"/>
    <col min="512" max="512" width="17.7109375" customWidth="1"/>
    <col min="513" max="513" width="13.85546875" customWidth="1"/>
    <col min="514" max="514" width="17.140625" customWidth="1"/>
    <col min="515" max="515" width="15.85546875" customWidth="1"/>
    <col min="516" max="516" width="17.5703125" customWidth="1"/>
    <col min="755" max="755" width="24.7109375" customWidth="1"/>
    <col min="756" max="756" width="19.7109375" customWidth="1"/>
    <col min="757" max="757" width="11.42578125" customWidth="1"/>
    <col min="758" max="758" width="15.42578125" customWidth="1"/>
    <col min="759" max="759" width="13.85546875" customWidth="1"/>
    <col min="760" max="760" width="11.42578125" customWidth="1"/>
    <col min="761" max="761" width="12.140625" customWidth="1"/>
    <col min="762" max="762" width="16" customWidth="1"/>
    <col min="763" max="763" width="14.5703125" customWidth="1"/>
    <col min="764" max="764" width="12.7109375" customWidth="1"/>
    <col min="765" max="765" width="14.7109375" customWidth="1"/>
    <col min="766" max="766" width="18.28515625" customWidth="1"/>
    <col min="767" max="767" width="14.28515625" customWidth="1"/>
    <col min="768" max="768" width="17.7109375" customWidth="1"/>
    <col min="769" max="769" width="13.85546875" customWidth="1"/>
    <col min="770" max="770" width="17.140625" customWidth="1"/>
    <col min="771" max="771" width="15.85546875" customWidth="1"/>
    <col min="772" max="772" width="17.5703125" customWidth="1"/>
    <col min="1011" max="1011" width="24.7109375" customWidth="1"/>
    <col min="1012" max="1012" width="19.7109375" customWidth="1"/>
    <col min="1013" max="1013" width="11.42578125" customWidth="1"/>
    <col min="1014" max="1014" width="15.42578125" customWidth="1"/>
    <col min="1015" max="1015" width="13.85546875" customWidth="1"/>
    <col min="1016" max="1016" width="11.42578125" customWidth="1"/>
    <col min="1017" max="1017" width="12.140625" customWidth="1"/>
    <col min="1018" max="1018" width="16" customWidth="1"/>
    <col min="1019" max="1019" width="14.5703125" customWidth="1"/>
    <col min="1020" max="1020" width="12.7109375" customWidth="1"/>
    <col min="1021" max="1021" width="14.7109375" customWidth="1"/>
    <col min="1022" max="1022" width="18.28515625" customWidth="1"/>
    <col min="1023" max="1023" width="14.28515625" customWidth="1"/>
    <col min="1024" max="1024" width="17.7109375" customWidth="1"/>
    <col min="1025" max="1025" width="13.85546875" customWidth="1"/>
    <col min="1026" max="1026" width="17.140625" customWidth="1"/>
    <col min="1027" max="1027" width="15.85546875" customWidth="1"/>
    <col min="1028" max="1028" width="17.5703125" customWidth="1"/>
    <col min="1267" max="1267" width="24.7109375" customWidth="1"/>
    <col min="1268" max="1268" width="19.7109375" customWidth="1"/>
    <col min="1269" max="1269" width="11.42578125" customWidth="1"/>
    <col min="1270" max="1270" width="15.42578125" customWidth="1"/>
    <col min="1271" max="1271" width="13.85546875" customWidth="1"/>
    <col min="1272" max="1272" width="11.42578125" customWidth="1"/>
    <col min="1273" max="1273" width="12.140625" customWidth="1"/>
    <col min="1274" max="1274" width="16" customWidth="1"/>
    <col min="1275" max="1275" width="14.5703125" customWidth="1"/>
    <col min="1276" max="1276" width="12.7109375" customWidth="1"/>
    <col min="1277" max="1277" width="14.7109375" customWidth="1"/>
    <col min="1278" max="1278" width="18.28515625" customWidth="1"/>
    <col min="1279" max="1279" width="14.28515625" customWidth="1"/>
    <col min="1280" max="1280" width="17.7109375" customWidth="1"/>
    <col min="1281" max="1281" width="13.85546875" customWidth="1"/>
    <col min="1282" max="1282" width="17.140625" customWidth="1"/>
    <col min="1283" max="1283" width="15.85546875" customWidth="1"/>
    <col min="1284" max="1284" width="17.5703125" customWidth="1"/>
    <col min="1523" max="1523" width="24.7109375" customWidth="1"/>
    <col min="1524" max="1524" width="19.7109375" customWidth="1"/>
    <col min="1525" max="1525" width="11.42578125" customWidth="1"/>
    <col min="1526" max="1526" width="15.42578125" customWidth="1"/>
    <col min="1527" max="1527" width="13.85546875" customWidth="1"/>
    <col min="1528" max="1528" width="11.42578125" customWidth="1"/>
    <col min="1529" max="1529" width="12.140625" customWidth="1"/>
    <col min="1530" max="1530" width="16" customWidth="1"/>
    <col min="1531" max="1531" width="14.5703125" customWidth="1"/>
    <col min="1532" max="1532" width="12.7109375" customWidth="1"/>
    <col min="1533" max="1533" width="14.7109375" customWidth="1"/>
    <col min="1534" max="1534" width="18.28515625" customWidth="1"/>
    <col min="1535" max="1535" width="14.28515625" customWidth="1"/>
    <col min="1536" max="1536" width="17.7109375" customWidth="1"/>
    <col min="1537" max="1537" width="13.85546875" customWidth="1"/>
    <col min="1538" max="1538" width="17.140625" customWidth="1"/>
    <col min="1539" max="1539" width="15.85546875" customWidth="1"/>
    <col min="1540" max="1540" width="17.5703125" customWidth="1"/>
    <col min="1779" max="1779" width="24.7109375" customWidth="1"/>
    <col min="1780" max="1780" width="19.7109375" customWidth="1"/>
    <col min="1781" max="1781" width="11.42578125" customWidth="1"/>
    <col min="1782" max="1782" width="15.42578125" customWidth="1"/>
    <col min="1783" max="1783" width="13.85546875" customWidth="1"/>
    <col min="1784" max="1784" width="11.42578125" customWidth="1"/>
    <col min="1785" max="1785" width="12.140625" customWidth="1"/>
    <col min="1786" max="1786" width="16" customWidth="1"/>
    <col min="1787" max="1787" width="14.5703125" customWidth="1"/>
    <col min="1788" max="1788" width="12.7109375" customWidth="1"/>
    <col min="1789" max="1789" width="14.7109375" customWidth="1"/>
    <col min="1790" max="1790" width="18.28515625" customWidth="1"/>
    <col min="1791" max="1791" width="14.28515625" customWidth="1"/>
    <col min="1792" max="1792" width="17.7109375" customWidth="1"/>
    <col min="1793" max="1793" width="13.85546875" customWidth="1"/>
    <col min="1794" max="1794" width="17.140625" customWidth="1"/>
    <col min="1795" max="1795" width="15.85546875" customWidth="1"/>
    <col min="1796" max="1796" width="17.5703125" customWidth="1"/>
    <col min="2035" max="2035" width="24.7109375" customWidth="1"/>
    <col min="2036" max="2036" width="19.7109375" customWidth="1"/>
    <col min="2037" max="2037" width="11.42578125" customWidth="1"/>
    <col min="2038" max="2038" width="15.42578125" customWidth="1"/>
    <col min="2039" max="2039" width="13.85546875" customWidth="1"/>
    <col min="2040" max="2040" width="11.42578125" customWidth="1"/>
    <col min="2041" max="2041" width="12.140625" customWidth="1"/>
    <col min="2042" max="2042" width="16" customWidth="1"/>
    <col min="2043" max="2043" width="14.5703125" customWidth="1"/>
    <col min="2044" max="2044" width="12.7109375" customWidth="1"/>
    <col min="2045" max="2045" width="14.7109375" customWidth="1"/>
    <col min="2046" max="2046" width="18.28515625" customWidth="1"/>
    <col min="2047" max="2047" width="14.28515625" customWidth="1"/>
    <col min="2048" max="2048" width="17.7109375" customWidth="1"/>
    <col min="2049" max="2049" width="13.85546875" customWidth="1"/>
    <col min="2050" max="2050" width="17.140625" customWidth="1"/>
    <col min="2051" max="2051" width="15.85546875" customWidth="1"/>
    <col min="2052" max="2052" width="17.5703125" customWidth="1"/>
    <col min="2291" max="2291" width="24.7109375" customWidth="1"/>
    <col min="2292" max="2292" width="19.7109375" customWidth="1"/>
    <col min="2293" max="2293" width="11.42578125" customWidth="1"/>
    <col min="2294" max="2294" width="15.42578125" customWidth="1"/>
    <col min="2295" max="2295" width="13.85546875" customWidth="1"/>
    <col min="2296" max="2296" width="11.42578125" customWidth="1"/>
    <col min="2297" max="2297" width="12.140625" customWidth="1"/>
    <col min="2298" max="2298" width="16" customWidth="1"/>
    <col min="2299" max="2299" width="14.5703125" customWidth="1"/>
    <col min="2300" max="2300" width="12.7109375" customWidth="1"/>
    <col min="2301" max="2301" width="14.7109375" customWidth="1"/>
    <col min="2302" max="2302" width="18.28515625" customWidth="1"/>
    <col min="2303" max="2303" width="14.28515625" customWidth="1"/>
    <col min="2304" max="2304" width="17.7109375" customWidth="1"/>
    <col min="2305" max="2305" width="13.85546875" customWidth="1"/>
    <col min="2306" max="2306" width="17.140625" customWidth="1"/>
    <col min="2307" max="2307" width="15.85546875" customWidth="1"/>
    <col min="2308" max="2308" width="17.5703125" customWidth="1"/>
    <col min="2547" max="2547" width="24.7109375" customWidth="1"/>
    <col min="2548" max="2548" width="19.7109375" customWidth="1"/>
    <col min="2549" max="2549" width="11.42578125" customWidth="1"/>
    <col min="2550" max="2550" width="15.42578125" customWidth="1"/>
    <col min="2551" max="2551" width="13.85546875" customWidth="1"/>
    <col min="2552" max="2552" width="11.42578125" customWidth="1"/>
    <col min="2553" max="2553" width="12.140625" customWidth="1"/>
    <col min="2554" max="2554" width="16" customWidth="1"/>
    <col min="2555" max="2555" width="14.5703125" customWidth="1"/>
    <col min="2556" max="2556" width="12.7109375" customWidth="1"/>
    <col min="2557" max="2557" width="14.7109375" customWidth="1"/>
    <col min="2558" max="2558" width="18.28515625" customWidth="1"/>
    <col min="2559" max="2559" width="14.28515625" customWidth="1"/>
    <col min="2560" max="2560" width="17.7109375" customWidth="1"/>
    <col min="2561" max="2561" width="13.85546875" customWidth="1"/>
    <col min="2562" max="2562" width="17.140625" customWidth="1"/>
    <col min="2563" max="2563" width="15.85546875" customWidth="1"/>
    <col min="2564" max="2564" width="17.5703125" customWidth="1"/>
    <col min="2803" max="2803" width="24.7109375" customWidth="1"/>
    <col min="2804" max="2804" width="19.7109375" customWidth="1"/>
    <col min="2805" max="2805" width="11.42578125" customWidth="1"/>
    <col min="2806" max="2806" width="15.42578125" customWidth="1"/>
    <col min="2807" max="2807" width="13.85546875" customWidth="1"/>
    <col min="2808" max="2808" width="11.42578125" customWidth="1"/>
    <col min="2809" max="2809" width="12.140625" customWidth="1"/>
    <col min="2810" max="2810" width="16" customWidth="1"/>
    <col min="2811" max="2811" width="14.5703125" customWidth="1"/>
    <col min="2812" max="2812" width="12.7109375" customWidth="1"/>
    <col min="2813" max="2813" width="14.7109375" customWidth="1"/>
    <col min="2814" max="2814" width="18.28515625" customWidth="1"/>
    <col min="2815" max="2815" width="14.28515625" customWidth="1"/>
    <col min="2816" max="2816" width="17.7109375" customWidth="1"/>
    <col min="2817" max="2817" width="13.85546875" customWidth="1"/>
    <col min="2818" max="2818" width="17.140625" customWidth="1"/>
    <col min="2819" max="2819" width="15.85546875" customWidth="1"/>
    <col min="2820" max="2820" width="17.5703125" customWidth="1"/>
    <col min="3059" max="3059" width="24.7109375" customWidth="1"/>
    <col min="3060" max="3060" width="19.7109375" customWidth="1"/>
    <col min="3061" max="3061" width="11.42578125" customWidth="1"/>
    <col min="3062" max="3062" width="15.42578125" customWidth="1"/>
    <col min="3063" max="3063" width="13.85546875" customWidth="1"/>
    <col min="3064" max="3064" width="11.42578125" customWidth="1"/>
    <col min="3065" max="3065" width="12.140625" customWidth="1"/>
    <col min="3066" max="3066" width="16" customWidth="1"/>
    <col min="3067" max="3067" width="14.5703125" customWidth="1"/>
    <col min="3068" max="3068" width="12.7109375" customWidth="1"/>
    <col min="3069" max="3069" width="14.7109375" customWidth="1"/>
    <col min="3070" max="3070" width="18.28515625" customWidth="1"/>
    <col min="3071" max="3071" width="14.28515625" customWidth="1"/>
    <col min="3072" max="3072" width="17.7109375" customWidth="1"/>
    <col min="3073" max="3073" width="13.85546875" customWidth="1"/>
    <col min="3074" max="3074" width="17.140625" customWidth="1"/>
    <col min="3075" max="3075" width="15.85546875" customWidth="1"/>
    <col min="3076" max="3076" width="17.5703125" customWidth="1"/>
    <col min="3315" max="3315" width="24.7109375" customWidth="1"/>
    <col min="3316" max="3316" width="19.7109375" customWidth="1"/>
    <col min="3317" max="3317" width="11.42578125" customWidth="1"/>
    <col min="3318" max="3318" width="15.42578125" customWidth="1"/>
    <col min="3319" max="3319" width="13.85546875" customWidth="1"/>
    <col min="3320" max="3320" width="11.42578125" customWidth="1"/>
    <col min="3321" max="3321" width="12.140625" customWidth="1"/>
    <col min="3322" max="3322" width="16" customWidth="1"/>
    <col min="3323" max="3323" width="14.5703125" customWidth="1"/>
    <col min="3324" max="3324" width="12.7109375" customWidth="1"/>
    <col min="3325" max="3325" width="14.7109375" customWidth="1"/>
    <col min="3326" max="3326" width="18.28515625" customWidth="1"/>
    <col min="3327" max="3327" width="14.28515625" customWidth="1"/>
    <col min="3328" max="3328" width="17.7109375" customWidth="1"/>
    <col min="3329" max="3329" width="13.85546875" customWidth="1"/>
    <col min="3330" max="3330" width="17.140625" customWidth="1"/>
    <col min="3331" max="3331" width="15.85546875" customWidth="1"/>
    <col min="3332" max="3332" width="17.5703125" customWidth="1"/>
    <col min="3571" max="3571" width="24.7109375" customWidth="1"/>
    <col min="3572" max="3572" width="19.7109375" customWidth="1"/>
    <col min="3573" max="3573" width="11.42578125" customWidth="1"/>
    <col min="3574" max="3574" width="15.42578125" customWidth="1"/>
    <col min="3575" max="3575" width="13.85546875" customWidth="1"/>
    <col min="3576" max="3576" width="11.42578125" customWidth="1"/>
    <col min="3577" max="3577" width="12.140625" customWidth="1"/>
    <col min="3578" max="3578" width="16" customWidth="1"/>
    <col min="3579" max="3579" width="14.5703125" customWidth="1"/>
    <col min="3580" max="3580" width="12.7109375" customWidth="1"/>
    <col min="3581" max="3581" width="14.7109375" customWidth="1"/>
    <col min="3582" max="3582" width="18.28515625" customWidth="1"/>
    <col min="3583" max="3583" width="14.28515625" customWidth="1"/>
    <col min="3584" max="3584" width="17.7109375" customWidth="1"/>
    <col min="3585" max="3585" width="13.85546875" customWidth="1"/>
    <col min="3586" max="3586" width="17.140625" customWidth="1"/>
    <col min="3587" max="3587" width="15.85546875" customWidth="1"/>
    <col min="3588" max="3588" width="17.5703125" customWidth="1"/>
    <col min="3827" max="3827" width="24.7109375" customWidth="1"/>
    <col min="3828" max="3828" width="19.7109375" customWidth="1"/>
    <col min="3829" max="3829" width="11.42578125" customWidth="1"/>
    <col min="3830" max="3830" width="15.42578125" customWidth="1"/>
    <col min="3831" max="3831" width="13.85546875" customWidth="1"/>
    <col min="3832" max="3832" width="11.42578125" customWidth="1"/>
    <col min="3833" max="3833" width="12.140625" customWidth="1"/>
    <col min="3834" max="3834" width="16" customWidth="1"/>
    <col min="3835" max="3835" width="14.5703125" customWidth="1"/>
    <col min="3836" max="3836" width="12.7109375" customWidth="1"/>
    <col min="3837" max="3837" width="14.7109375" customWidth="1"/>
    <col min="3838" max="3838" width="18.28515625" customWidth="1"/>
    <col min="3839" max="3839" width="14.28515625" customWidth="1"/>
    <col min="3840" max="3840" width="17.7109375" customWidth="1"/>
    <col min="3841" max="3841" width="13.85546875" customWidth="1"/>
    <col min="3842" max="3842" width="17.140625" customWidth="1"/>
    <col min="3843" max="3843" width="15.85546875" customWidth="1"/>
    <col min="3844" max="3844" width="17.5703125" customWidth="1"/>
    <col min="4083" max="4083" width="24.7109375" customWidth="1"/>
    <col min="4084" max="4084" width="19.7109375" customWidth="1"/>
    <col min="4085" max="4085" width="11.42578125" customWidth="1"/>
    <col min="4086" max="4086" width="15.42578125" customWidth="1"/>
    <col min="4087" max="4087" width="13.85546875" customWidth="1"/>
    <col min="4088" max="4088" width="11.42578125" customWidth="1"/>
    <col min="4089" max="4089" width="12.140625" customWidth="1"/>
    <col min="4090" max="4090" width="16" customWidth="1"/>
    <col min="4091" max="4091" width="14.5703125" customWidth="1"/>
    <col min="4092" max="4092" width="12.7109375" customWidth="1"/>
    <col min="4093" max="4093" width="14.7109375" customWidth="1"/>
    <col min="4094" max="4094" width="18.28515625" customWidth="1"/>
    <col min="4095" max="4095" width="14.28515625" customWidth="1"/>
    <col min="4096" max="4096" width="17.7109375" customWidth="1"/>
    <col min="4097" max="4097" width="13.85546875" customWidth="1"/>
    <col min="4098" max="4098" width="17.140625" customWidth="1"/>
    <col min="4099" max="4099" width="15.85546875" customWidth="1"/>
    <col min="4100" max="4100" width="17.5703125" customWidth="1"/>
    <col min="4339" max="4339" width="24.7109375" customWidth="1"/>
    <col min="4340" max="4340" width="19.7109375" customWidth="1"/>
    <col min="4341" max="4341" width="11.42578125" customWidth="1"/>
    <col min="4342" max="4342" width="15.42578125" customWidth="1"/>
    <col min="4343" max="4343" width="13.85546875" customWidth="1"/>
    <col min="4344" max="4344" width="11.42578125" customWidth="1"/>
    <col min="4345" max="4345" width="12.140625" customWidth="1"/>
    <col min="4346" max="4346" width="16" customWidth="1"/>
    <col min="4347" max="4347" width="14.5703125" customWidth="1"/>
    <col min="4348" max="4348" width="12.7109375" customWidth="1"/>
    <col min="4349" max="4349" width="14.7109375" customWidth="1"/>
    <col min="4350" max="4350" width="18.28515625" customWidth="1"/>
    <col min="4351" max="4351" width="14.28515625" customWidth="1"/>
    <col min="4352" max="4352" width="17.7109375" customWidth="1"/>
    <col min="4353" max="4353" width="13.85546875" customWidth="1"/>
    <col min="4354" max="4354" width="17.140625" customWidth="1"/>
    <col min="4355" max="4355" width="15.85546875" customWidth="1"/>
    <col min="4356" max="4356" width="17.5703125" customWidth="1"/>
    <col min="4595" max="4595" width="24.7109375" customWidth="1"/>
    <col min="4596" max="4596" width="19.7109375" customWidth="1"/>
    <col min="4597" max="4597" width="11.42578125" customWidth="1"/>
    <col min="4598" max="4598" width="15.42578125" customWidth="1"/>
    <col min="4599" max="4599" width="13.85546875" customWidth="1"/>
    <col min="4600" max="4600" width="11.42578125" customWidth="1"/>
    <col min="4601" max="4601" width="12.140625" customWidth="1"/>
    <col min="4602" max="4602" width="16" customWidth="1"/>
    <col min="4603" max="4603" width="14.5703125" customWidth="1"/>
    <col min="4604" max="4604" width="12.7109375" customWidth="1"/>
    <col min="4605" max="4605" width="14.7109375" customWidth="1"/>
    <col min="4606" max="4606" width="18.28515625" customWidth="1"/>
    <col min="4607" max="4607" width="14.28515625" customWidth="1"/>
    <col min="4608" max="4608" width="17.7109375" customWidth="1"/>
    <col min="4609" max="4609" width="13.85546875" customWidth="1"/>
    <col min="4610" max="4610" width="17.140625" customWidth="1"/>
    <col min="4611" max="4611" width="15.85546875" customWidth="1"/>
    <col min="4612" max="4612" width="17.5703125" customWidth="1"/>
    <col min="4851" max="4851" width="24.7109375" customWidth="1"/>
    <col min="4852" max="4852" width="19.7109375" customWidth="1"/>
    <col min="4853" max="4853" width="11.42578125" customWidth="1"/>
    <col min="4854" max="4854" width="15.42578125" customWidth="1"/>
    <col min="4855" max="4855" width="13.85546875" customWidth="1"/>
    <col min="4856" max="4856" width="11.42578125" customWidth="1"/>
    <col min="4857" max="4857" width="12.140625" customWidth="1"/>
    <col min="4858" max="4858" width="16" customWidth="1"/>
    <col min="4859" max="4859" width="14.5703125" customWidth="1"/>
    <col min="4860" max="4860" width="12.7109375" customWidth="1"/>
    <col min="4861" max="4861" width="14.7109375" customWidth="1"/>
    <col min="4862" max="4862" width="18.28515625" customWidth="1"/>
    <col min="4863" max="4863" width="14.28515625" customWidth="1"/>
    <col min="4864" max="4864" width="17.7109375" customWidth="1"/>
    <col min="4865" max="4865" width="13.85546875" customWidth="1"/>
    <col min="4866" max="4866" width="17.140625" customWidth="1"/>
    <col min="4867" max="4867" width="15.85546875" customWidth="1"/>
    <col min="4868" max="4868" width="17.5703125" customWidth="1"/>
    <col min="5107" max="5107" width="24.7109375" customWidth="1"/>
    <col min="5108" max="5108" width="19.7109375" customWidth="1"/>
    <col min="5109" max="5109" width="11.42578125" customWidth="1"/>
    <col min="5110" max="5110" width="15.42578125" customWidth="1"/>
    <col min="5111" max="5111" width="13.85546875" customWidth="1"/>
    <col min="5112" max="5112" width="11.42578125" customWidth="1"/>
    <col min="5113" max="5113" width="12.140625" customWidth="1"/>
    <col min="5114" max="5114" width="16" customWidth="1"/>
    <col min="5115" max="5115" width="14.5703125" customWidth="1"/>
    <col min="5116" max="5116" width="12.7109375" customWidth="1"/>
    <col min="5117" max="5117" width="14.7109375" customWidth="1"/>
    <col min="5118" max="5118" width="18.28515625" customWidth="1"/>
    <col min="5119" max="5119" width="14.28515625" customWidth="1"/>
    <col min="5120" max="5120" width="17.7109375" customWidth="1"/>
    <col min="5121" max="5121" width="13.85546875" customWidth="1"/>
    <col min="5122" max="5122" width="17.140625" customWidth="1"/>
    <col min="5123" max="5123" width="15.85546875" customWidth="1"/>
    <col min="5124" max="5124" width="17.5703125" customWidth="1"/>
    <col min="5363" max="5363" width="24.7109375" customWidth="1"/>
    <col min="5364" max="5364" width="19.7109375" customWidth="1"/>
    <col min="5365" max="5365" width="11.42578125" customWidth="1"/>
    <col min="5366" max="5366" width="15.42578125" customWidth="1"/>
    <col min="5367" max="5367" width="13.85546875" customWidth="1"/>
    <col min="5368" max="5368" width="11.42578125" customWidth="1"/>
    <col min="5369" max="5369" width="12.140625" customWidth="1"/>
    <col min="5370" max="5370" width="16" customWidth="1"/>
    <col min="5371" max="5371" width="14.5703125" customWidth="1"/>
    <col min="5372" max="5372" width="12.7109375" customWidth="1"/>
    <col min="5373" max="5373" width="14.7109375" customWidth="1"/>
    <col min="5374" max="5374" width="18.28515625" customWidth="1"/>
    <col min="5375" max="5375" width="14.28515625" customWidth="1"/>
    <col min="5376" max="5376" width="17.7109375" customWidth="1"/>
    <col min="5377" max="5377" width="13.85546875" customWidth="1"/>
    <col min="5378" max="5378" width="17.140625" customWidth="1"/>
    <col min="5379" max="5379" width="15.85546875" customWidth="1"/>
    <col min="5380" max="5380" width="17.5703125" customWidth="1"/>
    <col min="5619" max="5619" width="24.7109375" customWidth="1"/>
    <col min="5620" max="5620" width="19.7109375" customWidth="1"/>
    <col min="5621" max="5621" width="11.42578125" customWidth="1"/>
    <col min="5622" max="5622" width="15.42578125" customWidth="1"/>
    <col min="5623" max="5623" width="13.85546875" customWidth="1"/>
    <col min="5624" max="5624" width="11.42578125" customWidth="1"/>
    <col min="5625" max="5625" width="12.140625" customWidth="1"/>
    <col min="5626" max="5626" width="16" customWidth="1"/>
    <col min="5627" max="5627" width="14.5703125" customWidth="1"/>
    <col min="5628" max="5628" width="12.7109375" customWidth="1"/>
    <col min="5629" max="5629" width="14.7109375" customWidth="1"/>
    <col min="5630" max="5630" width="18.28515625" customWidth="1"/>
    <col min="5631" max="5631" width="14.28515625" customWidth="1"/>
    <col min="5632" max="5632" width="17.7109375" customWidth="1"/>
    <col min="5633" max="5633" width="13.85546875" customWidth="1"/>
    <col min="5634" max="5634" width="17.140625" customWidth="1"/>
    <col min="5635" max="5635" width="15.85546875" customWidth="1"/>
    <col min="5636" max="5636" width="17.5703125" customWidth="1"/>
    <col min="5875" max="5875" width="24.7109375" customWidth="1"/>
    <col min="5876" max="5876" width="19.7109375" customWidth="1"/>
    <col min="5877" max="5877" width="11.42578125" customWidth="1"/>
    <col min="5878" max="5878" width="15.42578125" customWidth="1"/>
    <col min="5879" max="5879" width="13.85546875" customWidth="1"/>
    <col min="5880" max="5880" width="11.42578125" customWidth="1"/>
    <col min="5881" max="5881" width="12.140625" customWidth="1"/>
    <col min="5882" max="5882" width="16" customWidth="1"/>
    <col min="5883" max="5883" width="14.5703125" customWidth="1"/>
    <col min="5884" max="5884" width="12.7109375" customWidth="1"/>
    <col min="5885" max="5885" width="14.7109375" customWidth="1"/>
    <col min="5886" max="5886" width="18.28515625" customWidth="1"/>
    <col min="5887" max="5887" width="14.28515625" customWidth="1"/>
    <col min="5888" max="5888" width="17.7109375" customWidth="1"/>
    <col min="5889" max="5889" width="13.85546875" customWidth="1"/>
    <col min="5890" max="5890" width="17.140625" customWidth="1"/>
    <col min="5891" max="5891" width="15.85546875" customWidth="1"/>
    <col min="5892" max="5892" width="17.5703125" customWidth="1"/>
    <col min="6131" max="6131" width="24.7109375" customWidth="1"/>
    <col min="6132" max="6132" width="19.7109375" customWidth="1"/>
    <col min="6133" max="6133" width="11.42578125" customWidth="1"/>
    <col min="6134" max="6134" width="15.42578125" customWidth="1"/>
    <col min="6135" max="6135" width="13.85546875" customWidth="1"/>
    <col min="6136" max="6136" width="11.42578125" customWidth="1"/>
    <col min="6137" max="6137" width="12.140625" customWidth="1"/>
    <col min="6138" max="6138" width="16" customWidth="1"/>
    <col min="6139" max="6139" width="14.5703125" customWidth="1"/>
    <col min="6140" max="6140" width="12.7109375" customWidth="1"/>
    <col min="6141" max="6141" width="14.7109375" customWidth="1"/>
    <col min="6142" max="6142" width="18.28515625" customWidth="1"/>
    <col min="6143" max="6143" width="14.28515625" customWidth="1"/>
    <col min="6144" max="6144" width="17.7109375" customWidth="1"/>
    <col min="6145" max="6145" width="13.85546875" customWidth="1"/>
    <col min="6146" max="6146" width="17.140625" customWidth="1"/>
    <col min="6147" max="6147" width="15.85546875" customWidth="1"/>
    <col min="6148" max="6148" width="17.5703125" customWidth="1"/>
    <col min="6387" max="6387" width="24.7109375" customWidth="1"/>
    <col min="6388" max="6388" width="19.7109375" customWidth="1"/>
    <col min="6389" max="6389" width="11.42578125" customWidth="1"/>
    <col min="6390" max="6390" width="15.42578125" customWidth="1"/>
    <col min="6391" max="6391" width="13.85546875" customWidth="1"/>
    <col min="6392" max="6392" width="11.42578125" customWidth="1"/>
    <col min="6393" max="6393" width="12.140625" customWidth="1"/>
    <col min="6394" max="6394" width="16" customWidth="1"/>
    <col min="6395" max="6395" width="14.5703125" customWidth="1"/>
    <col min="6396" max="6396" width="12.7109375" customWidth="1"/>
    <col min="6397" max="6397" width="14.7109375" customWidth="1"/>
    <col min="6398" max="6398" width="18.28515625" customWidth="1"/>
    <col min="6399" max="6399" width="14.28515625" customWidth="1"/>
    <col min="6400" max="6400" width="17.7109375" customWidth="1"/>
    <col min="6401" max="6401" width="13.85546875" customWidth="1"/>
    <col min="6402" max="6402" width="17.140625" customWidth="1"/>
    <col min="6403" max="6403" width="15.85546875" customWidth="1"/>
    <col min="6404" max="6404" width="17.5703125" customWidth="1"/>
    <col min="6643" max="6643" width="24.7109375" customWidth="1"/>
    <col min="6644" max="6644" width="19.7109375" customWidth="1"/>
    <col min="6645" max="6645" width="11.42578125" customWidth="1"/>
    <col min="6646" max="6646" width="15.42578125" customWidth="1"/>
    <col min="6647" max="6647" width="13.85546875" customWidth="1"/>
    <col min="6648" max="6648" width="11.42578125" customWidth="1"/>
    <col min="6649" max="6649" width="12.140625" customWidth="1"/>
    <col min="6650" max="6650" width="16" customWidth="1"/>
    <col min="6651" max="6651" width="14.5703125" customWidth="1"/>
    <col min="6652" max="6652" width="12.7109375" customWidth="1"/>
    <col min="6653" max="6653" width="14.7109375" customWidth="1"/>
    <col min="6654" max="6654" width="18.28515625" customWidth="1"/>
    <col min="6655" max="6655" width="14.28515625" customWidth="1"/>
    <col min="6656" max="6656" width="17.7109375" customWidth="1"/>
    <col min="6657" max="6657" width="13.85546875" customWidth="1"/>
    <col min="6658" max="6658" width="17.140625" customWidth="1"/>
    <col min="6659" max="6659" width="15.85546875" customWidth="1"/>
    <col min="6660" max="6660" width="17.5703125" customWidth="1"/>
    <col min="6899" max="6899" width="24.7109375" customWidth="1"/>
    <col min="6900" max="6900" width="19.7109375" customWidth="1"/>
    <col min="6901" max="6901" width="11.42578125" customWidth="1"/>
    <col min="6902" max="6902" width="15.42578125" customWidth="1"/>
    <col min="6903" max="6903" width="13.85546875" customWidth="1"/>
    <col min="6904" max="6904" width="11.42578125" customWidth="1"/>
    <col min="6905" max="6905" width="12.140625" customWidth="1"/>
    <col min="6906" max="6906" width="16" customWidth="1"/>
    <col min="6907" max="6907" width="14.5703125" customWidth="1"/>
    <col min="6908" max="6908" width="12.7109375" customWidth="1"/>
    <col min="6909" max="6909" width="14.7109375" customWidth="1"/>
    <col min="6910" max="6910" width="18.28515625" customWidth="1"/>
    <col min="6911" max="6911" width="14.28515625" customWidth="1"/>
    <col min="6912" max="6912" width="17.7109375" customWidth="1"/>
    <col min="6913" max="6913" width="13.85546875" customWidth="1"/>
    <col min="6914" max="6914" width="17.140625" customWidth="1"/>
    <col min="6915" max="6915" width="15.85546875" customWidth="1"/>
    <col min="6916" max="6916" width="17.5703125" customWidth="1"/>
    <col min="7155" max="7155" width="24.7109375" customWidth="1"/>
    <col min="7156" max="7156" width="19.7109375" customWidth="1"/>
    <col min="7157" max="7157" width="11.42578125" customWidth="1"/>
    <col min="7158" max="7158" width="15.42578125" customWidth="1"/>
    <col min="7159" max="7159" width="13.85546875" customWidth="1"/>
    <col min="7160" max="7160" width="11.42578125" customWidth="1"/>
    <col min="7161" max="7161" width="12.140625" customWidth="1"/>
    <col min="7162" max="7162" width="16" customWidth="1"/>
    <col min="7163" max="7163" width="14.5703125" customWidth="1"/>
    <col min="7164" max="7164" width="12.7109375" customWidth="1"/>
    <col min="7165" max="7165" width="14.7109375" customWidth="1"/>
    <col min="7166" max="7166" width="18.28515625" customWidth="1"/>
    <col min="7167" max="7167" width="14.28515625" customWidth="1"/>
    <col min="7168" max="7168" width="17.7109375" customWidth="1"/>
    <col min="7169" max="7169" width="13.85546875" customWidth="1"/>
    <col min="7170" max="7170" width="17.140625" customWidth="1"/>
    <col min="7171" max="7171" width="15.85546875" customWidth="1"/>
    <col min="7172" max="7172" width="17.5703125" customWidth="1"/>
    <col min="7411" max="7411" width="24.7109375" customWidth="1"/>
    <col min="7412" max="7412" width="19.7109375" customWidth="1"/>
    <col min="7413" max="7413" width="11.42578125" customWidth="1"/>
    <col min="7414" max="7414" width="15.42578125" customWidth="1"/>
    <col min="7415" max="7415" width="13.85546875" customWidth="1"/>
    <col min="7416" max="7416" width="11.42578125" customWidth="1"/>
    <col min="7417" max="7417" width="12.140625" customWidth="1"/>
    <col min="7418" max="7418" width="16" customWidth="1"/>
    <col min="7419" max="7419" width="14.5703125" customWidth="1"/>
    <col min="7420" max="7420" width="12.7109375" customWidth="1"/>
    <col min="7421" max="7421" width="14.7109375" customWidth="1"/>
    <col min="7422" max="7422" width="18.28515625" customWidth="1"/>
    <col min="7423" max="7423" width="14.28515625" customWidth="1"/>
    <col min="7424" max="7424" width="17.7109375" customWidth="1"/>
    <col min="7425" max="7425" width="13.85546875" customWidth="1"/>
    <col min="7426" max="7426" width="17.140625" customWidth="1"/>
    <col min="7427" max="7427" width="15.85546875" customWidth="1"/>
    <col min="7428" max="7428" width="17.5703125" customWidth="1"/>
    <col min="7667" max="7667" width="24.7109375" customWidth="1"/>
    <col min="7668" max="7668" width="19.7109375" customWidth="1"/>
    <col min="7669" max="7669" width="11.42578125" customWidth="1"/>
    <col min="7670" max="7670" width="15.42578125" customWidth="1"/>
    <col min="7671" max="7671" width="13.85546875" customWidth="1"/>
    <col min="7672" max="7672" width="11.42578125" customWidth="1"/>
    <col min="7673" max="7673" width="12.140625" customWidth="1"/>
    <col min="7674" max="7674" width="16" customWidth="1"/>
    <col min="7675" max="7675" width="14.5703125" customWidth="1"/>
    <col min="7676" max="7676" width="12.7109375" customWidth="1"/>
    <col min="7677" max="7677" width="14.7109375" customWidth="1"/>
    <col min="7678" max="7678" width="18.28515625" customWidth="1"/>
    <col min="7679" max="7679" width="14.28515625" customWidth="1"/>
    <col min="7680" max="7680" width="17.7109375" customWidth="1"/>
    <col min="7681" max="7681" width="13.85546875" customWidth="1"/>
    <col min="7682" max="7682" width="17.140625" customWidth="1"/>
    <col min="7683" max="7683" width="15.85546875" customWidth="1"/>
    <col min="7684" max="7684" width="17.5703125" customWidth="1"/>
    <col min="7923" max="7923" width="24.7109375" customWidth="1"/>
    <col min="7924" max="7924" width="19.7109375" customWidth="1"/>
    <col min="7925" max="7925" width="11.42578125" customWidth="1"/>
    <col min="7926" max="7926" width="15.42578125" customWidth="1"/>
    <col min="7927" max="7927" width="13.85546875" customWidth="1"/>
    <col min="7928" max="7928" width="11.42578125" customWidth="1"/>
    <col min="7929" max="7929" width="12.140625" customWidth="1"/>
    <col min="7930" max="7930" width="16" customWidth="1"/>
    <col min="7931" max="7931" width="14.5703125" customWidth="1"/>
    <col min="7932" max="7932" width="12.7109375" customWidth="1"/>
    <col min="7933" max="7933" width="14.7109375" customWidth="1"/>
    <col min="7934" max="7934" width="18.28515625" customWidth="1"/>
    <col min="7935" max="7935" width="14.28515625" customWidth="1"/>
    <col min="7936" max="7936" width="17.7109375" customWidth="1"/>
    <col min="7937" max="7937" width="13.85546875" customWidth="1"/>
    <col min="7938" max="7938" width="17.140625" customWidth="1"/>
    <col min="7939" max="7939" width="15.85546875" customWidth="1"/>
    <col min="7940" max="7940" width="17.5703125" customWidth="1"/>
    <col min="8179" max="8179" width="24.7109375" customWidth="1"/>
    <col min="8180" max="8180" width="19.7109375" customWidth="1"/>
    <col min="8181" max="8181" width="11.42578125" customWidth="1"/>
    <col min="8182" max="8182" width="15.42578125" customWidth="1"/>
    <col min="8183" max="8183" width="13.85546875" customWidth="1"/>
    <col min="8184" max="8184" width="11.42578125" customWidth="1"/>
    <col min="8185" max="8185" width="12.140625" customWidth="1"/>
    <col min="8186" max="8186" width="16" customWidth="1"/>
    <col min="8187" max="8187" width="14.5703125" customWidth="1"/>
    <col min="8188" max="8188" width="12.7109375" customWidth="1"/>
    <col min="8189" max="8189" width="14.7109375" customWidth="1"/>
    <col min="8190" max="8190" width="18.28515625" customWidth="1"/>
    <col min="8191" max="8191" width="14.28515625" customWidth="1"/>
    <col min="8192" max="8192" width="17.7109375" customWidth="1"/>
    <col min="8193" max="8193" width="13.85546875" customWidth="1"/>
    <col min="8194" max="8194" width="17.140625" customWidth="1"/>
    <col min="8195" max="8195" width="15.85546875" customWidth="1"/>
    <col min="8196" max="8196" width="17.5703125" customWidth="1"/>
    <col min="8435" max="8435" width="24.7109375" customWidth="1"/>
    <col min="8436" max="8436" width="19.7109375" customWidth="1"/>
    <col min="8437" max="8437" width="11.42578125" customWidth="1"/>
    <col min="8438" max="8438" width="15.42578125" customWidth="1"/>
    <col min="8439" max="8439" width="13.85546875" customWidth="1"/>
    <col min="8440" max="8440" width="11.42578125" customWidth="1"/>
    <col min="8441" max="8441" width="12.140625" customWidth="1"/>
    <col min="8442" max="8442" width="16" customWidth="1"/>
    <col min="8443" max="8443" width="14.5703125" customWidth="1"/>
    <col min="8444" max="8444" width="12.7109375" customWidth="1"/>
    <col min="8445" max="8445" width="14.7109375" customWidth="1"/>
    <col min="8446" max="8446" width="18.28515625" customWidth="1"/>
    <col min="8447" max="8447" width="14.28515625" customWidth="1"/>
    <col min="8448" max="8448" width="17.7109375" customWidth="1"/>
    <col min="8449" max="8449" width="13.85546875" customWidth="1"/>
    <col min="8450" max="8450" width="17.140625" customWidth="1"/>
    <col min="8451" max="8451" width="15.85546875" customWidth="1"/>
    <col min="8452" max="8452" width="17.5703125" customWidth="1"/>
    <col min="8691" max="8691" width="24.7109375" customWidth="1"/>
    <col min="8692" max="8692" width="19.7109375" customWidth="1"/>
    <col min="8693" max="8693" width="11.42578125" customWidth="1"/>
    <col min="8694" max="8694" width="15.42578125" customWidth="1"/>
    <col min="8695" max="8695" width="13.85546875" customWidth="1"/>
    <col min="8696" max="8696" width="11.42578125" customWidth="1"/>
    <col min="8697" max="8697" width="12.140625" customWidth="1"/>
    <col min="8698" max="8698" width="16" customWidth="1"/>
    <col min="8699" max="8699" width="14.5703125" customWidth="1"/>
    <col min="8700" max="8700" width="12.7109375" customWidth="1"/>
    <col min="8701" max="8701" width="14.7109375" customWidth="1"/>
    <col min="8702" max="8702" width="18.28515625" customWidth="1"/>
    <col min="8703" max="8703" width="14.28515625" customWidth="1"/>
    <col min="8704" max="8704" width="17.7109375" customWidth="1"/>
    <col min="8705" max="8705" width="13.85546875" customWidth="1"/>
    <col min="8706" max="8706" width="17.140625" customWidth="1"/>
    <col min="8707" max="8707" width="15.85546875" customWidth="1"/>
    <col min="8708" max="8708" width="17.5703125" customWidth="1"/>
    <col min="8947" max="8947" width="24.7109375" customWidth="1"/>
    <col min="8948" max="8948" width="19.7109375" customWidth="1"/>
    <col min="8949" max="8949" width="11.42578125" customWidth="1"/>
    <col min="8950" max="8950" width="15.42578125" customWidth="1"/>
    <col min="8951" max="8951" width="13.85546875" customWidth="1"/>
    <col min="8952" max="8952" width="11.42578125" customWidth="1"/>
    <col min="8953" max="8953" width="12.140625" customWidth="1"/>
    <col min="8954" max="8954" width="16" customWidth="1"/>
    <col min="8955" max="8955" width="14.5703125" customWidth="1"/>
    <col min="8956" max="8956" width="12.7109375" customWidth="1"/>
    <col min="8957" max="8957" width="14.7109375" customWidth="1"/>
    <col min="8958" max="8958" width="18.28515625" customWidth="1"/>
    <col min="8959" max="8959" width="14.28515625" customWidth="1"/>
    <col min="8960" max="8960" width="17.7109375" customWidth="1"/>
    <col min="8961" max="8961" width="13.85546875" customWidth="1"/>
    <col min="8962" max="8962" width="17.140625" customWidth="1"/>
    <col min="8963" max="8963" width="15.85546875" customWidth="1"/>
    <col min="8964" max="8964" width="17.5703125" customWidth="1"/>
    <col min="9203" max="9203" width="24.7109375" customWidth="1"/>
    <col min="9204" max="9204" width="19.7109375" customWidth="1"/>
    <col min="9205" max="9205" width="11.42578125" customWidth="1"/>
    <col min="9206" max="9206" width="15.42578125" customWidth="1"/>
    <col min="9207" max="9207" width="13.85546875" customWidth="1"/>
    <col min="9208" max="9208" width="11.42578125" customWidth="1"/>
    <col min="9209" max="9209" width="12.140625" customWidth="1"/>
    <col min="9210" max="9210" width="16" customWidth="1"/>
    <col min="9211" max="9211" width="14.5703125" customWidth="1"/>
    <col min="9212" max="9212" width="12.7109375" customWidth="1"/>
    <col min="9213" max="9213" width="14.7109375" customWidth="1"/>
    <col min="9214" max="9214" width="18.28515625" customWidth="1"/>
    <col min="9215" max="9215" width="14.28515625" customWidth="1"/>
    <col min="9216" max="9216" width="17.7109375" customWidth="1"/>
    <col min="9217" max="9217" width="13.85546875" customWidth="1"/>
    <col min="9218" max="9218" width="17.140625" customWidth="1"/>
    <col min="9219" max="9219" width="15.85546875" customWidth="1"/>
    <col min="9220" max="9220" width="17.5703125" customWidth="1"/>
    <col min="9459" max="9459" width="24.7109375" customWidth="1"/>
    <col min="9460" max="9460" width="19.7109375" customWidth="1"/>
    <col min="9461" max="9461" width="11.42578125" customWidth="1"/>
    <col min="9462" max="9462" width="15.42578125" customWidth="1"/>
    <col min="9463" max="9463" width="13.85546875" customWidth="1"/>
    <col min="9464" max="9464" width="11.42578125" customWidth="1"/>
    <col min="9465" max="9465" width="12.140625" customWidth="1"/>
    <col min="9466" max="9466" width="16" customWidth="1"/>
    <col min="9467" max="9467" width="14.5703125" customWidth="1"/>
    <col min="9468" max="9468" width="12.7109375" customWidth="1"/>
    <col min="9469" max="9469" width="14.7109375" customWidth="1"/>
    <col min="9470" max="9470" width="18.28515625" customWidth="1"/>
    <col min="9471" max="9471" width="14.28515625" customWidth="1"/>
    <col min="9472" max="9472" width="17.7109375" customWidth="1"/>
    <col min="9473" max="9473" width="13.85546875" customWidth="1"/>
    <col min="9474" max="9474" width="17.140625" customWidth="1"/>
    <col min="9475" max="9475" width="15.85546875" customWidth="1"/>
    <col min="9476" max="9476" width="17.5703125" customWidth="1"/>
    <col min="9715" max="9715" width="24.7109375" customWidth="1"/>
    <col min="9716" max="9716" width="19.7109375" customWidth="1"/>
    <col min="9717" max="9717" width="11.42578125" customWidth="1"/>
    <col min="9718" max="9718" width="15.42578125" customWidth="1"/>
    <col min="9719" max="9719" width="13.85546875" customWidth="1"/>
    <col min="9720" max="9720" width="11.42578125" customWidth="1"/>
    <col min="9721" max="9721" width="12.140625" customWidth="1"/>
    <col min="9722" max="9722" width="16" customWidth="1"/>
    <col min="9723" max="9723" width="14.5703125" customWidth="1"/>
    <col min="9724" max="9724" width="12.7109375" customWidth="1"/>
    <col min="9725" max="9725" width="14.7109375" customWidth="1"/>
    <col min="9726" max="9726" width="18.28515625" customWidth="1"/>
    <col min="9727" max="9727" width="14.28515625" customWidth="1"/>
    <col min="9728" max="9728" width="17.7109375" customWidth="1"/>
    <col min="9729" max="9729" width="13.85546875" customWidth="1"/>
    <col min="9730" max="9730" width="17.140625" customWidth="1"/>
    <col min="9731" max="9731" width="15.85546875" customWidth="1"/>
    <col min="9732" max="9732" width="17.5703125" customWidth="1"/>
    <col min="9971" max="9971" width="24.7109375" customWidth="1"/>
    <col min="9972" max="9972" width="19.7109375" customWidth="1"/>
    <col min="9973" max="9973" width="11.42578125" customWidth="1"/>
    <col min="9974" max="9974" width="15.42578125" customWidth="1"/>
    <col min="9975" max="9975" width="13.85546875" customWidth="1"/>
    <col min="9976" max="9976" width="11.42578125" customWidth="1"/>
    <col min="9977" max="9977" width="12.140625" customWidth="1"/>
    <col min="9978" max="9978" width="16" customWidth="1"/>
    <col min="9979" max="9979" width="14.5703125" customWidth="1"/>
    <col min="9980" max="9980" width="12.7109375" customWidth="1"/>
    <col min="9981" max="9981" width="14.7109375" customWidth="1"/>
    <col min="9982" max="9982" width="18.28515625" customWidth="1"/>
    <col min="9983" max="9983" width="14.28515625" customWidth="1"/>
    <col min="9984" max="9984" width="17.7109375" customWidth="1"/>
    <col min="9985" max="9985" width="13.85546875" customWidth="1"/>
    <col min="9986" max="9986" width="17.140625" customWidth="1"/>
    <col min="9987" max="9987" width="15.85546875" customWidth="1"/>
    <col min="9988" max="9988" width="17.5703125" customWidth="1"/>
    <col min="10227" max="10227" width="24.7109375" customWidth="1"/>
    <col min="10228" max="10228" width="19.7109375" customWidth="1"/>
    <col min="10229" max="10229" width="11.42578125" customWidth="1"/>
    <col min="10230" max="10230" width="15.42578125" customWidth="1"/>
    <col min="10231" max="10231" width="13.85546875" customWidth="1"/>
    <col min="10232" max="10232" width="11.42578125" customWidth="1"/>
    <col min="10233" max="10233" width="12.140625" customWidth="1"/>
    <col min="10234" max="10234" width="16" customWidth="1"/>
    <col min="10235" max="10235" width="14.5703125" customWidth="1"/>
    <col min="10236" max="10236" width="12.7109375" customWidth="1"/>
    <col min="10237" max="10237" width="14.7109375" customWidth="1"/>
    <col min="10238" max="10238" width="18.28515625" customWidth="1"/>
    <col min="10239" max="10239" width="14.28515625" customWidth="1"/>
    <col min="10240" max="10240" width="17.7109375" customWidth="1"/>
    <col min="10241" max="10241" width="13.85546875" customWidth="1"/>
    <col min="10242" max="10242" width="17.140625" customWidth="1"/>
    <col min="10243" max="10243" width="15.85546875" customWidth="1"/>
    <col min="10244" max="10244" width="17.5703125" customWidth="1"/>
    <col min="10483" max="10483" width="24.7109375" customWidth="1"/>
    <col min="10484" max="10484" width="19.7109375" customWidth="1"/>
    <col min="10485" max="10485" width="11.42578125" customWidth="1"/>
    <col min="10486" max="10486" width="15.42578125" customWidth="1"/>
    <col min="10487" max="10487" width="13.85546875" customWidth="1"/>
    <col min="10488" max="10488" width="11.42578125" customWidth="1"/>
    <col min="10489" max="10489" width="12.140625" customWidth="1"/>
    <col min="10490" max="10490" width="16" customWidth="1"/>
    <col min="10491" max="10491" width="14.5703125" customWidth="1"/>
    <col min="10492" max="10492" width="12.7109375" customWidth="1"/>
    <col min="10493" max="10493" width="14.7109375" customWidth="1"/>
    <col min="10494" max="10494" width="18.28515625" customWidth="1"/>
    <col min="10495" max="10495" width="14.28515625" customWidth="1"/>
    <col min="10496" max="10496" width="17.7109375" customWidth="1"/>
    <col min="10497" max="10497" width="13.85546875" customWidth="1"/>
    <col min="10498" max="10498" width="17.140625" customWidth="1"/>
    <col min="10499" max="10499" width="15.85546875" customWidth="1"/>
    <col min="10500" max="10500" width="17.5703125" customWidth="1"/>
    <col min="10739" max="10739" width="24.7109375" customWidth="1"/>
    <col min="10740" max="10740" width="19.7109375" customWidth="1"/>
    <col min="10741" max="10741" width="11.42578125" customWidth="1"/>
    <col min="10742" max="10742" width="15.42578125" customWidth="1"/>
    <col min="10743" max="10743" width="13.85546875" customWidth="1"/>
    <col min="10744" max="10744" width="11.42578125" customWidth="1"/>
    <col min="10745" max="10745" width="12.140625" customWidth="1"/>
    <col min="10746" max="10746" width="16" customWidth="1"/>
    <col min="10747" max="10747" width="14.5703125" customWidth="1"/>
    <col min="10748" max="10748" width="12.7109375" customWidth="1"/>
    <col min="10749" max="10749" width="14.7109375" customWidth="1"/>
    <col min="10750" max="10750" width="18.28515625" customWidth="1"/>
    <col min="10751" max="10751" width="14.28515625" customWidth="1"/>
    <col min="10752" max="10752" width="17.7109375" customWidth="1"/>
    <col min="10753" max="10753" width="13.85546875" customWidth="1"/>
    <col min="10754" max="10754" width="17.140625" customWidth="1"/>
    <col min="10755" max="10755" width="15.85546875" customWidth="1"/>
    <col min="10756" max="10756" width="17.5703125" customWidth="1"/>
    <col min="10995" max="10995" width="24.7109375" customWidth="1"/>
    <col min="10996" max="10996" width="19.7109375" customWidth="1"/>
    <col min="10997" max="10997" width="11.42578125" customWidth="1"/>
    <col min="10998" max="10998" width="15.42578125" customWidth="1"/>
    <col min="10999" max="10999" width="13.85546875" customWidth="1"/>
    <col min="11000" max="11000" width="11.42578125" customWidth="1"/>
    <col min="11001" max="11001" width="12.140625" customWidth="1"/>
    <col min="11002" max="11002" width="16" customWidth="1"/>
    <col min="11003" max="11003" width="14.5703125" customWidth="1"/>
    <col min="11004" max="11004" width="12.7109375" customWidth="1"/>
    <col min="11005" max="11005" width="14.7109375" customWidth="1"/>
    <col min="11006" max="11006" width="18.28515625" customWidth="1"/>
    <col min="11007" max="11007" width="14.28515625" customWidth="1"/>
    <col min="11008" max="11008" width="17.7109375" customWidth="1"/>
    <col min="11009" max="11009" width="13.85546875" customWidth="1"/>
    <col min="11010" max="11010" width="17.140625" customWidth="1"/>
    <col min="11011" max="11011" width="15.85546875" customWidth="1"/>
    <col min="11012" max="11012" width="17.5703125" customWidth="1"/>
    <col min="11251" max="11251" width="24.7109375" customWidth="1"/>
    <col min="11252" max="11252" width="19.7109375" customWidth="1"/>
    <col min="11253" max="11253" width="11.42578125" customWidth="1"/>
    <col min="11254" max="11254" width="15.42578125" customWidth="1"/>
    <col min="11255" max="11255" width="13.85546875" customWidth="1"/>
    <col min="11256" max="11256" width="11.42578125" customWidth="1"/>
    <col min="11257" max="11257" width="12.140625" customWidth="1"/>
    <col min="11258" max="11258" width="16" customWidth="1"/>
    <col min="11259" max="11259" width="14.5703125" customWidth="1"/>
    <col min="11260" max="11260" width="12.7109375" customWidth="1"/>
    <col min="11261" max="11261" width="14.7109375" customWidth="1"/>
    <col min="11262" max="11262" width="18.28515625" customWidth="1"/>
    <col min="11263" max="11263" width="14.28515625" customWidth="1"/>
    <col min="11264" max="11264" width="17.7109375" customWidth="1"/>
    <col min="11265" max="11265" width="13.85546875" customWidth="1"/>
    <col min="11266" max="11266" width="17.140625" customWidth="1"/>
    <col min="11267" max="11267" width="15.85546875" customWidth="1"/>
    <col min="11268" max="11268" width="17.5703125" customWidth="1"/>
    <col min="11507" max="11507" width="24.7109375" customWidth="1"/>
    <col min="11508" max="11508" width="19.7109375" customWidth="1"/>
    <col min="11509" max="11509" width="11.42578125" customWidth="1"/>
    <col min="11510" max="11510" width="15.42578125" customWidth="1"/>
    <col min="11511" max="11511" width="13.85546875" customWidth="1"/>
    <col min="11512" max="11512" width="11.42578125" customWidth="1"/>
    <col min="11513" max="11513" width="12.140625" customWidth="1"/>
    <col min="11514" max="11514" width="16" customWidth="1"/>
    <col min="11515" max="11515" width="14.5703125" customWidth="1"/>
    <col min="11516" max="11516" width="12.7109375" customWidth="1"/>
    <col min="11517" max="11517" width="14.7109375" customWidth="1"/>
    <col min="11518" max="11518" width="18.28515625" customWidth="1"/>
    <col min="11519" max="11519" width="14.28515625" customWidth="1"/>
    <col min="11520" max="11520" width="17.7109375" customWidth="1"/>
    <col min="11521" max="11521" width="13.85546875" customWidth="1"/>
    <col min="11522" max="11522" width="17.140625" customWidth="1"/>
    <col min="11523" max="11523" width="15.85546875" customWidth="1"/>
    <col min="11524" max="11524" width="17.5703125" customWidth="1"/>
    <col min="11763" max="11763" width="24.7109375" customWidth="1"/>
    <col min="11764" max="11764" width="19.7109375" customWidth="1"/>
    <col min="11765" max="11765" width="11.42578125" customWidth="1"/>
    <col min="11766" max="11766" width="15.42578125" customWidth="1"/>
    <col min="11767" max="11767" width="13.85546875" customWidth="1"/>
    <col min="11768" max="11768" width="11.42578125" customWidth="1"/>
    <col min="11769" max="11769" width="12.140625" customWidth="1"/>
    <col min="11770" max="11770" width="16" customWidth="1"/>
    <col min="11771" max="11771" width="14.5703125" customWidth="1"/>
    <col min="11772" max="11772" width="12.7109375" customWidth="1"/>
    <col min="11773" max="11773" width="14.7109375" customWidth="1"/>
    <col min="11774" max="11774" width="18.28515625" customWidth="1"/>
    <col min="11775" max="11775" width="14.28515625" customWidth="1"/>
    <col min="11776" max="11776" width="17.7109375" customWidth="1"/>
    <col min="11777" max="11777" width="13.85546875" customWidth="1"/>
    <col min="11778" max="11778" width="17.140625" customWidth="1"/>
    <col min="11779" max="11779" width="15.85546875" customWidth="1"/>
    <col min="11780" max="11780" width="17.5703125" customWidth="1"/>
    <col min="12019" max="12019" width="24.7109375" customWidth="1"/>
    <col min="12020" max="12020" width="19.7109375" customWidth="1"/>
    <col min="12021" max="12021" width="11.42578125" customWidth="1"/>
    <col min="12022" max="12022" width="15.42578125" customWidth="1"/>
    <col min="12023" max="12023" width="13.85546875" customWidth="1"/>
    <col min="12024" max="12024" width="11.42578125" customWidth="1"/>
    <col min="12025" max="12025" width="12.140625" customWidth="1"/>
    <col min="12026" max="12026" width="16" customWidth="1"/>
    <col min="12027" max="12027" width="14.5703125" customWidth="1"/>
    <col min="12028" max="12028" width="12.7109375" customWidth="1"/>
    <col min="12029" max="12029" width="14.7109375" customWidth="1"/>
    <col min="12030" max="12030" width="18.28515625" customWidth="1"/>
    <col min="12031" max="12031" width="14.28515625" customWidth="1"/>
    <col min="12032" max="12032" width="17.7109375" customWidth="1"/>
    <col min="12033" max="12033" width="13.85546875" customWidth="1"/>
    <col min="12034" max="12034" width="17.140625" customWidth="1"/>
    <col min="12035" max="12035" width="15.85546875" customWidth="1"/>
    <col min="12036" max="12036" width="17.5703125" customWidth="1"/>
    <col min="12275" max="12275" width="24.7109375" customWidth="1"/>
    <col min="12276" max="12276" width="19.7109375" customWidth="1"/>
    <col min="12277" max="12277" width="11.42578125" customWidth="1"/>
    <col min="12278" max="12278" width="15.42578125" customWidth="1"/>
    <col min="12279" max="12279" width="13.85546875" customWidth="1"/>
    <col min="12280" max="12280" width="11.42578125" customWidth="1"/>
    <col min="12281" max="12281" width="12.140625" customWidth="1"/>
    <col min="12282" max="12282" width="16" customWidth="1"/>
    <col min="12283" max="12283" width="14.5703125" customWidth="1"/>
    <col min="12284" max="12284" width="12.7109375" customWidth="1"/>
    <col min="12285" max="12285" width="14.7109375" customWidth="1"/>
    <col min="12286" max="12286" width="18.28515625" customWidth="1"/>
    <col min="12287" max="12287" width="14.28515625" customWidth="1"/>
    <col min="12288" max="12288" width="17.7109375" customWidth="1"/>
    <col min="12289" max="12289" width="13.85546875" customWidth="1"/>
    <col min="12290" max="12290" width="17.140625" customWidth="1"/>
    <col min="12291" max="12291" width="15.85546875" customWidth="1"/>
    <col min="12292" max="12292" width="17.5703125" customWidth="1"/>
    <col min="12531" max="12531" width="24.7109375" customWidth="1"/>
    <col min="12532" max="12532" width="19.7109375" customWidth="1"/>
    <col min="12533" max="12533" width="11.42578125" customWidth="1"/>
    <col min="12534" max="12534" width="15.42578125" customWidth="1"/>
    <col min="12535" max="12535" width="13.85546875" customWidth="1"/>
    <col min="12536" max="12536" width="11.42578125" customWidth="1"/>
    <col min="12537" max="12537" width="12.140625" customWidth="1"/>
    <col min="12538" max="12538" width="16" customWidth="1"/>
    <col min="12539" max="12539" width="14.5703125" customWidth="1"/>
    <col min="12540" max="12540" width="12.7109375" customWidth="1"/>
    <col min="12541" max="12541" width="14.7109375" customWidth="1"/>
    <col min="12542" max="12542" width="18.28515625" customWidth="1"/>
    <col min="12543" max="12543" width="14.28515625" customWidth="1"/>
    <col min="12544" max="12544" width="17.7109375" customWidth="1"/>
    <col min="12545" max="12545" width="13.85546875" customWidth="1"/>
    <col min="12546" max="12546" width="17.140625" customWidth="1"/>
    <col min="12547" max="12547" width="15.85546875" customWidth="1"/>
    <col min="12548" max="12548" width="17.5703125" customWidth="1"/>
    <col min="12787" max="12787" width="24.7109375" customWidth="1"/>
    <col min="12788" max="12788" width="19.7109375" customWidth="1"/>
    <col min="12789" max="12789" width="11.42578125" customWidth="1"/>
    <col min="12790" max="12790" width="15.42578125" customWidth="1"/>
    <col min="12791" max="12791" width="13.85546875" customWidth="1"/>
    <col min="12792" max="12792" width="11.42578125" customWidth="1"/>
    <col min="12793" max="12793" width="12.140625" customWidth="1"/>
    <col min="12794" max="12794" width="16" customWidth="1"/>
    <col min="12795" max="12795" width="14.5703125" customWidth="1"/>
    <col min="12796" max="12796" width="12.7109375" customWidth="1"/>
    <col min="12797" max="12797" width="14.7109375" customWidth="1"/>
    <col min="12798" max="12798" width="18.28515625" customWidth="1"/>
    <col min="12799" max="12799" width="14.28515625" customWidth="1"/>
    <col min="12800" max="12800" width="17.7109375" customWidth="1"/>
    <col min="12801" max="12801" width="13.85546875" customWidth="1"/>
    <col min="12802" max="12802" width="17.140625" customWidth="1"/>
    <col min="12803" max="12803" width="15.85546875" customWidth="1"/>
    <col min="12804" max="12804" width="17.5703125" customWidth="1"/>
    <col min="13043" max="13043" width="24.7109375" customWidth="1"/>
    <col min="13044" max="13044" width="19.7109375" customWidth="1"/>
    <col min="13045" max="13045" width="11.42578125" customWidth="1"/>
    <col min="13046" max="13046" width="15.42578125" customWidth="1"/>
    <col min="13047" max="13047" width="13.85546875" customWidth="1"/>
    <col min="13048" max="13048" width="11.42578125" customWidth="1"/>
    <col min="13049" max="13049" width="12.140625" customWidth="1"/>
    <col min="13050" max="13050" width="16" customWidth="1"/>
    <col min="13051" max="13051" width="14.5703125" customWidth="1"/>
    <col min="13052" max="13052" width="12.7109375" customWidth="1"/>
    <col min="13053" max="13053" width="14.7109375" customWidth="1"/>
    <col min="13054" max="13054" width="18.28515625" customWidth="1"/>
    <col min="13055" max="13055" width="14.28515625" customWidth="1"/>
    <col min="13056" max="13056" width="17.7109375" customWidth="1"/>
    <col min="13057" max="13057" width="13.85546875" customWidth="1"/>
    <col min="13058" max="13058" width="17.140625" customWidth="1"/>
    <col min="13059" max="13059" width="15.85546875" customWidth="1"/>
    <col min="13060" max="13060" width="17.5703125" customWidth="1"/>
    <col min="13299" max="13299" width="24.7109375" customWidth="1"/>
    <col min="13300" max="13300" width="19.7109375" customWidth="1"/>
    <col min="13301" max="13301" width="11.42578125" customWidth="1"/>
    <col min="13302" max="13302" width="15.42578125" customWidth="1"/>
    <col min="13303" max="13303" width="13.85546875" customWidth="1"/>
    <col min="13304" max="13304" width="11.42578125" customWidth="1"/>
    <col min="13305" max="13305" width="12.140625" customWidth="1"/>
    <col min="13306" max="13306" width="16" customWidth="1"/>
    <col min="13307" max="13307" width="14.5703125" customWidth="1"/>
    <col min="13308" max="13308" width="12.7109375" customWidth="1"/>
    <col min="13309" max="13309" width="14.7109375" customWidth="1"/>
    <col min="13310" max="13310" width="18.28515625" customWidth="1"/>
    <col min="13311" max="13311" width="14.28515625" customWidth="1"/>
    <col min="13312" max="13312" width="17.7109375" customWidth="1"/>
    <col min="13313" max="13313" width="13.85546875" customWidth="1"/>
    <col min="13314" max="13314" width="17.140625" customWidth="1"/>
    <col min="13315" max="13315" width="15.85546875" customWidth="1"/>
    <col min="13316" max="13316" width="17.5703125" customWidth="1"/>
    <col min="13555" max="13555" width="24.7109375" customWidth="1"/>
    <col min="13556" max="13556" width="19.7109375" customWidth="1"/>
    <col min="13557" max="13557" width="11.42578125" customWidth="1"/>
    <col min="13558" max="13558" width="15.42578125" customWidth="1"/>
    <col min="13559" max="13559" width="13.85546875" customWidth="1"/>
    <col min="13560" max="13560" width="11.42578125" customWidth="1"/>
    <col min="13561" max="13561" width="12.140625" customWidth="1"/>
    <col min="13562" max="13562" width="16" customWidth="1"/>
    <col min="13563" max="13563" width="14.5703125" customWidth="1"/>
    <col min="13564" max="13564" width="12.7109375" customWidth="1"/>
    <col min="13565" max="13565" width="14.7109375" customWidth="1"/>
    <col min="13566" max="13566" width="18.28515625" customWidth="1"/>
    <col min="13567" max="13567" width="14.28515625" customWidth="1"/>
    <col min="13568" max="13568" width="17.7109375" customWidth="1"/>
    <col min="13569" max="13569" width="13.85546875" customWidth="1"/>
    <col min="13570" max="13570" width="17.140625" customWidth="1"/>
    <col min="13571" max="13571" width="15.85546875" customWidth="1"/>
    <col min="13572" max="13572" width="17.5703125" customWidth="1"/>
    <col min="13811" max="13811" width="24.7109375" customWidth="1"/>
    <col min="13812" max="13812" width="19.7109375" customWidth="1"/>
    <col min="13813" max="13813" width="11.42578125" customWidth="1"/>
    <col min="13814" max="13814" width="15.42578125" customWidth="1"/>
    <col min="13815" max="13815" width="13.85546875" customWidth="1"/>
    <col min="13816" max="13816" width="11.42578125" customWidth="1"/>
    <col min="13817" max="13817" width="12.140625" customWidth="1"/>
    <col min="13818" max="13818" width="16" customWidth="1"/>
    <col min="13819" max="13819" width="14.5703125" customWidth="1"/>
    <col min="13820" max="13820" width="12.7109375" customWidth="1"/>
    <col min="13821" max="13821" width="14.7109375" customWidth="1"/>
    <col min="13822" max="13822" width="18.28515625" customWidth="1"/>
    <col min="13823" max="13823" width="14.28515625" customWidth="1"/>
    <col min="13824" max="13824" width="17.7109375" customWidth="1"/>
    <col min="13825" max="13825" width="13.85546875" customWidth="1"/>
    <col min="13826" max="13826" width="17.140625" customWidth="1"/>
    <col min="13827" max="13827" width="15.85546875" customWidth="1"/>
    <col min="13828" max="13828" width="17.5703125" customWidth="1"/>
    <col min="14067" max="14067" width="24.7109375" customWidth="1"/>
    <col min="14068" max="14068" width="19.7109375" customWidth="1"/>
    <col min="14069" max="14069" width="11.42578125" customWidth="1"/>
    <col min="14070" max="14070" width="15.42578125" customWidth="1"/>
    <col min="14071" max="14071" width="13.85546875" customWidth="1"/>
    <col min="14072" max="14072" width="11.42578125" customWidth="1"/>
    <col min="14073" max="14073" width="12.140625" customWidth="1"/>
    <col min="14074" max="14074" width="16" customWidth="1"/>
    <col min="14075" max="14075" width="14.5703125" customWidth="1"/>
    <col min="14076" max="14076" width="12.7109375" customWidth="1"/>
    <col min="14077" max="14077" width="14.7109375" customWidth="1"/>
    <col min="14078" max="14078" width="18.28515625" customWidth="1"/>
    <col min="14079" max="14079" width="14.28515625" customWidth="1"/>
    <col min="14080" max="14080" width="17.7109375" customWidth="1"/>
    <col min="14081" max="14081" width="13.85546875" customWidth="1"/>
    <col min="14082" max="14082" width="17.140625" customWidth="1"/>
    <col min="14083" max="14083" width="15.85546875" customWidth="1"/>
    <col min="14084" max="14084" width="17.5703125" customWidth="1"/>
    <col min="14323" max="14323" width="24.7109375" customWidth="1"/>
    <col min="14324" max="14324" width="19.7109375" customWidth="1"/>
    <col min="14325" max="14325" width="11.42578125" customWidth="1"/>
    <col min="14326" max="14326" width="15.42578125" customWidth="1"/>
    <col min="14327" max="14327" width="13.85546875" customWidth="1"/>
    <col min="14328" max="14328" width="11.42578125" customWidth="1"/>
    <col min="14329" max="14329" width="12.140625" customWidth="1"/>
    <col min="14330" max="14330" width="16" customWidth="1"/>
    <col min="14331" max="14331" width="14.5703125" customWidth="1"/>
    <col min="14332" max="14332" width="12.7109375" customWidth="1"/>
    <col min="14333" max="14333" width="14.7109375" customWidth="1"/>
    <col min="14334" max="14334" width="18.28515625" customWidth="1"/>
    <col min="14335" max="14335" width="14.28515625" customWidth="1"/>
    <col min="14336" max="14336" width="17.7109375" customWidth="1"/>
    <col min="14337" max="14337" width="13.85546875" customWidth="1"/>
    <col min="14338" max="14338" width="17.140625" customWidth="1"/>
    <col min="14339" max="14339" width="15.85546875" customWidth="1"/>
    <col min="14340" max="14340" width="17.5703125" customWidth="1"/>
    <col min="14579" max="14579" width="24.7109375" customWidth="1"/>
    <col min="14580" max="14580" width="19.7109375" customWidth="1"/>
    <col min="14581" max="14581" width="11.42578125" customWidth="1"/>
    <col min="14582" max="14582" width="15.42578125" customWidth="1"/>
    <col min="14583" max="14583" width="13.85546875" customWidth="1"/>
    <col min="14584" max="14584" width="11.42578125" customWidth="1"/>
    <col min="14585" max="14585" width="12.140625" customWidth="1"/>
    <col min="14586" max="14586" width="16" customWidth="1"/>
    <col min="14587" max="14587" width="14.5703125" customWidth="1"/>
    <col min="14588" max="14588" width="12.7109375" customWidth="1"/>
    <col min="14589" max="14589" width="14.7109375" customWidth="1"/>
    <col min="14590" max="14590" width="18.28515625" customWidth="1"/>
    <col min="14591" max="14591" width="14.28515625" customWidth="1"/>
    <col min="14592" max="14592" width="17.7109375" customWidth="1"/>
    <col min="14593" max="14593" width="13.85546875" customWidth="1"/>
    <col min="14594" max="14594" width="17.140625" customWidth="1"/>
    <col min="14595" max="14595" width="15.85546875" customWidth="1"/>
    <col min="14596" max="14596" width="17.5703125" customWidth="1"/>
    <col min="14835" max="14835" width="24.7109375" customWidth="1"/>
    <col min="14836" max="14836" width="19.7109375" customWidth="1"/>
    <col min="14837" max="14837" width="11.42578125" customWidth="1"/>
    <col min="14838" max="14838" width="15.42578125" customWidth="1"/>
    <col min="14839" max="14839" width="13.85546875" customWidth="1"/>
    <col min="14840" max="14840" width="11.42578125" customWidth="1"/>
    <col min="14841" max="14841" width="12.140625" customWidth="1"/>
    <col min="14842" max="14842" width="16" customWidth="1"/>
    <col min="14843" max="14843" width="14.5703125" customWidth="1"/>
    <col min="14844" max="14844" width="12.7109375" customWidth="1"/>
    <col min="14845" max="14845" width="14.7109375" customWidth="1"/>
    <col min="14846" max="14846" width="18.28515625" customWidth="1"/>
    <col min="14847" max="14847" width="14.28515625" customWidth="1"/>
    <col min="14848" max="14848" width="17.7109375" customWidth="1"/>
    <col min="14849" max="14849" width="13.85546875" customWidth="1"/>
    <col min="14850" max="14850" width="17.140625" customWidth="1"/>
    <col min="14851" max="14851" width="15.85546875" customWidth="1"/>
    <col min="14852" max="14852" width="17.5703125" customWidth="1"/>
    <col min="15091" max="15091" width="24.7109375" customWidth="1"/>
    <col min="15092" max="15092" width="19.7109375" customWidth="1"/>
    <col min="15093" max="15093" width="11.42578125" customWidth="1"/>
    <col min="15094" max="15094" width="15.42578125" customWidth="1"/>
    <col min="15095" max="15095" width="13.85546875" customWidth="1"/>
    <col min="15096" max="15096" width="11.42578125" customWidth="1"/>
    <col min="15097" max="15097" width="12.140625" customWidth="1"/>
    <col min="15098" max="15098" width="16" customWidth="1"/>
    <col min="15099" max="15099" width="14.5703125" customWidth="1"/>
    <col min="15100" max="15100" width="12.7109375" customWidth="1"/>
    <col min="15101" max="15101" width="14.7109375" customWidth="1"/>
    <col min="15102" max="15102" width="18.28515625" customWidth="1"/>
    <col min="15103" max="15103" width="14.28515625" customWidth="1"/>
    <col min="15104" max="15104" width="17.7109375" customWidth="1"/>
    <col min="15105" max="15105" width="13.85546875" customWidth="1"/>
    <col min="15106" max="15106" width="17.140625" customWidth="1"/>
    <col min="15107" max="15107" width="15.85546875" customWidth="1"/>
    <col min="15108" max="15108" width="17.5703125" customWidth="1"/>
    <col min="15347" max="15347" width="24.7109375" customWidth="1"/>
    <col min="15348" max="15348" width="19.7109375" customWidth="1"/>
    <col min="15349" max="15349" width="11.42578125" customWidth="1"/>
    <col min="15350" max="15350" width="15.42578125" customWidth="1"/>
    <col min="15351" max="15351" width="13.85546875" customWidth="1"/>
    <col min="15352" max="15352" width="11.42578125" customWidth="1"/>
    <col min="15353" max="15353" width="12.140625" customWidth="1"/>
    <col min="15354" max="15354" width="16" customWidth="1"/>
    <col min="15355" max="15355" width="14.5703125" customWidth="1"/>
    <col min="15356" max="15356" width="12.7109375" customWidth="1"/>
    <col min="15357" max="15357" width="14.7109375" customWidth="1"/>
    <col min="15358" max="15358" width="18.28515625" customWidth="1"/>
    <col min="15359" max="15359" width="14.28515625" customWidth="1"/>
    <col min="15360" max="15360" width="17.7109375" customWidth="1"/>
    <col min="15361" max="15361" width="13.85546875" customWidth="1"/>
    <col min="15362" max="15362" width="17.140625" customWidth="1"/>
    <col min="15363" max="15363" width="15.85546875" customWidth="1"/>
    <col min="15364" max="15364" width="17.5703125" customWidth="1"/>
    <col min="15603" max="15603" width="24.7109375" customWidth="1"/>
    <col min="15604" max="15604" width="19.7109375" customWidth="1"/>
    <col min="15605" max="15605" width="11.42578125" customWidth="1"/>
    <col min="15606" max="15606" width="15.42578125" customWidth="1"/>
    <col min="15607" max="15607" width="13.85546875" customWidth="1"/>
    <col min="15608" max="15608" width="11.42578125" customWidth="1"/>
    <col min="15609" max="15609" width="12.140625" customWidth="1"/>
    <col min="15610" max="15610" width="16" customWidth="1"/>
    <col min="15611" max="15611" width="14.5703125" customWidth="1"/>
    <col min="15612" max="15612" width="12.7109375" customWidth="1"/>
    <col min="15613" max="15613" width="14.7109375" customWidth="1"/>
    <col min="15614" max="15614" width="18.28515625" customWidth="1"/>
    <col min="15615" max="15615" width="14.28515625" customWidth="1"/>
    <col min="15616" max="15616" width="17.7109375" customWidth="1"/>
    <col min="15617" max="15617" width="13.85546875" customWidth="1"/>
    <col min="15618" max="15618" width="17.140625" customWidth="1"/>
    <col min="15619" max="15619" width="15.85546875" customWidth="1"/>
    <col min="15620" max="15620" width="17.5703125" customWidth="1"/>
    <col min="15859" max="15859" width="24.7109375" customWidth="1"/>
    <col min="15860" max="15860" width="19.7109375" customWidth="1"/>
    <col min="15861" max="15861" width="11.42578125" customWidth="1"/>
    <col min="15862" max="15862" width="15.42578125" customWidth="1"/>
    <col min="15863" max="15863" width="13.85546875" customWidth="1"/>
    <col min="15864" max="15864" width="11.42578125" customWidth="1"/>
    <col min="15865" max="15865" width="12.140625" customWidth="1"/>
    <col min="15866" max="15866" width="16" customWidth="1"/>
    <col min="15867" max="15867" width="14.5703125" customWidth="1"/>
    <col min="15868" max="15868" width="12.7109375" customWidth="1"/>
    <col min="15869" max="15869" width="14.7109375" customWidth="1"/>
    <col min="15870" max="15870" width="18.28515625" customWidth="1"/>
    <col min="15871" max="15871" width="14.28515625" customWidth="1"/>
    <col min="15872" max="15872" width="17.7109375" customWidth="1"/>
    <col min="15873" max="15873" width="13.85546875" customWidth="1"/>
    <col min="15874" max="15874" width="17.140625" customWidth="1"/>
    <col min="15875" max="15875" width="15.85546875" customWidth="1"/>
    <col min="15876" max="15876" width="17.5703125" customWidth="1"/>
    <col min="16115" max="16115" width="24.7109375" customWidth="1"/>
    <col min="16116" max="16116" width="19.7109375" customWidth="1"/>
    <col min="16117" max="16117" width="11.42578125" customWidth="1"/>
    <col min="16118" max="16118" width="15.42578125" customWidth="1"/>
    <col min="16119" max="16119" width="13.85546875" customWidth="1"/>
    <col min="16120" max="16120" width="11.42578125" customWidth="1"/>
    <col min="16121" max="16121" width="12.140625" customWidth="1"/>
    <col min="16122" max="16122" width="16" customWidth="1"/>
    <col min="16123" max="16123" width="14.5703125" customWidth="1"/>
    <col min="16124" max="16124" width="12.7109375" customWidth="1"/>
    <col min="16125" max="16125" width="14.7109375" customWidth="1"/>
    <col min="16126" max="16126" width="18.28515625" customWidth="1"/>
    <col min="16127" max="16127" width="14.28515625" customWidth="1"/>
    <col min="16128" max="16128" width="17.7109375" customWidth="1"/>
    <col min="16129" max="16129" width="13.85546875" customWidth="1"/>
    <col min="16130" max="16130" width="17.140625" customWidth="1"/>
    <col min="16131" max="16131" width="15.85546875" customWidth="1"/>
    <col min="16132" max="16132" width="17.5703125" customWidth="1"/>
  </cols>
  <sheetData>
    <row r="1" spans="1:29" ht="27.75" customHeight="1" x14ac:dyDescent="0.25">
      <c r="A1" s="318" t="s">
        <v>208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</row>
    <row r="2" spans="1:29" ht="27.75" customHeight="1" x14ac:dyDescent="0.25">
      <c r="B2" s="246" t="s">
        <v>142</v>
      </c>
      <c r="C2" s="247"/>
      <c r="D2" s="247"/>
      <c r="E2" s="247"/>
      <c r="F2" s="247"/>
      <c r="G2" s="247"/>
      <c r="H2" s="247"/>
      <c r="I2" s="246" t="s">
        <v>143</v>
      </c>
      <c r="J2" s="247"/>
      <c r="K2" s="247"/>
      <c r="L2" s="247"/>
      <c r="M2" s="247"/>
      <c r="N2" s="247"/>
      <c r="O2" s="247"/>
      <c r="P2" s="246" t="s">
        <v>144</v>
      </c>
      <c r="Q2" s="247"/>
      <c r="R2" s="247"/>
      <c r="S2" s="247"/>
      <c r="T2" s="247"/>
      <c r="U2" s="247"/>
      <c r="V2" s="247"/>
      <c r="W2" s="248" t="s">
        <v>145</v>
      </c>
      <c r="X2" s="248"/>
      <c r="Y2" s="248"/>
      <c r="Z2" s="248"/>
      <c r="AA2" s="248"/>
      <c r="AB2" s="248"/>
      <c r="AC2" s="248"/>
    </row>
    <row r="3" spans="1:29" ht="30" customHeight="1" x14ac:dyDescent="0.25">
      <c r="A3" s="253" t="s">
        <v>1</v>
      </c>
      <c r="B3" s="319" t="s">
        <v>209</v>
      </c>
      <c r="C3" s="319" t="s">
        <v>4</v>
      </c>
      <c r="D3" s="317" t="s">
        <v>210</v>
      </c>
      <c r="E3" s="317" t="s">
        <v>211</v>
      </c>
      <c r="F3" s="317" t="s">
        <v>212</v>
      </c>
      <c r="G3" s="317" t="s">
        <v>213</v>
      </c>
      <c r="H3" s="317" t="s">
        <v>214</v>
      </c>
      <c r="I3" s="319" t="s">
        <v>209</v>
      </c>
      <c r="J3" s="319" t="s">
        <v>4</v>
      </c>
      <c r="K3" s="317" t="s">
        <v>210</v>
      </c>
      <c r="L3" s="317" t="s">
        <v>211</v>
      </c>
      <c r="M3" s="317" t="s">
        <v>212</v>
      </c>
      <c r="N3" s="317" t="s">
        <v>213</v>
      </c>
      <c r="O3" s="317" t="s">
        <v>214</v>
      </c>
      <c r="P3" s="319" t="s">
        <v>209</v>
      </c>
      <c r="Q3" s="319" t="s">
        <v>4</v>
      </c>
      <c r="R3" s="317" t="s">
        <v>210</v>
      </c>
      <c r="S3" s="317" t="s">
        <v>211</v>
      </c>
      <c r="T3" s="317" t="s">
        <v>212</v>
      </c>
      <c r="U3" s="317" t="s">
        <v>213</v>
      </c>
      <c r="V3" s="317" t="s">
        <v>214</v>
      </c>
      <c r="W3" s="319" t="s">
        <v>209</v>
      </c>
      <c r="X3" s="319" t="s">
        <v>4</v>
      </c>
      <c r="Y3" s="317" t="s">
        <v>210</v>
      </c>
      <c r="Z3" s="317" t="s">
        <v>211</v>
      </c>
      <c r="AA3" s="317" t="s">
        <v>212</v>
      </c>
      <c r="AB3" s="317" t="s">
        <v>213</v>
      </c>
      <c r="AC3" s="317" t="s">
        <v>214</v>
      </c>
    </row>
    <row r="4" spans="1:29" ht="51" customHeight="1" x14ac:dyDescent="0.25">
      <c r="A4" s="253"/>
      <c r="B4" s="319"/>
      <c r="C4" s="319"/>
      <c r="D4" s="317"/>
      <c r="E4" s="317"/>
      <c r="F4" s="317"/>
      <c r="G4" s="317"/>
      <c r="H4" s="317"/>
      <c r="I4" s="319"/>
      <c r="J4" s="319"/>
      <c r="K4" s="317"/>
      <c r="L4" s="317"/>
      <c r="M4" s="317"/>
      <c r="N4" s="317"/>
      <c r="O4" s="317"/>
      <c r="P4" s="319"/>
      <c r="Q4" s="319"/>
      <c r="R4" s="317"/>
      <c r="S4" s="317"/>
      <c r="T4" s="317"/>
      <c r="U4" s="317"/>
      <c r="V4" s="317"/>
      <c r="W4" s="319"/>
      <c r="X4" s="319"/>
      <c r="Y4" s="317"/>
      <c r="Z4" s="317"/>
      <c r="AA4" s="317"/>
      <c r="AB4" s="317"/>
      <c r="AC4" s="317"/>
    </row>
    <row r="5" spans="1:29" ht="53.25" customHeight="1" x14ac:dyDescent="0.25">
      <c r="A5" s="253"/>
      <c r="B5" s="319"/>
      <c r="C5" s="319"/>
      <c r="D5" s="317"/>
      <c r="E5" s="317"/>
      <c r="F5" s="317"/>
      <c r="G5" s="317"/>
      <c r="H5" s="317"/>
      <c r="I5" s="319"/>
      <c r="J5" s="319"/>
      <c r="K5" s="317"/>
      <c r="L5" s="317"/>
      <c r="M5" s="317"/>
      <c r="N5" s="317"/>
      <c r="O5" s="317"/>
      <c r="P5" s="319"/>
      <c r="Q5" s="319"/>
      <c r="R5" s="317"/>
      <c r="S5" s="317"/>
      <c r="T5" s="317"/>
      <c r="U5" s="317"/>
      <c r="V5" s="317"/>
      <c r="W5" s="319"/>
      <c r="X5" s="319"/>
      <c r="Y5" s="317"/>
      <c r="Z5" s="317"/>
      <c r="AA5" s="317"/>
      <c r="AB5" s="317"/>
      <c r="AC5" s="317"/>
    </row>
    <row r="6" spans="1:29" ht="15.95" customHeight="1" x14ac:dyDescent="0.25">
      <c r="A6" s="145" t="s">
        <v>156</v>
      </c>
      <c r="B6" s="116">
        <v>5</v>
      </c>
      <c r="C6" s="116">
        <v>540</v>
      </c>
      <c r="D6" s="187">
        <v>0.92777777777777781</v>
      </c>
      <c r="E6" s="188">
        <v>3.524229074889868E-3</v>
      </c>
      <c r="F6" s="188">
        <v>5.434782608695652E-3</v>
      </c>
      <c r="G6" s="188">
        <v>3.0430851118486625E-2</v>
      </c>
      <c r="H6" s="188">
        <v>0.77777777777777779</v>
      </c>
      <c r="I6" s="116">
        <v>6</v>
      </c>
      <c r="J6" s="116">
        <v>660</v>
      </c>
      <c r="K6" s="187">
        <v>1.106060606060606</v>
      </c>
      <c r="L6" s="188">
        <v>1.3175230566534915E-3</v>
      </c>
      <c r="M6" s="188">
        <v>0</v>
      </c>
      <c r="N6" s="188">
        <v>3.1406655309807734E-2</v>
      </c>
      <c r="O6" s="188">
        <v>0.77351598173515979</v>
      </c>
      <c r="P6" s="116">
        <v>6</v>
      </c>
      <c r="Q6" s="116">
        <v>660</v>
      </c>
      <c r="R6" s="187">
        <v>1.103030303030303</v>
      </c>
      <c r="S6" s="188">
        <v>0</v>
      </c>
      <c r="T6" s="188">
        <v>3.3018867924528301E-2</v>
      </c>
      <c r="U6" s="188">
        <v>3.3766819253710639E-2</v>
      </c>
      <c r="V6" s="188">
        <v>0.79716117216117222</v>
      </c>
      <c r="W6" s="116">
        <v>6</v>
      </c>
      <c r="X6" s="116">
        <v>660</v>
      </c>
      <c r="Y6" s="187">
        <v>1.1090909090909091</v>
      </c>
      <c r="Z6" s="188">
        <v>5.2219321148825066E-3</v>
      </c>
      <c r="AA6" s="188">
        <v>1.5060240963855422E-3</v>
      </c>
      <c r="AB6" s="188">
        <v>4.5462853211908925E-2</v>
      </c>
      <c r="AC6" s="188">
        <v>0.77914389799635708</v>
      </c>
    </row>
    <row r="7" spans="1:29" ht="15.95" customHeight="1" x14ac:dyDescent="0.25">
      <c r="A7" s="146" t="s">
        <v>34</v>
      </c>
      <c r="B7" s="116">
        <v>17</v>
      </c>
      <c r="C7" s="116">
        <v>2670</v>
      </c>
      <c r="D7" s="187">
        <v>0.95243445692883899</v>
      </c>
      <c r="E7" s="188">
        <v>6.477225240284162E-3</v>
      </c>
      <c r="F7" s="188">
        <v>8.7935279634189234E-3</v>
      </c>
      <c r="G7" s="188">
        <v>2.0333792073210177E-2</v>
      </c>
      <c r="H7" s="188">
        <v>0.78621051251802332</v>
      </c>
      <c r="I7" s="116">
        <v>18</v>
      </c>
      <c r="J7" s="116">
        <v>2880</v>
      </c>
      <c r="K7" s="187">
        <v>1.0320261437908496</v>
      </c>
      <c r="L7" s="188">
        <v>1.9892580067634772E-3</v>
      </c>
      <c r="M7" s="188">
        <v>3.8354253835425384E-3</v>
      </c>
      <c r="N7" s="188">
        <v>2.4811395141756509E-2</v>
      </c>
      <c r="O7" s="188">
        <v>1</v>
      </c>
      <c r="P7" s="116">
        <v>18</v>
      </c>
      <c r="Q7" s="116">
        <v>2880</v>
      </c>
      <c r="R7" s="187">
        <v>0.99466192170818502</v>
      </c>
      <c r="S7" s="188">
        <v>1.8611576400521124E-3</v>
      </c>
      <c r="T7" s="188">
        <v>3.9840637450199202E-3</v>
      </c>
      <c r="U7" s="188">
        <v>2.2996028107680835E-2</v>
      </c>
      <c r="V7" s="188">
        <v>1</v>
      </c>
      <c r="W7" s="116">
        <v>16</v>
      </c>
      <c r="X7" s="116">
        <v>2910</v>
      </c>
      <c r="Y7" s="187">
        <v>1.0058394160583941</v>
      </c>
      <c r="Z7" s="188">
        <v>2.1359223300970874E-3</v>
      </c>
      <c r="AA7" s="188">
        <v>3.5279025016035919E-3</v>
      </c>
      <c r="AB7" s="188">
        <v>2.0293192617167891E-2</v>
      </c>
      <c r="AC7" s="188">
        <v>1</v>
      </c>
    </row>
    <row r="8" spans="1:29" ht="15.95" customHeight="1" x14ac:dyDescent="0.25">
      <c r="A8" s="146" t="s">
        <v>119</v>
      </c>
      <c r="B8" s="116">
        <v>27</v>
      </c>
      <c r="C8" s="116">
        <v>4530</v>
      </c>
      <c r="D8" s="187">
        <v>0.90610743193524657</v>
      </c>
      <c r="E8" s="188">
        <v>2.1000131250820319E-3</v>
      </c>
      <c r="F8" s="188">
        <v>1.7039403620873268E-3</v>
      </c>
      <c r="G8" s="188">
        <v>5.082179149824375E-2</v>
      </c>
      <c r="H8" s="188">
        <v>0.78999512749715761</v>
      </c>
      <c r="I8" s="116">
        <v>27</v>
      </c>
      <c r="J8" s="116">
        <v>4530</v>
      </c>
      <c r="K8" s="187">
        <v>1.0017074981440239</v>
      </c>
      <c r="L8" s="188">
        <v>1.6385767790262173E-3</v>
      </c>
      <c r="M8" s="188">
        <v>3.2329763588603757E-3</v>
      </c>
      <c r="N8" s="188">
        <v>5.9224523151505538E-2</v>
      </c>
      <c r="O8" s="188">
        <v>0.71689023938338392</v>
      </c>
      <c r="P8" s="116">
        <v>27</v>
      </c>
      <c r="Q8" s="116">
        <v>4530</v>
      </c>
      <c r="R8" s="187">
        <v>1.0121412803532008</v>
      </c>
      <c r="S8" s="188">
        <v>2.1554169030062395E-3</v>
      </c>
      <c r="T8" s="188">
        <v>3.4412955465587046E-3</v>
      </c>
      <c r="U8" s="188">
        <v>9.6494447001294378E-2</v>
      </c>
      <c r="V8" s="188">
        <v>0.64216648491457651</v>
      </c>
      <c r="W8" s="116">
        <v>27</v>
      </c>
      <c r="X8" s="116">
        <v>4530</v>
      </c>
      <c r="Y8" s="187">
        <v>0.99393939393939401</v>
      </c>
      <c r="Z8" s="188">
        <v>2.8050490883590462E-3</v>
      </c>
      <c r="AA8" s="188">
        <v>5.5192150449713817E-3</v>
      </c>
      <c r="AB8" s="188">
        <v>6.992623862288784E-2</v>
      </c>
      <c r="AC8" s="188">
        <v>0.63972337894110642</v>
      </c>
    </row>
    <row r="9" spans="1:29" ht="15.95" customHeight="1" x14ac:dyDescent="0.25">
      <c r="A9" s="146" t="s">
        <v>123</v>
      </c>
      <c r="B9" s="116">
        <v>22</v>
      </c>
      <c r="C9" s="116">
        <v>3540</v>
      </c>
      <c r="D9" s="187">
        <v>0.96172839506172836</v>
      </c>
      <c r="E9" s="188">
        <v>7.9910500239731503E-4</v>
      </c>
      <c r="F9" s="188">
        <v>4.8527984471044968E-3</v>
      </c>
      <c r="G9" s="188">
        <v>1.8633306429916598E-2</v>
      </c>
      <c r="H9" s="188">
        <v>0.82049636285836536</v>
      </c>
      <c r="I9" s="116">
        <v>22</v>
      </c>
      <c r="J9" s="116">
        <v>3540</v>
      </c>
      <c r="K9" s="187">
        <v>1.0196787148594377</v>
      </c>
      <c r="L9" s="188">
        <v>0</v>
      </c>
      <c r="M9" s="188">
        <v>2.9744199881023202E-4</v>
      </c>
      <c r="N9" s="188">
        <v>2.2115736736675693E-2</v>
      </c>
      <c r="O9" s="188">
        <v>0.87682158330051196</v>
      </c>
      <c r="P9" s="116">
        <v>22</v>
      </c>
      <c r="Q9" s="116">
        <v>3540</v>
      </c>
      <c r="R9" s="187">
        <v>1.0015238095238095</v>
      </c>
      <c r="S9" s="188">
        <v>1.9162735849056604E-3</v>
      </c>
      <c r="T9" s="188">
        <v>4.8231511254019296E-3</v>
      </c>
      <c r="U9" s="188">
        <v>2.3621505076090465E-2</v>
      </c>
      <c r="V9" s="188">
        <v>0.89349562571319885</v>
      </c>
      <c r="W9" s="116">
        <v>23</v>
      </c>
      <c r="X9" s="116">
        <v>3720</v>
      </c>
      <c r="Y9" s="187">
        <v>0.99315992292870914</v>
      </c>
      <c r="Z9" s="188">
        <v>3.3675187509566813E-3</v>
      </c>
      <c r="AA9" s="188">
        <v>7.6800847457627122E-3</v>
      </c>
      <c r="AB9" s="188">
        <v>6.1027169740644448E-2</v>
      </c>
      <c r="AC9" s="188">
        <v>0.7360558735085847</v>
      </c>
    </row>
    <row r="10" spans="1:29" ht="15.95" customHeight="1" x14ac:dyDescent="0.25">
      <c r="A10" s="145" t="s">
        <v>19</v>
      </c>
      <c r="B10" s="116">
        <v>16</v>
      </c>
      <c r="C10" s="116">
        <v>2160</v>
      </c>
      <c r="D10" s="187">
        <v>0.997</v>
      </c>
      <c r="E10" s="188">
        <v>1.0443864229765013E-3</v>
      </c>
      <c r="F10" s="188">
        <v>4.1821561338289959E-3</v>
      </c>
      <c r="G10" s="188">
        <v>1.5130974118683777E-2</v>
      </c>
      <c r="H10" s="188">
        <v>0.8057505850885992</v>
      </c>
      <c r="I10" s="116">
        <v>16</v>
      </c>
      <c r="J10" s="116">
        <v>2160</v>
      </c>
      <c r="K10" s="187">
        <v>1.0408950617283952</v>
      </c>
      <c r="L10" s="188">
        <v>0</v>
      </c>
      <c r="M10" s="188">
        <v>1.6420361247947454E-3</v>
      </c>
      <c r="N10" s="188">
        <v>1.9115771906594262E-2</v>
      </c>
      <c r="O10" s="188">
        <v>0.98888065233506306</v>
      </c>
      <c r="P10" s="116">
        <v>16</v>
      </c>
      <c r="Q10" s="116">
        <v>2160</v>
      </c>
      <c r="R10" s="187">
        <v>1.0510802469135803</v>
      </c>
      <c r="S10" s="188">
        <v>4.285069914298602E-3</v>
      </c>
      <c r="T10" s="188">
        <v>1.0096760622633571E-2</v>
      </c>
      <c r="U10" s="188">
        <v>5.8034653776048661E-2</v>
      </c>
      <c r="V10" s="188">
        <v>0.87857876963735126</v>
      </c>
      <c r="W10" s="116">
        <v>16</v>
      </c>
      <c r="X10" s="116">
        <v>2160</v>
      </c>
      <c r="Y10" s="187">
        <v>1.0492138364779875</v>
      </c>
      <c r="Z10" s="188">
        <v>4.1987403778866337E-3</v>
      </c>
      <c r="AA10" s="188">
        <v>7.5440067057837385E-3</v>
      </c>
      <c r="AB10" s="188">
        <v>2.735559702956214E-2</v>
      </c>
      <c r="AC10" s="188">
        <v>0.87816574254458257</v>
      </c>
    </row>
    <row r="11" spans="1:29" ht="15.95" customHeight="1" x14ac:dyDescent="0.25">
      <c r="A11" s="146" t="s">
        <v>127</v>
      </c>
      <c r="B11" s="116">
        <v>19</v>
      </c>
      <c r="C11" s="116">
        <v>2850</v>
      </c>
      <c r="D11" s="187">
        <v>1.0116959064327486</v>
      </c>
      <c r="E11" s="188">
        <v>1.8556318426424198E-3</v>
      </c>
      <c r="F11" s="188">
        <v>4.2931616068690587E-3</v>
      </c>
      <c r="G11" s="188">
        <v>2.9604890907928588E-2</v>
      </c>
      <c r="H11" s="188">
        <v>0.7366473988439306</v>
      </c>
      <c r="I11" s="116">
        <v>19</v>
      </c>
      <c r="J11" s="116">
        <v>2850</v>
      </c>
      <c r="K11" s="187">
        <v>1.0491228070175438</v>
      </c>
      <c r="L11" s="188">
        <v>8.9541547277936968E-4</v>
      </c>
      <c r="M11" s="188">
        <v>1.4766686355581807E-3</v>
      </c>
      <c r="N11" s="188">
        <v>3.2415729834634616E-2</v>
      </c>
      <c r="O11" s="188">
        <v>0.75964325529542931</v>
      </c>
      <c r="P11" s="116">
        <v>19</v>
      </c>
      <c r="Q11" s="116">
        <v>2850</v>
      </c>
      <c r="R11" s="187">
        <v>1.0535672514619883</v>
      </c>
      <c r="S11" s="188">
        <v>1.7911517105498836E-3</v>
      </c>
      <c r="T11" s="188">
        <v>4.0875912408759128E-3</v>
      </c>
      <c r="U11" s="188">
        <v>3.6325919333533546E-2</v>
      </c>
      <c r="V11" s="188">
        <v>0.73090586145648306</v>
      </c>
      <c r="W11" s="116">
        <v>19</v>
      </c>
      <c r="X11" s="116">
        <v>2850</v>
      </c>
      <c r="Y11" s="187">
        <v>1.0508896797153024</v>
      </c>
      <c r="Z11" s="188">
        <v>3.6616623947272064E-4</v>
      </c>
      <c r="AA11" s="188">
        <v>3.2381513099793936E-3</v>
      </c>
      <c r="AB11" s="188">
        <v>3.6041404578035389E-2</v>
      </c>
      <c r="AC11" s="188">
        <v>0.81487752568009941</v>
      </c>
    </row>
    <row r="12" spans="1:29" ht="15.95" customHeight="1" x14ac:dyDescent="0.25">
      <c r="A12" s="149" t="s">
        <v>83</v>
      </c>
      <c r="B12" s="116">
        <v>6</v>
      </c>
      <c r="C12" s="116">
        <v>750</v>
      </c>
      <c r="D12" s="187">
        <v>0.89422222222222214</v>
      </c>
      <c r="E12" s="188">
        <v>3.0745580322828594E-3</v>
      </c>
      <c r="F12" s="188">
        <v>7.0323488045007029E-3</v>
      </c>
      <c r="G12" s="188">
        <v>3.3796462000672461E-2</v>
      </c>
      <c r="H12" s="188">
        <v>1</v>
      </c>
      <c r="I12" s="116">
        <v>7</v>
      </c>
      <c r="J12" s="116">
        <v>870</v>
      </c>
      <c r="K12" s="187">
        <v>1.0353413654618475</v>
      </c>
      <c r="L12" s="188">
        <v>0</v>
      </c>
      <c r="M12" s="188">
        <v>5.1282051282051282E-3</v>
      </c>
      <c r="N12" s="188">
        <v>3.2531377539667845E-2</v>
      </c>
      <c r="O12" s="188">
        <v>1</v>
      </c>
      <c r="P12" s="116">
        <v>7</v>
      </c>
      <c r="Q12" s="116">
        <v>870</v>
      </c>
      <c r="R12" s="187">
        <v>1.0509578544061302</v>
      </c>
      <c r="S12" s="188">
        <v>6.0728744939271256E-3</v>
      </c>
      <c r="T12" s="188">
        <v>2.2164276401564539E-2</v>
      </c>
      <c r="U12" s="188">
        <v>3.2098098831424123E-2</v>
      </c>
      <c r="V12" s="188">
        <v>1</v>
      </c>
      <c r="W12" s="116">
        <v>7</v>
      </c>
      <c r="X12" s="116">
        <v>870</v>
      </c>
      <c r="Y12" s="187">
        <v>1.0505747126436782</v>
      </c>
      <c r="Z12" s="188">
        <v>9.141696292534281E-3</v>
      </c>
      <c r="AA12" s="188">
        <v>2.3285899094437259E-2</v>
      </c>
      <c r="AB12" s="188">
        <v>3.5010693421211762E-2</v>
      </c>
      <c r="AC12" s="188">
        <v>1</v>
      </c>
    </row>
    <row r="13" spans="1:29" ht="15.95" customHeight="1" x14ac:dyDescent="0.25">
      <c r="A13" s="145" t="s">
        <v>85</v>
      </c>
      <c r="B13" s="116">
        <v>5</v>
      </c>
      <c r="C13" s="116">
        <v>570</v>
      </c>
      <c r="D13" s="187">
        <v>1.1070175438596492</v>
      </c>
      <c r="E13" s="188">
        <v>3.9001560062402497E-3</v>
      </c>
      <c r="F13" s="188">
        <v>4.9099836333878887E-3</v>
      </c>
      <c r="G13" s="188">
        <v>1.706973581973582E-2</v>
      </c>
      <c r="H13" s="188">
        <v>0.74484944532488118</v>
      </c>
      <c r="I13" s="116">
        <v>5</v>
      </c>
      <c r="J13" s="116">
        <v>570</v>
      </c>
      <c r="K13" s="187">
        <v>1.1017543859649124</v>
      </c>
      <c r="L13" s="188">
        <v>0</v>
      </c>
      <c r="M13" s="188">
        <v>0</v>
      </c>
      <c r="N13" s="188">
        <v>1.7062103784994766E-2</v>
      </c>
      <c r="O13" s="188">
        <v>0.79352441613588109</v>
      </c>
      <c r="P13" s="116">
        <v>5</v>
      </c>
      <c r="Q13" s="116">
        <v>570</v>
      </c>
      <c r="R13" s="187">
        <v>1.0935672514619883</v>
      </c>
      <c r="S13" s="188">
        <v>0</v>
      </c>
      <c r="T13" s="188">
        <v>7.6923076923076927E-3</v>
      </c>
      <c r="U13" s="188">
        <v>1.521689983478919E-2</v>
      </c>
      <c r="V13" s="188">
        <v>0.86096256684491967</v>
      </c>
      <c r="W13" s="116">
        <v>5</v>
      </c>
      <c r="X13" s="116">
        <v>570</v>
      </c>
      <c r="Y13" s="187">
        <v>1.0766081871345028</v>
      </c>
      <c r="Z13" s="188">
        <v>0</v>
      </c>
      <c r="AA13" s="188">
        <v>1.4727540500736377E-3</v>
      </c>
      <c r="AB13" s="188">
        <v>1.6427723827283077E-2</v>
      </c>
      <c r="AC13" s="188">
        <v>0.9869636067354699</v>
      </c>
    </row>
    <row r="14" spans="1:29" ht="15.95" customHeight="1" x14ac:dyDescent="0.25">
      <c r="A14" s="145" t="s">
        <v>23</v>
      </c>
      <c r="B14" s="116">
        <v>16</v>
      </c>
      <c r="C14" s="116">
        <v>2880</v>
      </c>
      <c r="D14" s="187">
        <v>0.85081018518518525</v>
      </c>
      <c r="E14" s="188">
        <v>3.5398230088495575E-3</v>
      </c>
      <c r="F14" s="188">
        <v>7.5022065313327451E-3</v>
      </c>
      <c r="G14" s="188">
        <v>5.7975610671095232E-2</v>
      </c>
      <c r="H14" s="188">
        <v>0.83063528771595696</v>
      </c>
      <c r="I14" s="116">
        <v>16</v>
      </c>
      <c r="J14" s="116">
        <v>2880</v>
      </c>
      <c r="K14" s="187">
        <v>1.0093749999999999</v>
      </c>
      <c r="L14" s="188">
        <v>2.5299375948726597E-3</v>
      </c>
      <c r="M14" s="188">
        <v>3.2234957020057307E-3</v>
      </c>
      <c r="N14" s="188">
        <v>1.4358559630545475E-2</v>
      </c>
      <c r="O14" s="188">
        <v>0.89232886136910905</v>
      </c>
      <c r="P14" s="116">
        <v>16</v>
      </c>
      <c r="Q14" s="116">
        <v>2880</v>
      </c>
      <c r="R14" s="187">
        <v>1.0151079136690648</v>
      </c>
      <c r="S14" s="188">
        <v>3.2432432432432431E-3</v>
      </c>
      <c r="T14" s="188">
        <v>1.131687242798354E-2</v>
      </c>
      <c r="U14" s="188">
        <v>1.657783234613484E-2</v>
      </c>
      <c r="V14" s="188">
        <v>0.75017717930545713</v>
      </c>
      <c r="W14" s="116">
        <v>16</v>
      </c>
      <c r="X14" s="116">
        <v>2880</v>
      </c>
      <c r="Y14" s="187">
        <v>1.0118055555555556</v>
      </c>
      <c r="Z14" s="188">
        <v>6.1214079238224792E-3</v>
      </c>
      <c r="AA14" s="188">
        <v>1.7825934987766516E-2</v>
      </c>
      <c r="AB14" s="188">
        <v>1.737358240648644E-2</v>
      </c>
      <c r="AC14" s="188">
        <v>0.59288492335849918</v>
      </c>
    </row>
    <row r="15" spans="1:29" ht="15.95" customHeight="1" x14ac:dyDescent="0.25">
      <c r="A15" s="145" t="s">
        <v>88</v>
      </c>
      <c r="B15" s="116">
        <v>9</v>
      </c>
      <c r="C15" s="116">
        <v>1350</v>
      </c>
      <c r="D15" s="187">
        <v>0.98567901234567912</v>
      </c>
      <c r="E15" s="188">
        <v>1.2101653892698668E-3</v>
      </c>
      <c r="F15" s="188">
        <v>0</v>
      </c>
      <c r="G15" s="188">
        <v>9.290643914069327E-2</v>
      </c>
      <c r="H15" s="188">
        <v>0.77254509018036066</v>
      </c>
      <c r="I15" s="116">
        <v>9</v>
      </c>
      <c r="J15" s="116">
        <v>1350</v>
      </c>
      <c r="K15" s="187">
        <v>1.0538271604938272</v>
      </c>
      <c r="L15" s="188">
        <v>5.349636988918609E-3</v>
      </c>
      <c r="M15" s="188">
        <v>5.4512416717141131E-3</v>
      </c>
      <c r="N15" s="188">
        <v>2.8502397321671535E-2</v>
      </c>
      <c r="O15" s="188">
        <v>0.77717900656044991</v>
      </c>
      <c r="P15" s="116">
        <v>9</v>
      </c>
      <c r="Q15" s="116">
        <v>1350</v>
      </c>
      <c r="R15" s="187">
        <v>1.0459259259259259</v>
      </c>
      <c r="S15" s="188">
        <v>6.6790352504638223E-3</v>
      </c>
      <c r="T15" s="188">
        <v>7.138221933809215E-3</v>
      </c>
      <c r="U15" s="188">
        <v>3.4393240338746529E-2</v>
      </c>
      <c r="V15" s="188">
        <v>0.77242681775259681</v>
      </c>
      <c r="W15" s="116">
        <v>9</v>
      </c>
      <c r="X15" s="116">
        <v>1350</v>
      </c>
      <c r="Y15" s="187">
        <v>1.0412213740458016</v>
      </c>
      <c r="Z15" s="188">
        <v>1.9485580670303975E-3</v>
      </c>
      <c r="AA15" s="188">
        <v>1.1140235910878113E-2</v>
      </c>
      <c r="AB15" s="188">
        <v>3.4687738070288014E-2</v>
      </c>
      <c r="AC15" s="188">
        <v>0.79081133919843605</v>
      </c>
    </row>
    <row r="16" spans="1:29" ht="15.95" customHeight="1" x14ac:dyDescent="0.25">
      <c r="A16" s="146" t="s">
        <v>108</v>
      </c>
      <c r="B16" s="116">
        <v>21</v>
      </c>
      <c r="C16" s="116">
        <v>2820</v>
      </c>
      <c r="D16" s="187">
        <v>0.883451536643026</v>
      </c>
      <c r="E16" s="188">
        <v>3.6993769470404984E-3</v>
      </c>
      <c r="F16" s="188">
        <v>6.8434559452523521E-3</v>
      </c>
      <c r="G16" s="188">
        <v>2.6146290759600111E-2</v>
      </c>
      <c r="H16" s="188">
        <v>0.76358041209526351</v>
      </c>
      <c r="I16" s="116">
        <v>21</v>
      </c>
      <c r="J16" s="116">
        <v>2820</v>
      </c>
      <c r="K16" s="187">
        <v>1.0242316784869976</v>
      </c>
      <c r="L16" s="188">
        <v>1.5218126479540075E-3</v>
      </c>
      <c r="M16" s="188">
        <v>3.9985459832788074E-3</v>
      </c>
      <c r="N16" s="188">
        <v>2.3159495882388609E-2</v>
      </c>
      <c r="O16" s="188">
        <v>0.85885747259088274</v>
      </c>
      <c r="P16" s="116">
        <v>21</v>
      </c>
      <c r="Q16" s="116">
        <v>2820</v>
      </c>
      <c r="R16" s="187">
        <v>1.0241545893719806</v>
      </c>
      <c r="S16" s="188">
        <v>3.8924274593064401E-3</v>
      </c>
      <c r="T16" s="188">
        <v>3.8896746817538895E-3</v>
      </c>
      <c r="U16" s="188">
        <v>2.3930032779627585E-2</v>
      </c>
      <c r="V16" s="188">
        <v>0.81544811320754718</v>
      </c>
      <c r="W16" s="116">
        <v>21</v>
      </c>
      <c r="X16" s="116">
        <v>2820</v>
      </c>
      <c r="Y16" s="187">
        <v>1.0255555555555556</v>
      </c>
      <c r="Z16" s="188">
        <v>4.1059330732909054E-3</v>
      </c>
      <c r="AA16" s="188">
        <v>4.3772383605252688E-3</v>
      </c>
      <c r="AB16" s="188">
        <v>2.0622421291080127E-2</v>
      </c>
      <c r="AC16" s="188">
        <v>0.76015709642470197</v>
      </c>
    </row>
    <row r="17" spans="1:29" ht="15.95" customHeight="1" x14ac:dyDescent="0.25">
      <c r="A17" s="145" t="s">
        <v>91</v>
      </c>
      <c r="B17" s="116">
        <v>8</v>
      </c>
      <c r="C17" s="116">
        <v>1020</v>
      </c>
      <c r="D17" s="187">
        <v>0.91078431372549018</v>
      </c>
      <c r="E17" s="188">
        <v>6.0207991242474E-3</v>
      </c>
      <c r="F17" s="188">
        <v>7.2916666666666668E-3</v>
      </c>
      <c r="G17" s="188">
        <v>3.7511649580615099E-2</v>
      </c>
      <c r="H17" s="188">
        <v>0.78256189451022606</v>
      </c>
      <c r="I17" s="116">
        <v>8</v>
      </c>
      <c r="J17" s="116">
        <v>1020</v>
      </c>
      <c r="K17" s="187">
        <v>1.0034013605442178</v>
      </c>
      <c r="L17" s="188">
        <v>5.1652892561983473E-4</v>
      </c>
      <c r="M17" s="188">
        <v>8.8757396449704144E-3</v>
      </c>
      <c r="N17" s="188">
        <v>3.2310707302635112E-2</v>
      </c>
      <c r="O17" s="188">
        <v>1</v>
      </c>
      <c r="P17" s="116">
        <v>7</v>
      </c>
      <c r="Q17" s="116">
        <v>810</v>
      </c>
      <c r="R17" s="187">
        <v>1.0299242424242425</v>
      </c>
      <c r="S17" s="188">
        <v>2.3161551823972205E-3</v>
      </c>
      <c r="T17" s="188">
        <v>1.310483870967742E-2</v>
      </c>
      <c r="U17" s="188">
        <v>3.4515073494192507E-2</v>
      </c>
      <c r="V17" s="188">
        <v>0.58955498344979773</v>
      </c>
      <c r="W17" s="116">
        <v>8</v>
      </c>
      <c r="X17" s="116">
        <v>1020</v>
      </c>
      <c r="Y17" s="187">
        <v>1.0351598173515981</v>
      </c>
      <c r="Z17" s="188">
        <v>3.7257824143070045E-3</v>
      </c>
      <c r="AA17" s="188">
        <v>1.6216216216216217E-2</v>
      </c>
      <c r="AB17" s="188">
        <v>2.9653036791453702E-2</v>
      </c>
      <c r="AC17" s="188">
        <v>1</v>
      </c>
    </row>
    <row r="18" spans="1:29" ht="15.95" customHeight="1" x14ac:dyDescent="0.25">
      <c r="A18" s="145" t="s">
        <v>94</v>
      </c>
      <c r="B18" s="116">
        <v>20</v>
      </c>
      <c r="C18" s="116">
        <v>2790</v>
      </c>
      <c r="D18" s="187">
        <v>0.89271206690561522</v>
      </c>
      <c r="E18" s="188">
        <v>5.1690717208701274E-3</v>
      </c>
      <c r="F18" s="188">
        <v>6.0091905266878758E-3</v>
      </c>
      <c r="G18" s="188">
        <v>1.8132538246237201E-2</v>
      </c>
      <c r="H18" s="188">
        <v>0.70449678800856541</v>
      </c>
      <c r="I18" s="116">
        <v>20</v>
      </c>
      <c r="J18" s="116">
        <v>2790</v>
      </c>
      <c r="K18" s="187">
        <v>1.0281959378733572</v>
      </c>
      <c r="L18" s="188">
        <v>0</v>
      </c>
      <c r="M18" s="188">
        <v>2.849905003166561E-3</v>
      </c>
      <c r="N18" s="188">
        <v>1.7202017342897512E-2</v>
      </c>
      <c r="O18" s="188">
        <v>0.81094585173135036</v>
      </c>
      <c r="P18" s="116">
        <v>20</v>
      </c>
      <c r="Q18" s="116">
        <v>2790</v>
      </c>
      <c r="R18" s="187">
        <v>1.0455197132616487</v>
      </c>
      <c r="S18" s="188">
        <v>4.1389238797912547E-3</v>
      </c>
      <c r="T18" s="188">
        <v>8.7664370695053218E-3</v>
      </c>
      <c r="U18" s="188">
        <v>1.9439637090659878E-2</v>
      </c>
      <c r="V18" s="188">
        <v>0.75317106616386698</v>
      </c>
      <c r="W18" s="116">
        <v>20</v>
      </c>
      <c r="X18" s="116">
        <v>2790</v>
      </c>
      <c r="Y18" s="187">
        <v>1.0373626373626375</v>
      </c>
      <c r="Z18" s="188">
        <v>2.9542097488921715E-3</v>
      </c>
      <c r="AA18" s="188">
        <v>2.9220779220779222E-3</v>
      </c>
      <c r="AB18" s="188">
        <v>4.6816367867893539E-2</v>
      </c>
      <c r="AC18" s="188">
        <v>0.78177966101694918</v>
      </c>
    </row>
    <row r="19" spans="1:29" ht="15.95" customHeight="1" x14ac:dyDescent="0.25">
      <c r="A19" s="147" t="s">
        <v>112</v>
      </c>
      <c r="B19" s="116">
        <v>8</v>
      </c>
      <c r="C19" s="116">
        <v>1260</v>
      </c>
      <c r="D19" s="187">
        <v>0.803968253968254</v>
      </c>
      <c r="E19" s="188">
        <v>6.1845861084681257E-3</v>
      </c>
      <c r="F19" s="188">
        <v>8.5378868729989333E-3</v>
      </c>
      <c r="G19" s="188">
        <v>4.3800406530719295E-2</v>
      </c>
      <c r="H19" s="188">
        <v>0.94373149062191508</v>
      </c>
      <c r="I19" s="116">
        <v>8</v>
      </c>
      <c r="J19" s="116">
        <v>1260</v>
      </c>
      <c r="K19" s="187">
        <v>0.97222222222222221</v>
      </c>
      <c r="L19" s="188">
        <v>7.8431372549019605E-4</v>
      </c>
      <c r="M19" s="188">
        <v>0</v>
      </c>
      <c r="N19" s="188">
        <v>4.1272164284291216E-2</v>
      </c>
      <c r="O19" s="188">
        <v>0.82965986394557822</v>
      </c>
      <c r="P19" s="116">
        <v>8</v>
      </c>
      <c r="Q19" s="116">
        <v>1260</v>
      </c>
      <c r="R19" s="187">
        <v>1.0089947089947089</v>
      </c>
      <c r="S19" s="188">
        <v>7.8678206136900079E-3</v>
      </c>
      <c r="T19" s="188">
        <v>9.433962264150943E-3</v>
      </c>
      <c r="U19" s="188">
        <v>3.9014207608978134E-2</v>
      </c>
      <c r="V19" s="188">
        <v>0.80309386470896704</v>
      </c>
      <c r="W19" s="116">
        <v>7</v>
      </c>
      <c r="X19" s="116">
        <v>1140</v>
      </c>
      <c r="Y19" s="187">
        <v>0.9968390804597701</v>
      </c>
      <c r="Z19" s="188">
        <v>1.8018018018018018E-3</v>
      </c>
      <c r="AA19" s="188">
        <v>3.2025620496397116E-3</v>
      </c>
      <c r="AB19" s="188">
        <v>2.7781178111161573E-2</v>
      </c>
      <c r="AC19" s="188">
        <v>0.89161141539348521</v>
      </c>
    </row>
    <row r="20" spans="1:29" ht="15.95" customHeight="1" x14ac:dyDescent="0.25">
      <c r="A20" s="150" t="s">
        <v>7</v>
      </c>
      <c r="B20" s="116">
        <v>12</v>
      </c>
      <c r="C20" s="116">
        <v>1440</v>
      </c>
      <c r="D20" s="187">
        <v>0.97476851851851853</v>
      </c>
      <c r="E20" s="188">
        <v>2.5044722719141325E-3</v>
      </c>
      <c r="F20" s="188">
        <v>6.3559322033898309E-3</v>
      </c>
      <c r="G20" s="188">
        <v>9.269377112253277E-2</v>
      </c>
      <c r="H20" s="188">
        <v>0.74139159344573735</v>
      </c>
      <c r="I20" s="116">
        <v>12</v>
      </c>
      <c r="J20" s="116">
        <v>1440</v>
      </c>
      <c r="K20" s="187">
        <v>1.0269953051643192</v>
      </c>
      <c r="L20" s="188">
        <v>6.9492703266157052E-4</v>
      </c>
      <c r="M20" s="188">
        <v>0</v>
      </c>
      <c r="N20" s="188">
        <v>6.7569573147734305E-2</v>
      </c>
      <c r="O20" s="188">
        <v>0.81028571428571439</v>
      </c>
      <c r="P20" s="116">
        <v>12</v>
      </c>
      <c r="Q20" s="116">
        <v>1440</v>
      </c>
      <c r="R20" s="187">
        <v>1.0270833333333333</v>
      </c>
      <c r="S20" s="188">
        <v>2.7567195037904893E-3</v>
      </c>
      <c r="T20" s="188">
        <v>7.1661237785016286E-3</v>
      </c>
      <c r="U20" s="188">
        <v>6.6895526810191078E-2</v>
      </c>
      <c r="V20" s="188">
        <v>0.79490646833446033</v>
      </c>
      <c r="W20" s="116">
        <v>12</v>
      </c>
      <c r="X20" s="116">
        <v>1440</v>
      </c>
      <c r="Y20" s="187">
        <v>1.0142857142857142</v>
      </c>
      <c r="Z20" s="188">
        <v>1.0980966325036604E-3</v>
      </c>
      <c r="AA20" s="188">
        <v>7.1989528795811516E-3</v>
      </c>
      <c r="AB20" s="188">
        <v>1.7428497496080494E-2</v>
      </c>
      <c r="AC20" s="188">
        <v>0.75164319248826283</v>
      </c>
    </row>
    <row r="21" spans="1:29" ht="15.95" customHeight="1" x14ac:dyDescent="0.25">
      <c r="A21" s="151" t="s">
        <v>40</v>
      </c>
      <c r="B21" s="116">
        <v>19</v>
      </c>
      <c r="C21" s="116">
        <v>2820</v>
      </c>
      <c r="D21" s="187">
        <v>0.90709219858156032</v>
      </c>
      <c r="E21" s="188">
        <v>8.5345923370256042E-3</v>
      </c>
      <c r="F21" s="188">
        <v>1.6612828795569912E-2</v>
      </c>
      <c r="G21" s="188">
        <v>2.3685198970812178E-2</v>
      </c>
      <c r="H21" s="188">
        <v>0.85887412040656763</v>
      </c>
      <c r="I21" s="116">
        <v>19</v>
      </c>
      <c r="J21" s="116">
        <v>2760</v>
      </c>
      <c r="K21" s="187">
        <v>0.9692671394799055</v>
      </c>
      <c r="L21" s="188">
        <v>3.3664366268305E-4</v>
      </c>
      <c r="M21" s="188">
        <v>4.426737494466578E-3</v>
      </c>
      <c r="N21" s="188">
        <v>2.1513744523922546E-2</v>
      </c>
      <c r="O21" s="188">
        <v>0.90353658536585357</v>
      </c>
      <c r="P21" s="116">
        <v>19</v>
      </c>
      <c r="Q21" s="116">
        <v>2760</v>
      </c>
      <c r="R21" s="187">
        <v>1.0094724220623501</v>
      </c>
      <c r="S21" s="188">
        <v>2.1273114056619209E-3</v>
      </c>
      <c r="T21" s="188">
        <v>2.5996533795493936E-3</v>
      </c>
      <c r="U21" s="188">
        <v>2.5569585463703495E-2</v>
      </c>
      <c r="V21" s="188">
        <v>0.74664449459555771</v>
      </c>
      <c r="W21" s="116">
        <v>19</v>
      </c>
      <c r="X21" s="116">
        <v>2760</v>
      </c>
      <c r="Y21" s="187">
        <v>0.98357487922705311</v>
      </c>
      <c r="Z21" s="188">
        <v>2.2033898305084745E-3</v>
      </c>
      <c r="AA21" s="188">
        <v>3.1194295900178253E-3</v>
      </c>
      <c r="AB21" s="188">
        <v>3.0455041540600816E-2</v>
      </c>
      <c r="AC21" s="188">
        <v>0.7224950884086444</v>
      </c>
    </row>
    <row r="22" spans="1:29" ht="15.95" customHeight="1" x14ac:dyDescent="0.25">
      <c r="A22" s="146" t="s">
        <v>130</v>
      </c>
      <c r="B22" s="116">
        <v>31</v>
      </c>
      <c r="C22" s="116">
        <v>4470</v>
      </c>
      <c r="D22" s="187">
        <v>0.96040268456375844</v>
      </c>
      <c r="E22" s="188">
        <v>3.751905264392074E-3</v>
      </c>
      <c r="F22" s="188">
        <v>6.6666666666666671E-3</v>
      </c>
      <c r="G22" s="188">
        <v>3.9380576907650421E-2</v>
      </c>
      <c r="H22" s="188">
        <v>0.89183942852705955</v>
      </c>
      <c r="I22" s="116">
        <v>31</v>
      </c>
      <c r="J22" s="116">
        <v>4470</v>
      </c>
      <c r="K22" s="187">
        <v>1.0472035794183445</v>
      </c>
      <c r="L22" s="188">
        <v>3.2154340836012861E-3</v>
      </c>
      <c r="M22" s="188">
        <v>3.8192234245703373E-3</v>
      </c>
      <c r="N22" s="188">
        <v>4.5138580244473932E-2</v>
      </c>
      <c r="O22" s="188">
        <v>0.93427330342519399</v>
      </c>
      <c r="P22" s="116">
        <v>32</v>
      </c>
      <c r="Q22" s="116">
        <v>4650</v>
      </c>
      <c r="R22" s="187">
        <v>1.0216487455197134</v>
      </c>
      <c r="S22" s="188">
        <v>3.3126736482154305E-3</v>
      </c>
      <c r="T22" s="188">
        <v>6.1299550469963221E-3</v>
      </c>
      <c r="U22" s="188">
        <v>2.7458985142575634E-2</v>
      </c>
      <c r="V22" s="188">
        <v>0.86514173449340437</v>
      </c>
      <c r="W22" s="116">
        <v>33</v>
      </c>
      <c r="X22" s="116">
        <v>4770</v>
      </c>
      <c r="Y22" s="187">
        <v>1.0279138827023013</v>
      </c>
      <c r="Z22" s="188">
        <v>5.8248159138366857E-3</v>
      </c>
      <c r="AA22" s="188">
        <v>1.0532968190436065E-2</v>
      </c>
      <c r="AB22" s="188">
        <v>2.8296982708348156E-2</v>
      </c>
      <c r="AC22" s="188">
        <v>0.81417015744619392</v>
      </c>
    </row>
    <row r="23" spans="1:29" ht="15.95" customHeight="1" x14ac:dyDescent="0.25">
      <c r="A23" s="145" t="s">
        <v>67</v>
      </c>
      <c r="B23" s="116">
        <v>11</v>
      </c>
      <c r="C23" s="116">
        <v>1860</v>
      </c>
      <c r="D23" s="187">
        <v>0.92921146953405009</v>
      </c>
      <c r="E23" s="188">
        <v>5.8088875980249783E-4</v>
      </c>
      <c r="F23" s="188">
        <v>1.148105625717566E-3</v>
      </c>
      <c r="G23" s="188">
        <v>2.44227227652642E-2</v>
      </c>
      <c r="H23" s="188">
        <v>0.7891996142719383</v>
      </c>
      <c r="I23" s="116">
        <v>11</v>
      </c>
      <c r="J23" s="116">
        <v>1860</v>
      </c>
      <c r="K23" s="187">
        <v>1.0130824372759857</v>
      </c>
      <c r="L23" s="188">
        <v>2.1875854525567405E-3</v>
      </c>
      <c r="M23" s="188">
        <v>1.002004008016032E-3</v>
      </c>
      <c r="N23" s="188">
        <v>2.4620434851883945E-2</v>
      </c>
      <c r="O23" s="188">
        <v>0.79816026888377856</v>
      </c>
      <c r="P23" s="116">
        <v>11</v>
      </c>
      <c r="Q23" s="116">
        <v>1860</v>
      </c>
      <c r="R23" s="187">
        <v>1.0412186379928317</v>
      </c>
      <c r="S23" s="188">
        <v>1.049042748492001E-3</v>
      </c>
      <c r="T23" s="188">
        <v>1.00150225338007E-3</v>
      </c>
      <c r="U23" s="188">
        <v>2.5890542935288304E-2</v>
      </c>
      <c r="V23" s="188">
        <v>0.82392426850258171</v>
      </c>
      <c r="W23" s="116">
        <v>11</v>
      </c>
      <c r="X23" s="116">
        <v>1860</v>
      </c>
      <c r="Y23" s="187">
        <v>1.0557347670250896</v>
      </c>
      <c r="Z23" s="188">
        <v>0</v>
      </c>
      <c r="AA23" s="188">
        <v>4.7755491881566379E-4</v>
      </c>
      <c r="AB23" s="188">
        <v>2.8976428162940489E-2</v>
      </c>
      <c r="AC23" s="188">
        <v>0.88643693770157872</v>
      </c>
    </row>
    <row r="24" spans="1:29" ht="15.95" customHeight="1" x14ac:dyDescent="0.25">
      <c r="A24" s="146" t="s">
        <v>133</v>
      </c>
      <c r="B24" s="116">
        <v>16</v>
      </c>
      <c r="C24" s="116">
        <v>2100</v>
      </c>
      <c r="D24" s="187">
        <v>0.99326923076923079</v>
      </c>
      <c r="E24" s="188">
        <v>1.2879958784131891E-3</v>
      </c>
      <c r="F24" s="188">
        <v>3.0224525043177895E-3</v>
      </c>
      <c r="G24" s="188">
        <v>2.0285606827267193E-2</v>
      </c>
      <c r="H24" s="188">
        <v>0.7808970635688931</v>
      </c>
      <c r="I24" s="116">
        <v>16</v>
      </c>
      <c r="J24" s="116">
        <v>2100</v>
      </c>
      <c r="K24" s="187">
        <v>1.083968253968254</v>
      </c>
      <c r="L24" s="188">
        <v>2.3441162681669012E-4</v>
      </c>
      <c r="M24" s="188">
        <v>1.9508388607101053E-3</v>
      </c>
      <c r="N24" s="188">
        <v>1.913160294659938E-2</v>
      </c>
      <c r="O24" s="188">
        <v>0.81388197393469031</v>
      </c>
      <c r="P24" s="116">
        <v>15</v>
      </c>
      <c r="Q24" s="116">
        <v>1980</v>
      </c>
      <c r="R24" s="187">
        <v>1.0932343234323434</v>
      </c>
      <c r="S24" s="188">
        <v>1.7834394904458599E-3</v>
      </c>
      <c r="T24" s="188">
        <v>4.8148148148148152E-3</v>
      </c>
      <c r="U24" s="188">
        <v>2.6978762568705794E-2</v>
      </c>
      <c r="V24" s="188">
        <v>0.78083018867924514</v>
      </c>
      <c r="W24" s="116">
        <v>15</v>
      </c>
      <c r="X24" s="116">
        <v>1980</v>
      </c>
      <c r="Y24" s="187">
        <v>1.0803030303030303</v>
      </c>
      <c r="Z24" s="188">
        <v>1.321003963011889E-3</v>
      </c>
      <c r="AA24" s="188">
        <v>7.5987841945288754E-4</v>
      </c>
      <c r="AB24" s="188">
        <v>2.8903194967717549E-2</v>
      </c>
      <c r="AC24" s="188">
        <v>0.75751908991740691</v>
      </c>
    </row>
    <row r="25" spans="1:29" ht="15.95" customHeight="1" x14ac:dyDescent="0.25">
      <c r="A25" s="145" t="s">
        <v>74</v>
      </c>
      <c r="B25" s="116">
        <v>13</v>
      </c>
      <c r="C25" s="116">
        <v>2040</v>
      </c>
      <c r="D25" s="187">
        <v>0.90156250000000004</v>
      </c>
      <c r="E25" s="188">
        <v>1.2870733072188025E-2</v>
      </c>
      <c r="F25" s="188">
        <v>2.3471278567016678E-2</v>
      </c>
      <c r="G25" s="188">
        <v>8.3737927891609568E-3</v>
      </c>
      <c r="H25" s="188">
        <v>0.79395339880608506</v>
      </c>
      <c r="I25" s="116">
        <v>12</v>
      </c>
      <c r="J25" s="116">
        <v>1920</v>
      </c>
      <c r="K25" s="187">
        <v>0.94062500000000004</v>
      </c>
      <c r="L25" s="188">
        <v>1.2873326467559218E-3</v>
      </c>
      <c r="M25" s="188">
        <v>4.5632333767926985E-3</v>
      </c>
      <c r="N25" s="188">
        <v>9.062322518486968E-3</v>
      </c>
      <c r="O25" s="188">
        <v>0.94979697305278699</v>
      </c>
      <c r="P25" s="116">
        <v>12</v>
      </c>
      <c r="Q25" s="116">
        <v>1920</v>
      </c>
      <c r="R25" s="187">
        <v>0.9916666666666667</v>
      </c>
      <c r="S25" s="188">
        <v>9.2662158777861263E-3</v>
      </c>
      <c r="T25" s="188">
        <v>1.5706806282722512E-2</v>
      </c>
      <c r="U25" s="188">
        <v>1.192885568723572E-2</v>
      </c>
      <c r="V25" s="188">
        <v>0.88532913165266114</v>
      </c>
      <c r="W25" s="116">
        <v>12</v>
      </c>
      <c r="X25" s="116">
        <v>1920</v>
      </c>
      <c r="Y25" s="187">
        <v>1.1067375886524822</v>
      </c>
      <c r="Z25" s="188">
        <v>1.2987012987012988E-2</v>
      </c>
      <c r="AA25" s="188">
        <v>1.5650296815974095E-2</v>
      </c>
      <c r="AB25" s="188">
        <v>1.2964859428388339E-2</v>
      </c>
      <c r="AC25" s="188">
        <v>0.86030118551746237</v>
      </c>
    </row>
    <row r="26" spans="1:29" ht="15.95" customHeight="1" x14ac:dyDescent="0.25">
      <c r="A26" s="145" t="s">
        <v>26</v>
      </c>
      <c r="B26" s="116">
        <v>14</v>
      </c>
      <c r="C26" s="116">
        <v>1560</v>
      </c>
      <c r="D26" s="187">
        <v>0.90555555555555556</v>
      </c>
      <c r="E26" s="188">
        <v>5.268703898840885E-3</v>
      </c>
      <c r="F26" s="188">
        <v>1.3659237958303379E-2</v>
      </c>
      <c r="G26" s="188">
        <v>1.4888173745732553E-2</v>
      </c>
      <c r="H26" s="188">
        <v>1</v>
      </c>
      <c r="I26" s="116">
        <v>14</v>
      </c>
      <c r="J26" s="116">
        <v>1560</v>
      </c>
      <c r="K26" s="187">
        <v>0.98525641025641031</v>
      </c>
      <c r="L26" s="188">
        <v>2.5526483726866626E-3</v>
      </c>
      <c r="M26" s="188">
        <v>8.8016249153689916E-3</v>
      </c>
      <c r="N26" s="188">
        <v>3.4848561903250218E-2</v>
      </c>
      <c r="O26" s="188">
        <v>0.87681630882671879</v>
      </c>
      <c r="P26" s="116">
        <v>14</v>
      </c>
      <c r="Q26" s="116">
        <v>1560</v>
      </c>
      <c r="R26" s="187">
        <v>1.0006410256410256</v>
      </c>
      <c r="S26" s="188">
        <v>2.2898266274124961E-3</v>
      </c>
      <c r="T26" s="188">
        <v>6.1500615006150061E-3</v>
      </c>
      <c r="U26" s="188">
        <v>1.4919121375005846E-2</v>
      </c>
      <c r="V26" s="188">
        <v>0.71812940422805893</v>
      </c>
      <c r="W26" s="116">
        <v>16</v>
      </c>
      <c r="X26" s="116">
        <v>1830</v>
      </c>
      <c r="Y26" s="187">
        <v>1.02</v>
      </c>
      <c r="Z26" s="188">
        <v>2.861685214626391E-3</v>
      </c>
      <c r="AA26" s="188">
        <v>4.5688178183894918E-3</v>
      </c>
      <c r="AB26" s="188">
        <v>1.6528146781272294E-2</v>
      </c>
      <c r="AC26" s="188">
        <v>0.63459967320261446</v>
      </c>
    </row>
    <row r="27" spans="1:29" ht="15.95" customHeight="1" x14ac:dyDescent="0.25">
      <c r="A27" s="146" t="s">
        <v>47</v>
      </c>
      <c r="B27" s="116">
        <v>7</v>
      </c>
      <c r="C27" s="116">
        <v>870</v>
      </c>
      <c r="D27" s="187">
        <v>0.95019157088122597</v>
      </c>
      <c r="E27" s="188">
        <v>1.2180267965895249E-3</v>
      </c>
      <c r="F27" s="188">
        <v>0</v>
      </c>
      <c r="G27" s="188">
        <v>6.447975691093423E-2</v>
      </c>
      <c r="H27" s="188">
        <v>0.89193548387096788</v>
      </c>
      <c r="I27" s="116">
        <v>7</v>
      </c>
      <c r="J27" s="116">
        <v>870</v>
      </c>
      <c r="K27" s="187">
        <v>0.99386973180076621</v>
      </c>
      <c r="L27" s="188">
        <v>0</v>
      </c>
      <c r="M27" s="188">
        <v>0</v>
      </c>
      <c r="N27" s="188">
        <v>6.970926301555104E-2</v>
      </c>
      <c r="O27" s="188">
        <v>0.87201233616037011</v>
      </c>
      <c r="P27" s="116">
        <v>7</v>
      </c>
      <c r="Q27" s="116">
        <v>870</v>
      </c>
      <c r="R27" s="187">
        <v>0.99272030651340992</v>
      </c>
      <c r="S27" s="188">
        <v>3.0120481927710845E-3</v>
      </c>
      <c r="T27" s="188">
        <v>4.296455424274973E-3</v>
      </c>
      <c r="U27" s="188">
        <v>7.2055662129655015E-2</v>
      </c>
      <c r="V27" s="188">
        <v>0.94789656503280584</v>
      </c>
      <c r="W27" s="116">
        <v>7</v>
      </c>
      <c r="X27" s="116">
        <v>870</v>
      </c>
      <c r="Y27" s="187">
        <v>0.99833333333333329</v>
      </c>
      <c r="Z27" s="188">
        <v>6.4808813998703824E-4</v>
      </c>
      <c r="AA27" s="188">
        <v>0</v>
      </c>
      <c r="AB27" s="188">
        <v>6.9109674679777106E-2</v>
      </c>
      <c r="AC27" s="188">
        <v>0.83764607679465786</v>
      </c>
    </row>
    <row r="28" spans="1:29" ht="15.95" customHeight="1" x14ac:dyDescent="0.25">
      <c r="A28" s="148" t="s">
        <v>29</v>
      </c>
      <c r="B28" s="116">
        <v>14</v>
      </c>
      <c r="C28" s="116">
        <v>1980</v>
      </c>
      <c r="D28" s="187">
        <v>0.99023569023569025</v>
      </c>
      <c r="E28" s="188">
        <v>2.7359781121751026E-3</v>
      </c>
      <c r="F28" s="188">
        <v>6.6844919786096255E-3</v>
      </c>
      <c r="G28" s="188">
        <v>3.5061215497434933E-2</v>
      </c>
      <c r="H28" s="188">
        <v>0.68395103706222371</v>
      </c>
      <c r="I28" s="116">
        <v>14</v>
      </c>
      <c r="J28" s="116">
        <v>1980</v>
      </c>
      <c r="K28" s="187">
        <v>1.0249158249158248</v>
      </c>
      <c r="L28" s="188">
        <v>3.8522547020167688E-3</v>
      </c>
      <c r="M28" s="188">
        <v>1.1940298507462687E-3</v>
      </c>
      <c r="N28" s="188">
        <v>3.8123260954939509E-2</v>
      </c>
      <c r="O28" s="188">
        <v>0.85085413929040743</v>
      </c>
      <c r="P28" s="116">
        <v>14</v>
      </c>
      <c r="Q28" s="116">
        <v>1980</v>
      </c>
      <c r="R28" s="187">
        <v>1.0303030303030303</v>
      </c>
      <c r="S28" s="188">
        <v>6.9767441860465117E-4</v>
      </c>
      <c r="T28" s="188">
        <v>4.3956043956043956E-3</v>
      </c>
      <c r="U28" s="188">
        <v>4.0915753491596991E-2</v>
      </c>
      <c r="V28" s="188">
        <v>0.77320261437908488</v>
      </c>
      <c r="W28" s="116">
        <v>13</v>
      </c>
      <c r="X28" s="116">
        <v>1860</v>
      </c>
      <c r="Y28" s="187">
        <v>1.0202508960573478</v>
      </c>
      <c r="Z28" s="188">
        <v>1.4899428855227217E-3</v>
      </c>
      <c r="AA28" s="188">
        <v>7.8031212484993995E-3</v>
      </c>
      <c r="AB28" s="188">
        <v>4.7559151169611569E-2</v>
      </c>
      <c r="AC28" s="188">
        <v>0.79272791147022648</v>
      </c>
    </row>
    <row r="29" spans="1:29" ht="15.95" customHeight="1" x14ac:dyDescent="0.25">
      <c r="A29" s="145" t="s">
        <v>10</v>
      </c>
      <c r="B29" s="116">
        <v>4</v>
      </c>
      <c r="C29" s="116">
        <v>420</v>
      </c>
      <c r="D29" s="187">
        <v>0.6253968253968254</v>
      </c>
      <c r="E29" s="188">
        <v>1.0849909584086799E-2</v>
      </c>
      <c r="F29" s="188">
        <v>1.7021276595744681E-2</v>
      </c>
      <c r="G29" s="188">
        <v>1.2121657361151925E-2</v>
      </c>
      <c r="H29" s="188">
        <v>1</v>
      </c>
      <c r="I29" s="116">
        <v>4</v>
      </c>
      <c r="J29" s="116">
        <v>420</v>
      </c>
      <c r="K29" s="187">
        <v>0.85079365079365077</v>
      </c>
      <c r="L29" s="188">
        <v>1.375515818431912E-3</v>
      </c>
      <c r="M29" s="188">
        <v>2.8985507246376812E-3</v>
      </c>
      <c r="N29" s="188">
        <v>1.106962481962482E-2</v>
      </c>
      <c r="O29" s="188">
        <v>0.74626865671641796</v>
      </c>
      <c r="P29" s="116">
        <v>4</v>
      </c>
      <c r="Q29" s="116">
        <v>420</v>
      </c>
      <c r="R29" s="187">
        <v>0.87142857142857144</v>
      </c>
      <c r="S29" s="188">
        <v>5.3050397877984082E-3</v>
      </c>
      <c r="T29" s="188">
        <v>8.7209302325581394E-3</v>
      </c>
      <c r="U29" s="188">
        <v>1.0735933641692804E-2</v>
      </c>
      <c r="V29" s="188">
        <v>0.58561020036429878</v>
      </c>
      <c r="W29" s="116">
        <v>4</v>
      </c>
      <c r="X29" s="116">
        <v>420</v>
      </c>
      <c r="Y29" s="187">
        <v>0.90793650793650793</v>
      </c>
      <c r="Z29" s="188">
        <v>1.6109045848822799E-2</v>
      </c>
      <c r="AA29" s="188">
        <v>2.0771513353115726E-2</v>
      </c>
      <c r="AB29" s="188">
        <v>1.3719424624233317E-2</v>
      </c>
      <c r="AC29" s="188">
        <v>0.53758741258741261</v>
      </c>
    </row>
    <row r="30" spans="1:29" ht="15.95" customHeight="1" x14ac:dyDescent="0.25">
      <c r="A30" s="146" t="s">
        <v>136</v>
      </c>
      <c r="B30" s="116">
        <v>11</v>
      </c>
      <c r="C30" s="116">
        <v>1080</v>
      </c>
      <c r="D30" s="187">
        <v>0.93518518518518523</v>
      </c>
      <c r="E30" s="188">
        <v>1.9011406844106464E-3</v>
      </c>
      <c r="F30" s="188">
        <v>3.2397408207343412E-3</v>
      </c>
      <c r="G30" s="188">
        <v>1.8266957628659757E-2</v>
      </c>
      <c r="H30" s="188">
        <v>0.9564356435643564</v>
      </c>
      <c r="I30" s="116">
        <v>11</v>
      </c>
      <c r="J30" s="116">
        <v>1080</v>
      </c>
      <c r="K30" s="187">
        <v>1.0228395061728395</v>
      </c>
      <c r="L30" s="188">
        <v>8.6318515321536469E-4</v>
      </c>
      <c r="M30" s="188">
        <v>0</v>
      </c>
      <c r="N30" s="188">
        <v>1.5818272192900242E-2</v>
      </c>
      <c r="O30" s="188">
        <v>1</v>
      </c>
      <c r="P30" s="116">
        <v>11</v>
      </c>
      <c r="Q30" s="116">
        <v>1080</v>
      </c>
      <c r="R30" s="187">
        <v>1.0163580246913582</v>
      </c>
      <c r="S30" s="188">
        <v>1.3094718463553033E-3</v>
      </c>
      <c r="T30" s="188">
        <v>9.9800399201596798E-4</v>
      </c>
      <c r="U30" s="188">
        <v>1.6438418330827039E-2</v>
      </c>
      <c r="V30" s="188">
        <v>1</v>
      </c>
      <c r="W30" s="116">
        <v>11</v>
      </c>
      <c r="X30" s="116">
        <v>1080</v>
      </c>
      <c r="Y30" s="187">
        <v>1.0243589743589743</v>
      </c>
      <c r="Z30" s="188">
        <v>1.8026137899954935E-3</v>
      </c>
      <c r="AA30" s="188">
        <v>1.0235414534288639E-3</v>
      </c>
      <c r="AB30" s="188">
        <v>1.789334048940814E-2</v>
      </c>
      <c r="AC30" s="188">
        <v>1</v>
      </c>
    </row>
    <row r="31" spans="1:29" ht="15.95" customHeight="1" x14ac:dyDescent="0.25">
      <c r="A31" s="145" t="s">
        <v>99</v>
      </c>
      <c r="B31" s="116">
        <v>32</v>
      </c>
      <c r="C31" s="116">
        <v>4680</v>
      </c>
      <c r="D31" s="187">
        <v>0.99743589743589745</v>
      </c>
      <c r="E31" s="188">
        <v>1.9766957969205162E-3</v>
      </c>
      <c r="F31" s="188">
        <v>7.2859744990892532E-3</v>
      </c>
      <c r="G31" s="188">
        <v>2.671362458270235E-2</v>
      </c>
      <c r="H31" s="188">
        <v>0.7542130819765781</v>
      </c>
      <c r="I31" s="116">
        <v>32</v>
      </c>
      <c r="J31" s="116">
        <v>4680</v>
      </c>
      <c r="K31" s="187">
        <v>1.0503591954022988</v>
      </c>
      <c r="L31" s="188">
        <v>1.2195121951219512E-3</v>
      </c>
      <c r="M31" s="188">
        <v>2.719096423342397E-3</v>
      </c>
      <c r="N31" s="188">
        <v>2.9882959517970171E-2</v>
      </c>
      <c r="O31" s="188">
        <v>0.8181382942343205</v>
      </c>
      <c r="P31" s="116">
        <v>32</v>
      </c>
      <c r="Q31" s="116">
        <v>4680</v>
      </c>
      <c r="R31" s="187">
        <v>1.0549857549857549</v>
      </c>
      <c r="S31" s="188">
        <v>1.7469941424314048E-3</v>
      </c>
      <c r="T31" s="188">
        <v>3.1489864199960639E-3</v>
      </c>
      <c r="U31" s="188">
        <v>2.9410845420716706E-2</v>
      </c>
      <c r="V31" s="188">
        <v>0.82196867404806917</v>
      </c>
      <c r="W31" s="116">
        <v>32</v>
      </c>
      <c r="X31" s="116">
        <v>4680</v>
      </c>
      <c r="Y31" s="187">
        <v>1.0593093093093093</v>
      </c>
      <c r="Z31" s="188">
        <v>2.9867256637168141E-3</v>
      </c>
      <c r="AA31" s="188">
        <v>4.7337278106508876E-3</v>
      </c>
      <c r="AB31" s="188">
        <v>2.9178500439634106E-2</v>
      </c>
      <c r="AC31" s="188">
        <v>0.76378454996456424</v>
      </c>
    </row>
    <row r="32" spans="1:29" ht="15.95" customHeight="1" x14ac:dyDescent="0.25">
      <c r="A32" s="145" t="s">
        <v>103</v>
      </c>
      <c r="B32" s="116">
        <v>16</v>
      </c>
      <c r="C32" s="116">
        <v>3030</v>
      </c>
      <c r="D32" s="187">
        <v>0.94024943310657605</v>
      </c>
      <c r="E32" s="188">
        <v>5.5340343110127279E-4</v>
      </c>
      <c r="F32" s="188">
        <v>2.7855153203342618E-3</v>
      </c>
      <c r="G32" s="188">
        <v>2.8146314241009128E-2</v>
      </c>
      <c r="H32" s="188">
        <v>0.73387194019052215</v>
      </c>
      <c r="I32" s="116">
        <v>16</v>
      </c>
      <c r="J32" s="116">
        <v>3030</v>
      </c>
      <c r="K32" s="187">
        <v>1.0553287981859409</v>
      </c>
      <c r="L32" s="188">
        <v>1.4553686934023287E-3</v>
      </c>
      <c r="M32" s="188">
        <v>2.8809218950064022E-3</v>
      </c>
      <c r="N32" s="188">
        <v>7.8810548926751267E-2</v>
      </c>
      <c r="O32" s="188">
        <v>0.77589170605930391</v>
      </c>
      <c r="P32" s="116">
        <v>16</v>
      </c>
      <c r="Q32" s="116">
        <v>3030</v>
      </c>
      <c r="R32" s="187">
        <v>1.0129139072847682</v>
      </c>
      <c r="S32" s="188">
        <v>3.1984647369262755E-3</v>
      </c>
      <c r="T32" s="188">
        <v>3.4199726402188782E-3</v>
      </c>
      <c r="U32" s="188">
        <v>3.3456359369915374E-2</v>
      </c>
      <c r="V32" s="188">
        <v>0.7693145908248884</v>
      </c>
      <c r="W32" s="116">
        <v>16</v>
      </c>
      <c r="X32" s="116">
        <v>3030</v>
      </c>
      <c r="Y32" s="187">
        <v>1.0056306306306306</v>
      </c>
      <c r="Z32" s="188">
        <v>4.5344129554655867E-3</v>
      </c>
      <c r="AA32" s="188">
        <v>1.1978221415607986E-2</v>
      </c>
      <c r="AB32" s="188">
        <v>3.2328070947662116E-2</v>
      </c>
      <c r="AC32" s="188">
        <v>0.72754759238521838</v>
      </c>
    </row>
    <row r="33" spans="1:29" ht="15.95" customHeight="1" x14ac:dyDescent="0.25">
      <c r="A33" s="149" t="s">
        <v>147</v>
      </c>
      <c r="B33" s="116">
        <v>19</v>
      </c>
      <c r="C33" s="116">
        <v>2280</v>
      </c>
      <c r="D33" s="187">
        <v>0.89327485380116967</v>
      </c>
      <c r="E33" s="188">
        <v>2.1639817263765329E-3</v>
      </c>
      <c r="F33" s="188">
        <v>5.6381342901076371E-3</v>
      </c>
      <c r="G33" s="188">
        <v>3.186589964951423E-2</v>
      </c>
      <c r="H33" s="188">
        <v>0.90458265139116201</v>
      </c>
      <c r="I33" s="116">
        <v>19</v>
      </c>
      <c r="J33" s="116">
        <v>2280</v>
      </c>
      <c r="K33" s="187">
        <v>0.98596491228070171</v>
      </c>
      <c r="L33" s="188">
        <v>1.7271157167530224E-3</v>
      </c>
      <c r="M33" s="188">
        <v>2.3674242424242425E-3</v>
      </c>
      <c r="N33" s="188">
        <v>5.021718887861016E-2</v>
      </c>
      <c r="O33" s="188">
        <v>1</v>
      </c>
      <c r="P33" s="116">
        <v>19</v>
      </c>
      <c r="Q33" s="116">
        <v>2280</v>
      </c>
      <c r="R33" s="187">
        <v>1.0002923976608187</v>
      </c>
      <c r="S33" s="188">
        <v>4.1896361631753032E-3</v>
      </c>
      <c r="T33" s="188">
        <v>4.7680970957954052E-3</v>
      </c>
      <c r="U33" s="188">
        <v>3.8730234424674527E-2</v>
      </c>
      <c r="V33" s="188">
        <v>0.90792166033323585</v>
      </c>
      <c r="W33" s="116">
        <v>19</v>
      </c>
      <c r="X33" s="116">
        <v>2280</v>
      </c>
      <c r="Y33" s="187">
        <v>1.0025073746312683</v>
      </c>
      <c r="Z33" s="188">
        <v>2.2271714922048997E-3</v>
      </c>
      <c r="AA33" s="188">
        <v>3.4677069787602947E-3</v>
      </c>
      <c r="AB33" s="188">
        <v>4.039759727186374E-2</v>
      </c>
      <c r="AC33" s="188">
        <v>0.94983080770928352</v>
      </c>
    </row>
    <row r="34" spans="1:29" ht="15.95" customHeight="1" x14ac:dyDescent="0.25">
      <c r="A34" s="146" t="s">
        <v>53</v>
      </c>
      <c r="B34" s="116">
        <v>13</v>
      </c>
      <c r="C34" s="116">
        <v>2640</v>
      </c>
      <c r="D34" s="187">
        <v>0.94772727272727275</v>
      </c>
      <c r="E34" s="188">
        <v>3.6730945821854911E-4</v>
      </c>
      <c r="F34" s="188">
        <v>3.3964095099466279E-3</v>
      </c>
      <c r="G34" s="188">
        <v>2.6506257141057823E-2</v>
      </c>
      <c r="H34" s="188">
        <v>0.90847322142286169</v>
      </c>
      <c r="I34" s="116">
        <v>13</v>
      </c>
      <c r="J34" s="116">
        <v>2640</v>
      </c>
      <c r="K34" s="187">
        <v>1.0121212121212122</v>
      </c>
      <c r="L34" s="188">
        <v>2.1004726063364259E-3</v>
      </c>
      <c r="M34" s="188">
        <v>2.1710811984368217E-3</v>
      </c>
      <c r="N34" s="188">
        <v>2.5377609209806796E-2</v>
      </c>
      <c r="O34" s="188">
        <v>1</v>
      </c>
      <c r="P34" s="116">
        <v>13</v>
      </c>
      <c r="Q34" s="116">
        <v>2640</v>
      </c>
      <c r="R34" s="187">
        <v>1.0251262626262627</v>
      </c>
      <c r="S34" s="188">
        <v>1.2468827930174563E-3</v>
      </c>
      <c r="T34" s="188">
        <v>4.7904191616766467E-3</v>
      </c>
      <c r="U34" s="188">
        <v>2.9196220636758651E-2</v>
      </c>
      <c r="V34" s="188">
        <v>1</v>
      </c>
      <c r="W34" s="116">
        <v>13</v>
      </c>
      <c r="X34" s="116">
        <v>2640</v>
      </c>
      <c r="Y34" s="187">
        <v>1.0238636363636364</v>
      </c>
      <c r="Z34" s="188">
        <v>1.2955765315565426E-3</v>
      </c>
      <c r="AA34" s="188">
        <v>7.3909830007390983E-4</v>
      </c>
      <c r="AB34" s="188">
        <v>3.3532613343293986E-2</v>
      </c>
      <c r="AC34" s="188">
        <v>1</v>
      </c>
    </row>
    <row r="35" spans="1:29" ht="15.95" customHeight="1" x14ac:dyDescent="0.25">
      <c r="A35" s="145" t="s">
        <v>14</v>
      </c>
      <c r="B35" s="116">
        <v>17</v>
      </c>
      <c r="C35" s="116">
        <v>3000</v>
      </c>
      <c r="D35" s="187">
        <v>0.90622222222222215</v>
      </c>
      <c r="E35" s="188">
        <v>2.7777777777777779E-3</v>
      </c>
      <c r="F35" s="188">
        <v>9.0909090909090905E-3</v>
      </c>
      <c r="G35" s="188">
        <v>4.6728971962616819E-3</v>
      </c>
      <c r="H35" s="188">
        <v>0.99166257969592941</v>
      </c>
      <c r="I35" s="116">
        <v>18</v>
      </c>
      <c r="J35" s="116">
        <v>3120</v>
      </c>
      <c r="K35" s="187">
        <v>0.94923245614035079</v>
      </c>
      <c r="L35" s="188">
        <v>0</v>
      </c>
      <c r="M35" s="188">
        <v>0</v>
      </c>
      <c r="N35" s="188">
        <v>4.5455171563149E-3</v>
      </c>
      <c r="O35" s="188">
        <v>1</v>
      </c>
      <c r="P35" s="116">
        <v>18</v>
      </c>
      <c r="Q35" s="116">
        <v>3120</v>
      </c>
      <c r="R35" s="187">
        <v>0.96143162393162385</v>
      </c>
      <c r="S35" s="188">
        <v>0</v>
      </c>
      <c r="T35" s="188">
        <v>2.3696682464454978E-3</v>
      </c>
      <c r="U35" s="188">
        <v>2.0476408565017621E-2</v>
      </c>
      <c r="V35" s="188">
        <v>1</v>
      </c>
      <c r="W35" s="116">
        <v>18</v>
      </c>
      <c r="X35" s="116">
        <v>3120</v>
      </c>
      <c r="Y35" s="187">
        <v>0.97171052631578947</v>
      </c>
      <c r="Z35" s="188">
        <v>8.1766148814390845E-4</v>
      </c>
      <c r="AA35" s="188">
        <v>1.0548523206751054E-2</v>
      </c>
      <c r="AB35" s="188">
        <v>1.0949195731804426E-2</v>
      </c>
      <c r="AC35" s="188">
        <v>1</v>
      </c>
    </row>
    <row r="36" spans="1:29" ht="15.95" customHeight="1" x14ac:dyDescent="0.25">
      <c r="A36" s="146" t="s">
        <v>114</v>
      </c>
      <c r="B36" s="116">
        <v>3</v>
      </c>
      <c r="C36" s="116">
        <v>570</v>
      </c>
      <c r="D36" s="187">
        <v>0.61403508771929827</v>
      </c>
      <c r="E36" s="188">
        <v>3.667481662591687E-3</v>
      </c>
      <c r="F36" s="188">
        <v>3.7037037037037038E-3</v>
      </c>
      <c r="G36" s="188">
        <v>2.2878535946409928E-2</v>
      </c>
      <c r="H36" s="188">
        <v>1</v>
      </c>
      <c r="I36" s="116">
        <v>3</v>
      </c>
      <c r="J36" s="116">
        <v>570</v>
      </c>
      <c r="K36" s="187">
        <v>0.74035087719298243</v>
      </c>
      <c r="L36" s="188">
        <v>2.6981450252951096E-3</v>
      </c>
      <c r="M36" s="188">
        <v>3.6670333700036671E-3</v>
      </c>
      <c r="N36" s="188">
        <v>2.2319096182942616E-2</v>
      </c>
      <c r="O36" s="188">
        <v>0.90600315955766186</v>
      </c>
      <c r="P36" s="116">
        <v>3</v>
      </c>
      <c r="Q36" s="116">
        <v>570</v>
      </c>
      <c r="R36" s="187">
        <v>0.83333333333333337</v>
      </c>
      <c r="S36" s="188">
        <v>8.1980652565994425E-4</v>
      </c>
      <c r="T36" s="188">
        <v>1.7241379310344827E-3</v>
      </c>
      <c r="U36" s="188">
        <v>2.6501557818202418E-2</v>
      </c>
      <c r="V36" s="188">
        <v>0.74526315789473685</v>
      </c>
      <c r="W36" s="116">
        <v>3</v>
      </c>
      <c r="X36" s="116">
        <v>570</v>
      </c>
      <c r="Y36" s="187">
        <v>0.99239766081871339</v>
      </c>
      <c r="Z36" s="188">
        <v>5.0795800880460546E-4</v>
      </c>
      <c r="AA36" s="188">
        <v>3.0446549391069011E-3</v>
      </c>
      <c r="AB36" s="188">
        <v>2.8671346988619621E-2</v>
      </c>
      <c r="AC36" s="188">
        <v>0.88332351208014148</v>
      </c>
    </row>
    <row r="37" spans="1:29" ht="15.95" customHeight="1" x14ac:dyDescent="0.25">
      <c r="A37" s="145" t="s">
        <v>148</v>
      </c>
      <c r="B37" s="116">
        <v>10</v>
      </c>
      <c r="C37" s="116">
        <v>1110</v>
      </c>
      <c r="D37" s="187">
        <v>0.90990990990990994</v>
      </c>
      <c r="E37" s="188">
        <v>2.3707918444760552E-3</v>
      </c>
      <c r="F37" s="188">
        <v>4.3431053203040176E-3</v>
      </c>
      <c r="G37" s="188">
        <v>4.6107224786881534E-2</v>
      </c>
      <c r="H37" s="188">
        <v>0.93894389438943893</v>
      </c>
      <c r="I37" s="116">
        <v>10</v>
      </c>
      <c r="J37" s="116">
        <v>1110</v>
      </c>
      <c r="K37" s="187">
        <v>0.91351351351351351</v>
      </c>
      <c r="L37" s="188">
        <v>1.3992537313432835E-3</v>
      </c>
      <c r="M37" s="188">
        <v>0</v>
      </c>
      <c r="N37" s="188">
        <v>4.5573592710685416E-2</v>
      </c>
      <c r="O37" s="188">
        <v>1</v>
      </c>
      <c r="P37" s="116">
        <v>10</v>
      </c>
      <c r="Q37" s="116">
        <v>1110</v>
      </c>
      <c r="R37" s="187">
        <v>0.96486486486486489</v>
      </c>
      <c r="S37" s="188">
        <v>3.1832651205093224E-3</v>
      </c>
      <c r="T37" s="188">
        <v>1.9723865877712033E-3</v>
      </c>
      <c r="U37" s="188">
        <v>4.8108194585570009E-2</v>
      </c>
      <c r="V37" s="188">
        <v>1</v>
      </c>
      <c r="W37" s="116">
        <v>10</v>
      </c>
      <c r="X37" s="116">
        <v>1110</v>
      </c>
      <c r="Y37" s="187">
        <v>1.0234234234234234</v>
      </c>
      <c r="Z37" s="188">
        <v>2.5608194622279128E-3</v>
      </c>
      <c r="AA37" s="188">
        <v>6.5727699530516428E-3</v>
      </c>
      <c r="AB37" s="188">
        <v>5.0341720215479252E-2</v>
      </c>
      <c r="AC37" s="188">
        <v>0.93838028169014087</v>
      </c>
    </row>
    <row r="38" spans="1:29" s="26" customFormat="1" ht="15.95" customHeight="1" x14ac:dyDescent="0.25">
      <c r="A38" s="144"/>
      <c r="B38" s="120">
        <f>SUM(B6:B37)</f>
        <v>461</v>
      </c>
      <c r="C38" s="120">
        <f>SUM(C6:C37)</f>
        <v>67680</v>
      </c>
      <c r="D38" s="189">
        <v>0.93200000000000005</v>
      </c>
      <c r="E38" s="190">
        <v>3.239577099541193E-3</v>
      </c>
      <c r="F38" s="190">
        <v>6.0779003030889279E-3</v>
      </c>
      <c r="G38" s="190">
        <v>3.2230159380017706E-2</v>
      </c>
      <c r="H38" s="190">
        <v>0.83149989591840001</v>
      </c>
      <c r="I38" s="120">
        <f t="shared" ref="I38:J38" si="0">SUM(I6:I37)</f>
        <v>464</v>
      </c>
      <c r="J38" s="120">
        <f t="shared" si="0"/>
        <v>68070</v>
      </c>
      <c r="K38" s="190">
        <v>1.0146611135901631</v>
      </c>
      <c r="L38" s="190">
        <v>1.5218138850884189E-3</v>
      </c>
      <c r="M38" s="190">
        <v>2.7660075329566853E-3</v>
      </c>
      <c r="N38" s="190">
        <v>3.3352337373682435E-2</v>
      </c>
      <c r="O38" s="190">
        <v>0.90783153430052721</v>
      </c>
      <c r="P38" s="120">
        <f t="shared" ref="P38" si="1">SUM(P6:P37)</f>
        <v>463</v>
      </c>
      <c r="Q38" s="120">
        <f t="shared" ref="Q38" si="2">SUM(Q6:Q37)</f>
        <v>67920</v>
      </c>
      <c r="R38" s="190">
        <v>1.0199449117111801</v>
      </c>
      <c r="S38" s="190">
        <v>2.8091117369795846E-3</v>
      </c>
      <c r="T38" s="190">
        <v>5.8027904595298035E-3</v>
      </c>
      <c r="U38" s="190">
        <v>3.4433743536500111E-2</v>
      </c>
      <c r="V38" s="190">
        <v>0.88972102331637448</v>
      </c>
      <c r="W38" s="120">
        <f t="shared" ref="W38" si="3">SUM(W6:W37)</f>
        <v>464</v>
      </c>
      <c r="X38" s="120">
        <f t="shared" ref="X38" si="4">SUM(X6:X37)</f>
        <v>68490</v>
      </c>
      <c r="Y38" s="190">
        <v>1.023433242506812</v>
      </c>
      <c r="Z38" s="190">
        <v>3.2714146047980747E-3</v>
      </c>
      <c r="AA38" s="190">
        <v>6.2988518910871245E-3</v>
      </c>
      <c r="AB38" s="190">
        <v>3.401898910674106E-2</v>
      </c>
      <c r="AC38" s="190">
        <v>0.86856585019524313</v>
      </c>
    </row>
    <row r="39" spans="1:29" x14ac:dyDescent="0.25">
      <c r="A39" s="102" t="s">
        <v>275</v>
      </c>
      <c r="B39" s="28"/>
      <c r="C39" s="28"/>
      <c r="D39" s="29"/>
      <c r="E39" s="1"/>
      <c r="F39" s="1"/>
      <c r="G39" s="1"/>
      <c r="H39" s="1"/>
      <c r="I39" s="1"/>
      <c r="J39" s="1"/>
    </row>
    <row r="40" spans="1:29" x14ac:dyDescent="0.25">
      <c r="A40" s="102" t="s">
        <v>149</v>
      </c>
      <c r="B40" s="121"/>
      <c r="C40" s="121"/>
      <c r="D40" s="29"/>
      <c r="E40" s="1"/>
      <c r="F40" s="1"/>
      <c r="G40" s="1"/>
      <c r="H40" s="1"/>
      <c r="I40" s="1"/>
      <c r="J40" s="1"/>
    </row>
    <row r="41" spans="1:29" x14ac:dyDescent="0.25">
      <c r="A41" s="1" t="s">
        <v>276</v>
      </c>
      <c r="B41" s="29"/>
      <c r="C41" s="29"/>
      <c r="D41" s="29"/>
      <c r="E41" s="29"/>
      <c r="F41" s="1"/>
      <c r="G41" s="1"/>
      <c r="H41" s="1"/>
      <c r="I41" s="1"/>
      <c r="J41" s="1"/>
    </row>
    <row r="42" spans="1:29" x14ac:dyDescent="0.25">
      <c r="A42" s="1"/>
      <c r="B42" s="29"/>
      <c r="C42" s="29"/>
      <c r="D42" s="29"/>
      <c r="E42" s="1"/>
      <c r="F42" s="1"/>
      <c r="G42" s="1"/>
      <c r="H42" s="1"/>
      <c r="I42" s="1"/>
      <c r="J42" s="1"/>
    </row>
    <row r="43" spans="1:29" x14ac:dyDescent="0.25">
      <c r="B43" s="122"/>
      <c r="C43" s="122"/>
    </row>
  </sheetData>
  <sortState xmlns:xlrd2="http://schemas.microsoft.com/office/spreadsheetml/2017/richdata2" ref="A6:C37">
    <sortCondition ref="A6:A37"/>
  </sortState>
  <mergeCells count="34">
    <mergeCell ref="AC3:AC5"/>
    <mergeCell ref="P2:V2"/>
    <mergeCell ref="W2:AC2"/>
    <mergeCell ref="V3:V5"/>
    <mergeCell ref="W3:W5"/>
    <mergeCell ref="X3:X5"/>
    <mergeCell ref="Y3:Y5"/>
    <mergeCell ref="Z3:Z5"/>
    <mergeCell ref="AA3:AA5"/>
    <mergeCell ref="P3:P5"/>
    <mergeCell ref="Q3:Q5"/>
    <mergeCell ref="R3:R5"/>
    <mergeCell ref="S3:S5"/>
    <mergeCell ref="J3:J5"/>
    <mergeCell ref="K3:K5"/>
    <mergeCell ref="N3:N5"/>
    <mergeCell ref="O3:O5"/>
    <mergeCell ref="AB3:AB5"/>
    <mergeCell ref="L3:L5"/>
    <mergeCell ref="M3:M5"/>
    <mergeCell ref="T3:T5"/>
    <mergeCell ref="U3:U5"/>
    <mergeCell ref="A1:AC1"/>
    <mergeCell ref="B2:H2"/>
    <mergeCell ref="G3:G5"/>
    <mergeCell ref="H3:H5"/>
    <mergeCell ref="A3:A5"/>
    <mergeCell ref="B3:B5"/>
    <mergeCell ref="C3:C5"/>
    <mergeCell ref="D3:D5"/>
    <mergeCell ref="E3:E5"/>
    <mergeCell ref="F3:F5"/>
    <mergeCell ref="I2:O2"/>
    <mergeCell ref="I3:I5"/>
  </mergeCells>
  <phoneticPr fontId="17" type="noConversion"/>
  <pageMargins left="0.511811024" right="0.511811024" top="0.78740157499999996" bottom="0.78740157499999996" header="0.31496062000000002" footer="0.31496062000000002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1D97B-AFC2-49DB-8542-DA7C264DE07C}">
  <dimension ref="A1:Q39"/>
  <sheetViews>
    <sheetView topLeftCell="C1" zoomScale="90" zoomScaleNormal="90" workbookViewId="0">
      <selection activeCell="Q35" sqref="Q35"/>
    </sheetView>
  </sheetViews>
  <sheetFormatPr defaultRowHeight="15" x14ac:dyDescent="0.25"/>
  <cols>
    <col min="1" max="1" width="33" customWidth="1"/>
    <col min="2" max="3" width="11.7109375" customWidth="1"/>
    <col min="4" max="4" width="11.140625" customWidth="1"/>
    <col min="5" max="5" width="13.28515625" customWidth="1"/>
    <col min="6" max="6" width="12.140625" customWidth="1"/>
    <col min="7" max="7" width="11" customWidth="1"/>
    <col min="8" max="8" width="12.42578125" customWidth="1"/>
    <col min="9" max="9" width="14.140625" customWidth="1"/>
    <col min="10" max="10" width="11.140625" customWidth="1"/>
    <col min="11" max="11" width="10.5703125" customWidth="1"/>
    <col min="12" max="12" width="10.28515625" customWidth="1"/>
    <col min="13" max="13" width="11.85546875" customWidth="1"/>
    <col min="14" max="14" width="12.85546875" customWidth="1"/>
    <col min="15" max="15" width="10.5703125" customWidth="1"/>
    <col min="16" max="16" width="10" customWidth="1"/>
    <col min="17" max="17" width="13" customWidth="1"/>
  </cols>
  <sheetData>
    <row r="1" spans="1:17" ht="34.5" customHeight="1" x14ac:dyDescent="0.3">
      <c r="A1" s="244" t="s">
        <v>286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ht="15.75" x14ac:dyDescent="0.25">
      <c r="A2" s="245" t="s">
        <v>1</v>
      </c>
      <c r="B2" s="246" t="s">
        <v>142</v>
      </c>
      <c r="C2" s="247"/>
      <c r="D2" s="247"/>
      <c r="E2" s="247"/>
      <c r="F2" s="246" t="s">
        <v>143</v>
      </c>
      <c r="G2" s="247"/>
      <c r="H2" s="247"/>
      <c r="I2" s="247"/>
      <c r="J2" s="246" t="s">
        <v>144</v>
      </c>
      <c r="K2" s="247"/>
      <c r="L2" s="247"/>
      <c r="M2" s="247"/>
      <c r="N2" s="246" t="s">
        <v>145</v>
      </c>
      <c r="O2" s="247"/>
      <c r="P2" s="247"/>
      <c r="Q2" s="247"/>
    </row>
    <row r="3" spans="1:17" x14ac:dyDescent="0.25">
      <c r="A3" s="245"/>
      <c r="B3" s="249" t="s">
        <v>162</v>
      </c>
      <c r="C3" s="249" t="s">
        <v>163</v>
      </c>
      <c r="D3" s="251" t="s">
        <v>293</v>
      </c>
      <c r="E3" s="250" t="s">
        <v>164</v>
      </c>
      <c r="F3" s="249" t="s">
        <v>162</v>
      </c>
      <c r="G3" s="249" t="s">
        <v>163</v>
      </c>
      <c r="H3" s="251" t="s">
        <v>293</v>
      </c>
      <c r="I3" s="250" t="s">
        <v>164</v>
      </c>
      <c r="J3" s="249" t="s">
        <v>162</v>
      </c>
      <c r="K3" s="249" t="s">
        <v>163</v>
      </c>
      <c r="L3" s="251" t="s">
        <v>293</v>
      </c>
      <c r="M3" s="250" t="s">
        <v>164</v>
      </c>
      <c r="N3" s="249" t="s">
        <v>162</v>
      </c>
      <c r="O3" s="249" t="s">
        <v>163</v>
      </c>
      <c r="P3" s="251" t="s">
        <v>293</v>
      </c>
      <c r="Q3" s="250" t="s">
        <v>164</v>
      </c>
    </row>
    <row r="4" spans="1:17" ht="51" customHeight="1" x14ac:dyDescent="0.25">
      <c r="A4" s="245"/>
      <c r="B4" s="249"/>
      <c r="C4" s="249"/>
      <c r="D4" s="252"/>
      <c r="E4" s="250"/>
      <c r="F4" s="249"/>
      <c r="G4" s="249"/>
      <c r="H4" s="252"/>
      <c r="I4" s="250"/>
      <c r="J4" s="249"/>
      <c r="K4" s="249"/>
      <c r="L4" s="252"/>
      <c r="M4" s="250"/>
      <c r="N4" s="249"/>
      <c r="O4" s="249"/>
      <c r="P4" s="252"/>
      <c r="Q4" s="250"/>
    </row>
    <row r="5" spans="1:17" x14ac:dyDescent="0.25">
      <c r="A5" s="222" t="s">
        <v>156</v>
      </c>
      <c r="B5" s="215">
        <v>1</v>
      </c>
      <c r="C5" s="215">
        <v>120</v>
      </c>
      <c r="D5" s="215">
        <v>129</v>
      </c>
      <c r="E5" s="216">
        <f>D5/C5*100</f>
        <v>107.5</v>
      </c>
      <c r="F5" s="215">
        <v>1</v>
      </c>
      <c r="G5" s="215">
        <v>120</v>
      </c>
      <c r="H5" s="215">
        <v>138</v>
      </c>
      <c r="I5" s="216">
        <f>H5/G5*100</f>
        <v>114.99999999999999</v>
      </c>
      <c r="J5" s="215">
        <v>1</v>
      </c>
      <c r="K5" s="215">
        <v>120</v>
      </c>
      <c r="L5" s="215">
        <v>131</v>
      </c>
      <c r="M5" s="216">
        <f>L5/K5*100</f>
        <v>109.16666666666666</v>
      </c>
      <c r="N5" s="215">
        <v>1</v>
      </c>
      <c r="O5" s="215">
        <v>120</v>
      </c>
      <c r="P5" s="215">
        <v>129</v>
      </c>
      <c r="Q5" s="216">
        <f>P5/O5*100</f>
        <v>107.5</v>
      </c>
    </row>
    <row r="6" spans="1:17" x14ac:dyDescent="0.25">
      <c r="A6" s="223" t="s">
        <v>34</v>
      </c>
      <c r="B6" s="215">
        <v>1</v>
      </c>
      <c r="C6" s="215">
        <v>120</v>
      </c>
      <c r="D6" s="215">
        <v>116</v>
      </c>
      <c r="E6" s="216">
        <f t="shared" ref="E6:E34" si="0">D6/C6*100</f>
        <v>96.666666666666671</v>
      </c>
      <c r="F6" s="215">
        <v>1</v>
      </c>
      <c r="G6" s="215">
        <v>120</v>
      </c>
      <c r="H6" s="215">
        <v>108</v>
      </c>
      <c r="I6" s="216">
        <f t="shared" ref="I6:I34" si="1">H6/G6*100</f>
        <v>90</v>
      </c>
      <c r="J6" s="215">
        <v>1</v>
      </c>
      <c r="K6" s="215">
        <v>120</v>
      </c>
      <c r="L6" s="215">
        <v>30</v>
      </c>
      <c r="M6" s="216">
        <f t="shared" ref="M6:M34" si="2">L6/K6*100</f>
        <v>25</v>
      </c>
      <c r="N6" s="215">
        <v>1</v>
      </c>
      <c r="O6" s="215">
        <v>120</v>
      </c>
      <c r="P6" s="215">
        <v>30</v>
      </c>
      <c r="Q6" s="216">
        <f t="shared" ref="Q6:Q34" si="3">P6/O6*100</f>
        <v>25</v>
      </c>
    </row>
    <row r="7" spans="1:17" x14ac:dyDescent="0.25">
      <c r="A7" s="223" t="s">
        <v>119</v>
      </c>
      <c r="B7" s="215">
        <v>1</v>
      </c>
      <c r="C7" s="215">
        <v>120</v>
      </c>
      <c r="D7" s="215">
        <v>74</v>
      </c>
      <c r="E7" s="216">
        <f t="shared" si="0"/>
        <v>61.666666666666671</v>
      </c>
      <c r="F7" s="215">
        <v>1</v>
      </c>
      <c r="G7" s="215">
        <v>120</v>
      </c>
      <c r="H7" s="215">
        <v>116</v>
      </c>
      <c r="I7" s="216">
        <f t="shared" si="1"/>
        <v>96.666666666666671</v>
      </c>
      <c r="J7" s="215">
        <v>1</v>
      </c>
      <c r="K7" s="215">
        <v>120</v>
      </c>
      <c r="L7" s="215">
        <v>135</v>
      </c>
      <c r="M7" s="216">
        <f t="shared" si="2"/>
        <v>112.5</v>
      </c>
      <c r="N7" s="215">
        <v>1</v>
      </c>
      <c r="O7" s="215">
        <v>120</v>
      </c>
      <c r="P7" s="215">
        <v>129</v>
      </c>
      <c r="Q7" s="216">
        <f t="shared" si="3"/>
        <v>107.5</v>
      </c>
    </row>
    <row r="8" spans="1:17" x14ac:dyDescent="0.25">
      <c r="A8" s="223" t="s">
        <v>123</v>
      </c>
      <c r="B8" s="215">
        <v>1</v>
      </c>
      <c r="C8" s="215">
        <v>120</v>
      </c>
      <c r="D8" s="215">
        <v>144</v>
      </c>
      <c r="E8" s="216">
        <f t="shared" si="0"/>
        <v>120</v>
      </c>
      <c r="F8" s="215">
        <v>1</v>
      </c>
      <c r="G8" s="215">
        <v>120</v>
      </c>
      <c r="H8" s="215">
        <v>144</v>
      </c>
      <c r="I8" s="216">
        <f t="shared" si="1"/>
        <v>120</v>
      </c>
      <c r="J8" s="215">
        <v>1</v>
      </c>
      <c r="K8" s="215">
        <v>120</v>
      </c>
      <c r="L8" s="215">
        <v>129</v>
      </c>
      <c r="M8" s="216">
        <f t="shared" si="2"/>
        <v>107.5</v>
      </c>
      <c r="N8" s="215">
        <v>1</v>
      </c>
      <c r="O8" s="215">
        <v>120</v>
      </c>
      <c r="P8" s="215">
        <v>123</v>
      </c>
      <c r="Q8" s="216">
        <f t="shared" si="3"/>
        <v>102.49999999999999</v>
      </c>
    </row>
    <row r="9" spans="1:17" x14ac:dyDescent="0.25">
      <c r="A9" s="222" t="s">
        <v>19</v>
      </c>
      <c r="B9" s="215">
        <v>1</v>
      </c>
      <c r="C9" s="215">
        <v>120</v>
      </c>
      <c r="D9" s="215">
        <v>173</v>
      </c>
      <c r="E9" s="216">
        <f t="shared" si="0"/>
        <v>144.16666666666666</v>
      </c>
      <c r="F9" s="215">
        <v>1</v>
      </c>
      <c r="G9" s="215">
        <v>120</v>
      </c>
      <c r="H9" s="215">
        <v>170</v>
      </c>
      <c r="I9" s="216">
        <f t="shared" si="1"/>
        <v>141.66666666666669</v>
      </c>
      <c r="J9" s="215">
        <v>1</v>
      </c>
      <c r="K9" s="215">
        <v>120</v>
      </c>
      <c r="L9" s="215">
        <v>165</v>
      </c>
      <c r="M9" s="216">
        <f t="shared" si="2"/>
        <v>137.5</v>
      </c>
      <c r="N9" s="215">
        <v>1</v>
      </c>
      <c r="O9" s="215">
        <v>120</v>
      </c>
      <c r="P9" s="215">
        <v>165</v>
      </c>
      <c r="Q9" s="216">
        <f t="shared" si="3"/>
        <v>137.5</v>
      </c>
    </row>
    <row r="10" spans="1:17" x14ac:dyDescent="0.25">
      <c r="A10" s="223" t="s">
        <v>127</v>
      </c>
      <c r="B10" s="215">
        <v>1</v>
      </c>
      <c r="C10" s="215">
        <v>120</v>
      </c>
      <c r="D10" s="215">
        <v>199</v>
      </c>
      <c r="E10" s="216">
        <f t="shared" si="0"/>
        <v>165.83333333333334</v>
      </c>
      <c r="F10" s="215">
        <v>1</v>
      </c>
      <c r="G10" s="215">
        <v>120</v>
      </c>
      <c r="H10" s="215">
        <v>198</v>
      </c>
      <c r="I10" s="216">
        <f t="shared" si="1"/>
        <v>165</v>
      </c>
      <c r="J10" s="215">
        <v>1</v>
      </c>
      <c r="K10" s="215">
        <v>120</v>
      </c>
      <c r="L10" s="215">
        <v>195</v>
      </c>
      <c r="M10" s="216">
        <f t="shared" si="2"/>
        <v>162.5</v>
      </c>
      <c r="N10" s="215">
        <v>1</v>
      </c>
      <c r="O10" s="215">
        <v>120</v>
      </c>
      <c r="P10" s="215">
        <v>185</v>
      </c>
      <c r="Q10" s="216">
        <f t="shared" si="3"/>
        <v>154.16666666666669</v>
      </c>
    </row>
    <row r="11" spans="1:17" x14ac:dyDescent="0.25">
      <c r="A11" s="224" t="s">
        <v>83</v>
      </c>
      <c r="B11" s="215">
        <v>1</v>
      </c>
      <c r="C11" s="215">
        <v>120</v>
      </c>
      <c r="D11" s="215">
        <v>139</v>
      </c>
      <c r="E11" s="216">
        <f t="shared" si="0"/>
        <v>115.83333333333334</v>
      </c>
      <c r="F11" s="215">
        <v>1</v>
      </c>
      <c r="G11" s="215">
        <v>120</v>
      </c>
      <c r="H11" s="215">
        <v>127</v>
      </c>
      <c r="I11" s="216">
        <f t="shared" si="1"/>
        <v>105.83333333333333</v>
      </c>
      <c r="J11" s="215">
        <v>1</v>
      </c>
      <c r="K11" s="215">
        <v>120</v>
      </c>
      <c r="L11" s="215">
        <v>115</v>
      </c>
      <c r="M11" s="216">
        <f t="shared" si="2"/>
        <v>95.833333333333343</v>
      </c>
      <c r="N11" s="215">
        <v>1</v>
      </c>
      <c r="O11" s="215">
        <v>120</v>
      </c>
      <c r="P11" s="215">
        <v>113</v>
      </c>
      <c r="Q11" s="216">
        <f t="shared" si="3"/>
        <v>94.166666666666671</v>
      </c>
    </row>
    <row r="12" spans="1:17" x14ac:dyDescent="0.25">
      <c r="A12" s="222" t="s">
        <v>85</v>
      </c>
      <c r="B12" s="215">
        <v>1</v>
      </c>
      <c r="C12" s="215">
        <v>180</v>
      </c>
      <c r="D12" s="215">
        <v>174</v>
      </c>
      <c r="E12" s="216">
        <f t="shared" si="0"/>
        <v>96.666666666666671</v>
      </c>
      <c r="F12" s="215">
        <v>1</v>
      </c>
      <c r="G12" s="215">
        <v>180</v>
      </c>
      <c r="H12" s="215">
        <v>173</v>
      </c>
      <c r="I12" s="216">
        <f t="shared" si="1"/>
        <v>96.111111111111114</v>
      </c>
      <c r="J12" s="215">
        <v>1</v>
      </c>
      <c r="K12" s="215">
        <v>180</v>
      </c>
      <c r="L12" s="215">
        <v>190</v>
      </c>
      <c r="M12" s="216">
        <f t="shared" si="2"/>
        <v>105.55555555555556</v>
      </c>
      <c r="N12" s="215">
        <v>1</v>
      </c>
      <c r="O12" s="215">
        <v>180</v>
      </c>
      <c r="P12" s="215">
        <v>184</v>
      </c>
      <c r="Q12" s="216">
        <f t="shared" si="3"/>
        <v>102.22222222222221</v>
      </c>
    </row>
    <row r="13" spans="1:17" x14ac:dyDescent="0.25">
      <c r="A13" s="222" t="s">
        <v>23</v>
      </c>
      <c r="B13" s="215">
        <v>1</v>
      </c>
      <c r="C13" s="215">
        <v>180</v>
      </c>
      <c r="D13" s="215">
        <v>124</v>
      </c>
      <c r="E13" s="216">
        <f t="shared" si="0"/>
        <v>68.888888888888886</v>
      </c>
      <c r="F13" s="215">
        <v>1</v>
      </c>
      <c r="G13" s="215">
        <v>180</v>
      </c>
      <c r="H13" s="215">
        <v>142</v>
      </c>
      <c r="I13" s="216">
        <f t="shared" si="1"/>
        <v>78.888888888888886</v>
      </c>
      <c r="J13" s="215">
        <v>1</v>
      </c>
      <c r="K13" s="215">
        <v>180</v>
      </c>
      <c r="L13" s="215">
        <v>157</v>
      </c>
      <c r="M13" s="216">
        <f t="shared" si="2"/>
        <v>87.222222222222229</v>
      </c>
      <c r="N13" s="215">
        <v>1</v>
      </c>
      <c r="O13" s="215">
        <v>180</v>
      </c>
      <c r="P13" s="215">
        <v>161</v>
      </c>
      <c r="Q13" s="216">
        <f t="shared" si="3"/>
        <v>89.444444444444443</v>
      </c>
    </row>
    <row r="14" spans="1:17" x14ac:dyDescent="0.25">
      <c r="A14" s="222" t="s">
        <v>88</v>
      </c>
      <c r="B14" s="215">
        <v>1</v>
      </c>
      <c r="C14" s="215">
        <v>120</v>
      </c>
      <c r="D14" s="215">
        <v>282</v>
      </c>
      <c r="E14" s="216">
        <f t="shared" si="0"/>
        <v>235</v>
      </c>
      <c r="F14" s="215">
        <v>1</v>
      </c>
      <c r="G14" s="215">
        <v>120</v>
      </c>
      <c r="H14" s="215">
        <v>282</v>
      </c>
      <c r="I14" s="216">
        <f t="shared" si="1"/>
        <v>235</v>
      </c>
      <c r="J14" s="215">
        <v>1</v>
      </c>
      <c r="K14" s="215">
        <v>120</v>
      </c>
      <c r="L14" s="215">
        <v>282</v>
      </c>
      <c r="M14" s="216">
        <f t="shared" si="2"/>
        <v>235</v>
      </c>
      <c r="N14" s="215">
        <v>1</v>
      </c>
      <c r="O14" s="215">
        <v>120</v>
      </c>
      <c r="P14" s="215">
        <v>233</v>
      </c>
      <c r="Q14" s="216">
        <f t="shared" si="3"/>
        <v>194.16666666666666</v>
      </c>
    </row>
    <row r="15" spans="1:17" x14ac:dyDescent="0.25">
      <c r="A15" s="223" t="s">
        <v>108</v>
      </c>
      <c r="B15" s="215">
        <v>1</v>
      </c>
      <c r="C15" s="215">
        <v>180</v>
      </c>
      <c r="D15" s="215">
        <v>192</v>
      </c>
      <c r="E15" s="216">
        <f t="shared" si="0"/>
        <v>106.66666666666667</v>
      </c>
      <c r="F15" s="215">
        <v>1</v>
      </c>
      <c r="G15" s="215">
        <v>180</v>
      </c>
      <c r="H15" s="215">
        <v>184</v>
      </c>
      <c r="I15" s="216">
        <f t="shared" si="1"/>
        <v>102.22222222222221</v>
      </c>
      <c r="J15" s="215">
        <v>1</v>
      </c>
      <c r="K15" s="215">
        <v>180</v>
      </c>
      <c r="L15" s="215">
        <v>173</v>
      </c>
      <c r="M15" s="216">
        <f t="shared" si="2"/>
        <v>96.111111111111114</v>
      </c>
      <c r="N15" s="215">
        <v>1</v>
      </c>
      <c r="O15" s="215">
        <v>180</v>
      </c>
      <c r="P15" s="215">
        <v>174</v>
      </c>
      <c r="Q15" s="216">
        <f t="shared" si="3"/>
        <v>96.666666666666671</v>
      </c>
    </row>
    <row r="16" spans="1:17" x14ac:dyDescent="0.25">
      <c r="A16" s="222" t="s">
        <v>91</v>
      </c>
      <c r="B16" s="215">
        <v>1</v>
      </c>
      <c r="C16" s="215">
        <v>120</v>
      </c>
      <c r="D16" s="215">
        <v>339</v>
      </c>
      <c r="E16" s="216">
        <f t="shared" si="0"/>
        <v>282.5</v>
      </c>
      <c r="F16" s="215">
        <v>1</v>
      </c>
      <c r="G16" s="215">
        <v>120</v>
      </c>
      <c r="H16" s="215">
        <v>338</v>
      </c>
      <c r="I16" s="216">
        <f t="shared" si="1"/>
        <v>281.66666666666669</v>
      </c>
      <c r="J16" s="215">
        <v>1</v>
      </c>
      <c r="K16" s="215">
        <v>120</v>
      </c>
      <c r="L16" s="215">
        <v>322</v>
      </c>
      <c r="M16" s="216">
        <f t="shared" si="2"/>
        <v>268.33333333333331</v>
      </c>
      <c r="N16" s="215">
        <v>1</v>
      </c>
      <c r="O16" s="215">
        <v>120</v>
      </c>
      <c r="P16" s="215">
        <v>306</v>
      </c>
      <c r="Q16" s="216">
        <f t="shared" si="3"/>
        <v>254.99999999999997</v>
      </c>
    </row>
    <row r="17" spans="1:17" x14ac:dyDescent="0.25">
      <c r="A17" s="222" t="s">
        <v>94</v>
      </c>
      <c r="B17" s="215">
        <v>1</v>
      </c>
      <c r="C17" s="215">
        <v>120</v>
      </c>
      <c r="D17" s="215">
        <v>654</v>
      </c>
      <c r="E17" s="216">
        <f t="shared" si="0"/>
        <v>545</v>
      </c>
      <c r="F17" s="215">
        <v>1</v>
      </c>
      <c r="G17" s="215">
        <v>120</v>
      </c>
      <c r="H17" s="215">
        <v>615</v>
      </c>
      <c r="I17" s="216">
        <f t="shared" si="1"/>
        <v>512.5</v>
      </c>
      <c r="J17" s="215">
        <v>1</v>
      </c>
      <c r="K17" s="215">
        <v>120</v>
      </c>
      <c r="L17" s="215">
        <v>583</v>
      </c>
      <c r="M17" s="216">
        <f t="shared" si="2"/>
        <v>485.83333333333331</v>
      </c>
      <c r="N17" s="215">
        <v>1</v>
      </c>
      <c r="O17" s="215">
        <v>120</v>
      </c>
      <c r="P17" s="215">
        <v>580</v>
      </c>
      <c r="Q17" s="216">
        <f t="shared" si="3"/>
        <v>483.33333333333331</v>
      </c>
    </row>
    <row r="18" spans="1:17" x14ac:dyDescent="0.25">
      <c r="A18" s="225" t="s">
        <v>112</v>
      </c>
      <c r="B18" s="215">
        <v>1</v>
      </c>
      <c r="C18" s="215">
        <v>120</v>
      </c>
      <c r="D18" s="215">
        <v>163</v>
      </c>
      <c r="E18" s="216">
        <f t="shared" si="0"/>
        <v>135.83333333333334</v>
      </c>
      <c r="F18" s="215">
        <v>1</v>
      </c>
      <c r="G18" s="215">
        <v>120</v>
      </c>
      <c r="H18" s="215">
        <v>177</v>
      </c>
      <c r="I18" s="216">
        <f t="shared" si="1"/>
        <v>147.5</v>
      </c>
      <c r="J18" s="215">
        <v>1</v>
      </c>
      <c r="K18" s="215">
        <v>120</v>
      </c>
      <c r="L18" s="215">
        <v>177</v>
      </c>
      <c r="M18" s="216">
        <f t="shared" si="2"/>
        <v>147.5</v>
      </c>
      <c r="N18" s="215">
        <v>1</v>
      </c>
      <c r="O18" s="215">
        <v>120</v>
      </c>
      <c r="P18" s="215">
        <v>152</v>
      </c>
      <c r="Q18" s="216">
        <f t="shared" si="3"/>
        <v>126.66666666666666</v>
      </c>
    </row>
    <row r="19" spans="1:17" x14ac:dyDescent="0.25">
      <c r="A19" s="226" t="s">
        <v>7</v>
      </c>
      <c r="B19" s="215">
        <v>1</v>
      </c>
      <c r="C19" s="215">
        <v>120</v>
      </c>
      <c r="D19" s="215">
        <v>155</v>
      </c>
      <c r="E19" s="216">
        <f t="shared" si="0"/>
        <v>129.16666666666669</v>
      </c>
      <c r="F19" s="215">
        <v>1</v>
      </c>
      <c r="G19" s="215">
        <v>120</v>
      </c>
      <c r="H19" s="215">
        <v>174</v>
      </c>
      <c r="I19" s="216">
        <f t="shared" si="1"/>
        <v>145</v>
      </c>
      <c r="J19" s="215">
        <v>1</v>
      </c>
      <c r="K19" s="215">
        <v>120</v>
      </c>
      <c r="L19" s="215">
        <v>188</v>
      </c>
      <c r="M19" s="216">
        <f t="shared" si="2"/>
        <v>156.66666666666666</v>
      </c>
      <c r="N19" s="215">
        <v>1</v>
      </c>
      <c r="O19" s="215">
        <v>120</v>
      </c>
      <c r="P19" s="215">
        <v>170</v>
      </c>
      <c r="Q19" s="216">
        <f t="shared" si="3"/>
        <v>141.66666666666669</v>
      </c>
    </row>
    <row r="20" spans="1:17" x14ac:dyDescent="0.25">
      <c r="A20" s="223" t="s">
        <v>130</v>
      </c>
      <c r="B20" s="215">
        <v>1</v>
      </c>
      <c r="C20" s="215">
        <v>120</v>
      </c>
      <c r="D20" s="215">
        <v>103</v>
      </c>
      <c r="E20" s="216">
        <f t="shared" si="0"/>
        <v>85.833333333333329</v>
      </c>
      <c r="F20" s="215">
        <v>1</v>
      </c>
      <c r="G20" s="215">
        <v>120</v>
      </c>
      <c r="H20" s="215">
        <v>103</v>
      </c>
      <c r="I20" s="216">
        <f t="shared" si="1"/>
        <v>85.833333333333329</v>
      </c>
      <c r="J20" s="215">
        <v>1</v>
      </c>
      <c r="K20" s="215">
        <v>120</v>
      </c>
      <c r="L20" s="215">
        <v>101</v>
      </c>
      <c r="M20" s="216">
        <f t="shared" si="2"/>
        <v>84.166666666666671</v>
      </c>
      <c r="N20" s="215">
        <v>1</v>
      </c>
      <c r="O20" s="215">
        <v>120</v>
      </c>
      <c r="P20" s="215">
        <v>109</v>
      </c>
      <c r="Q20" s="216">
        <f t="shared" si="3"/>
        <v>90.833333333333329</v>
      </c>
    </row>
    <row r="21" spans="1:17" x14ac:dyDescent="0.25">
      <c r="A21" s="222" t="s">
        <v>67</v>
      </c>
      <c r="B21" s="215">
        <v>1</v>
      </c>
      <c r="C21" s="215">
        <v>120</v>
      </c>
      <c r="D21" s="215">
        <v>191</v>
      </c>
      <c r="E21" s="216">
        <f t="shared" si="0"/>
        <v>159.16666666666666</v>
      </c>
      <c r="F21" s="215">
        <v>1</v>
      </c>
      <c r="G21" s="215">
        <v>120</v>
      </c>
      <c r="H21" s="215">
        <v>187</v>
      </c>
      <c r="I21" s="216">
        <f t="shared" si="1"/>
        <v>155.83333333333334</v>
      </c>
      <c r="J21" s="215">
        <v>1</v>
      </c>
      <c r="K21" s="215">
        <v>120</v>
      </c>
      <c r="L21" s="215">
        <v>156</v>
      </c>
      <c r="M21" s="216">
        <f t="shared" si="2"/>
        <v>130</v>
      </c>
      <c r="N21" s="215">
        <v>1</v>
      </c>
      <c r="O21" s="215">
        <v>120</v>
      </c>
      <c r="P21" s="215">
        <v>145</v>
      </c>
      <c r="Q21" s="216">
        <f t="shared" si="3"/>
        <v>120.83333333333333</v>
      </c>
    </row>
    <row r="22" spans="1:17" x14ac:dyDescent="0.25">
      <c r="A22" s="222" t="s">
        <v>74</v>
      </c>
      <c r="B22" s="215">
        <v>1</v>
      </c>
      <c r="C22" s="215">
        <v>120</v>
      </c>
      <c r="D22" s="215">
        <v>233</v>
      </c>
      <c r="E22" s="216">
        <f t="shared" si="0"/>
        <v>194.16666666666666</v>
      </c>
      <c r="F22" s="215">
        <v>1</v>
      </c>
      <c r="G22" s="215">
        <v>120</v>
      </c>
      <c r="H22" s="215">
        <v>244</v>
      </c>
      <c r="I22" s="216">
        <f t="shared" si="1"/>
        <v>203.33333333333331</v>
      </c>
      <c r="J22" s="215">
        <v>1</v>
      </c>
      <c r="K22" s="215">
        <v>120</v>
      </c>
      <c r="L22" s="215">
        <v>268</v>
      </c>
      <c r="M22" s="216">
        <f t="shared" si="2"/>
        <v>223.33333333333334</v>
      </c>
      <c r="N22" s="215">
        <v>1</v>
      </c>
      <c r="O22" s="215">
        <v>120</v>
      </c>
      <c r="P22" s="215">
        <v>325</v>
      </c>
      <c r="Q22" s="216">
        <f t="shared" si="3"/>
        <v>270.83333333333337</v>
      </c>
    </row>
    <row r="23" spans="1:17" x14ac:dyDescent="0.25">
      <c r="A23" s="222" t="s">
        <v>26</v>
      </c>
      <c r="B23" s="215">
        <v>1</v>
      </c>
      <c r="C23" s="215">
        <v>120</v>
      </c>
      <c r="D23" s="215">
        <v>125</v>
      </c>
      <c r="E23" s="216">
        <f t="shared" si="0"/>
        <v>104.16666666666667</v>
      </c>
      <c r="F23" s="215">
        <v>1</v>
      </c>
      <c r="G23" s="215">
        <v>120</v>
      </c>
      <c r="H23" s="215">
        <v>144</v>
      </c>
      <c r="I23" s="216">
        <f t="shared" si="1"/>
        <v>120</v>
      </c>
      <c r="J23" s="215">
        <v>1</v>
      </c>
      <c r="K23" s="215">
        <v>120</v>
      </c>
      <c r="L23" s="215">
        <v>164</v>
      </c>
      <c r="M23" s="216">
        <f t="shared" si="2"/>
        <v>136.66666666666666</v>
      </c>
      <c r="N23" s="215">
        <v>1</v>
      </c>
      <c r="O23" s="215">
        <v>120</v>
      </c>
      <c r="P23" s="215">
        <v>169</v>
      </c>
      <c r="Q23" s="216">
        <f t="shared" si="3"/>
        <v>140.83333333333334</v>
      </c>
    </row>
    <row r="24" spans="1:17" x14ac:dyDescent="0.25">
      <c r="A24" s="223" t="s">
        <v>47</v>
      </c>
      <c r="B24" s="215">
        <v>1</v>
      </c>
      <c r="C24" s="215">
        <v>120</v>
      </c>
      <c r="D24" s="215">
        <v>11</v>
      </c>
      <c r="E24" s="216">
        <f t="shared" si="0"/>
        <v>9.1666666666666661</v>
      </c>
      <c r="F24" s="215">
        <v>1</v>
      </c>
      <c r="G24" s="215">
        <v>120</v>
      </c>
      <c r="H24" s="215">
        <v>15</v>
      </c>
      <c r="I24" s="216">
        <f t="shared" si="1"/>
        <v>12.5</v>
      </c>
      <c r="J24" s="215">
        <v>1</v>
      </c>
      <c r="K24" s="215">
        <v>120</v>
      </c>
      <c r="L24" s="215">
        <v>20</v>
      </c>
      <c r="M24" s="216">
        <f t="shared" si="2"/>
        <v>16.666666666666664</v>
      </c>
      <c r="N24" s="215">
        <v>1</v>
      </c>
      <c r="O24" s="215">
        <v>120</v>
      </c>
      <c r="P24" s="215">
        <v>12</v>
      </c>
      <c r="Q24" s="216">
        <f t="shared" si="3"/>
        <v>10</v>
      </c>
    </row>
    <row r="25" spans="1:17" x14ac:dyDescent="0.25">
      <c r="A25" s="227" t="s">
        <v>29</v>
      </c>
      <c r="B25" s="215">
        <v>1</v>
      </c>
      <c r="C25" s="215">
        <v>120</v>
      </c>
      <c r="D25" s="215">
        <v>46</v>
      </c>
      <c r="E25" s="216">
        <f t="shared" si="0"/>
        <v>38.333333333333336</v>
      </c>
      <c r="F25" s="215">
        <v>1</v>
      </c>
      <c r="G25" s="215">
        <v>120</v>
      </c>
      <c r="H25" s="215">
        <v>88</v>
      </c>
      <c r="I25" s="216">
        <f t="shared" si="1"/>
        <v>73.333333333333329</v>
      </c>
      <c r="J25" s="215">
        <v>1</v>
      </c>
      <c r="K25" s="215">
        <v>120</v>
      </c>
      <c r="L25" s="215">
        <v>132</v>
      </c>
      <c r="M25" s="216">
        <f t="shared" si="2"/>
        <v>110.00000000000001</v>
      </c>
      <c r="N25" s="215">
        <v>1</v>
      </c>
      <c r="O25" s="215">
        <v>120</v>
      </c>
      <c r="P25" s="215">
        <v>104</v>
      </c>
      <c r="Q25" s="216">
        <f t="shared" si="3"/>
        <v>86.666666666666671</v>
      </c>
    </row>
    <row r="26" spans="1:17" x14ac:dyDescent="0.25">
      <c r="A26" s="222" t="s">
        <v>10</v>
      </c>
      <c r="B26" s="215">
        <v>1</v>
      </c>
      <c r="C26" s="215">
        <v>120</v>
      </c>
      <c r="D26" s="215">
        <v>75</v>
      </c>
      <c r="E26" s="216">
        <f t="shared" si="0"/>
        <v>62.5</v>
      </c>
      <c r="F26" s="215">
        <v>1</v>
      </c>
      <c r="G26" s="215">
        <v>120</v>
      </c>
      <c r="H26" s="215">
        <v>60</v>
      </c>
      <c r="I26" s="216">
        <f t="shared" si="1"/>
        <v>50</v>
      </c>
      <c r="J26" s="215">
        <v>1</v>
      </c>
      <c r="K26" s="215">
        <v>120</v>
      </c>
      <c r="L26" s="215">
        <v>69</v>
      </c>
      <c r="M26" s="216">
        <f t="shared" si="2"/>
        <v>57.499999999999993</v>
      </c>
      <c r="N26" s="215">
        <v>1</v>
      </c>
      <c r="O26" s="215">
        <v>120</v>
      </c>
      <c r="P26" s="215">
        <v>77</v>
      </c>
      <c r="Q26" s="216">
        <f t="shared" si="3"/>
        <v>64.166666666666671</v>
      </c>
    </row>
    <row r="27" spans="1:17" x14ac:dyDescent="0.25">
      <c r="A27" s="223" t="s">
        <v>136</v>
      </c>
      <c r="B27" s="215">
        <v>1</v>
      </c>
      <c r="C27" s="215">
        <v>120</v>
      </c>
      <c r="D27" s="215">
        <v>187</v>
      </c>
      <c r="E27" s="216">
        <f t="shared" si="0"/>
        <v>155.83333333333334</v>
      </c>
      <c r="F27" s="215">
        <v>1</v>
      </c>
      <c r="G27" s="215">
        <v>120</v>
      </c>
      <c r="H27" s="215">
        <v>207</v>
      </c>
      <c r="I27" s="216">
        <f t="shared" si="1"/>
        <v>172.5</v>
      </c>
      <c r="J27" s="215">
        <v>1</v>
      </c>
      <c r="K27" s="215">
        <v>120</v>
      </c>
      <c r="L27" s="215">
        <v>203</v>
      </c>
      <c r="M27" s="216">
        <f t="shared" si="2"/>
        <v>169.16666666666666</v>
      </c>
      <c r="N27" s="215">
        <v>1</v>
      </c>
      <c r="O27" s="215">
        <v>120</v>
      </c>
      <c r="P27" s="215">
        <v>200</v>
      </c>
      <c r="Q27" s="216">
        <f t="shared" si="3"/>
        <v>166.66666666666669</v>
      </c>
    </row>
    <row r="28" spans="1:17" x14ac:dyDescent="0.25">
      <c r="A28" s="222" t="s">
        <v>99</v>
      </c>
      <c r="B28" s="215">
        <v>1</v>
      </c>
      <c r="C28" s="215">
        <v>120</v>
      </c>
      <c r="D28" s="215">
        <v>125</v>
      </c>
      <c r="E28" s="216">
        <f t="shared" si="0"/>
        <v>104.16666666666667</v>
      </c>
      <c r="F28" s="215">
        <v>1</v>
      </c>
      <c r="G28" s="215">
        <v>120</v>
      </c>
      <c r="H28" s="215">
        <v>125</v>
      </c>
      <c r="I28" s="216">
        <f t="shared" si="1"/>
        <v>104.16666666666667</v>
      </c>
      <c r="J28" s="215">
        <v>1</v>
      </c>
      <c r="K28" s="215">
        <v>120</v>
      </c>
      <c r="L28" s="215">
        <v>124</v>
      </c>
      <c r="M28" s="216">
        <f t="shared" si="2"/>
        <v>103.33333333333334</v>
      </c>
      <c r="N28" s="215">
        <v>1</v>
      </c>
      <c r="O28" s="215">
        <v>120</v>
      </c>
      <c r="P28" s="215">
        <v>121</v>
      </c>
      <c r="Q28" s="216">
        <f t="shared" si="3"/>
        <v>100.83333333333333</v>
      </c>
    </row>
    <row r="29" spans="1:17" x14ac:dyDescent="0.25">
      <c r="A29" s="222" t="s">
        <v>103</v>
      </c>
      <c r="B29" s="215">
        <v>1</v>
      </c>
      <c r="C29" s="215">
        <v>120</v>
      </c>
      <c r="D29" s="215">
        <v>124</v>
      </c>
      <c r="E29" s="216">
        <f t="shared" si="0"/>
        <v>103.33333333333334</v>
      </c>
      <c r="F29" s="215">
        <v>1</v>
      </c>
      <c r="G29" s="215">
        <v>120</v>
      </c>
      <c r="H29" s="215">
        <v>123</v>
      </c>
      <c r="I29" s="216">
        <f t="shared" si="1"/>
        <v>102.49999999999999</v>
      </c>
      <c r="J29" s="215">
        <v>1</v>
      </c>
      <c r="K29" s="215">
        <v>120</v>
      </c>
      <c r="L29" s="215">
        <v>123</v>
      </c>
      <c r="M29" s="216">
        <f t="shared" si="2"/>
        <v>102.49999999999999</v>
      </c>
      <c r="N29" s="215">
        <v>1</v>
      </c>
      <c r="O29" s="215">
        <v>120</v>
      </c>
      <c r="P29" s="215">
        <v>129</v>
      </c>
      <c r="Q29" s="216">
        <f t="shared" si="3"/>
        <v>107.5</v>
      </c>
    </row>
    <row r="30" spans="1:17" x14ac:dyDescent="0.25">
      <c r="A30" s="224" t="s">
        <v>147</v>
      </c>
      <c r="B30" s="215">
        <v>1</v>
      </c>
      <c r="C30" s="215">
        <v>120</v>
      </c>
      <c r="D30" s="215">
        <v>117</v>
      </c>
      <c r="E30" s="216">
        <f t="shared" si="0"/>
        <v>97.5</v>
      </c>
      <c r="F30" s="215">
        <v>1</v>
      </c>
      <c r="G30" s="215">
        <v>120</v>
      </c>
      <c r="H30" s="215">
        <v>109</v>
      </c>
      <c r="I30" s="216">
        <f t="shared" si="1"/>
        <v>90.833333333333329</v>
      </c>
      <c r="J30" s="215">
        <v>1</v>
      </c>
      <c r="K30" s="215">
        <v>120</v>
      </c>
      <c r="L30" s="215">
        <v>129</v>
      </c>
      <c r="M30" s="216">
        <f t="shared" si="2"/>
        <v>107.5</v>
      </c>
      <c r="N30" s="215">
        <v>1</v>
      </c>
      <c r="O30" s="215">
        <v>120</v>
      </c>
      <c r="P30" s="215">
        <v>122</v>
      </c>
      <c r="Q30" s="216">
        <f t="shared" si="3"/>
        <v>101.66666666666666</v>
      </c>
    </row>
    <row r="31" spans="1:17" x14ac:dyDescent="0.25">
      <c r="A31" s="223" t="s">
        <v>53</v>
      </c>
      <c r="B31" s="215">
        <v>1</v>
      </c>
      <c r="C31" s="215">
        <v>120</v>
      </c>
      <c r="D31" s="215">
        <v>242</v>
      </c>
      <c r="E31" s="216">
        <f t="shared" si="0"/>
        <v>201.66666666666666</v>
      </c>
      <c r="F31" s="215">
        <v>1</v>
      </c>
      <c r="G31" s="215">
        <v>120</v>
      </c>
      <c r="H31" s="215">
        <v>234</v>
      </c>
      <c r="I31" s="216">
        <f t="shared" si="1"/>
        <v>195</v>
      </c>
      <c r="J31" s="215">
        <v>1</v>
      </c>
      <c r="K31" s="215">
        <v>120</v>
      </c>
      <c r="L31" s="215">
        <v>209</v>
      </c>
      <c r="M31" s="216">
        <f t="shared" si="2"/>
        <v>174.16666666666666</v>
      </c>
      <c r="N31" s="215">
        <v>1</v>
      </c>
      <c r="O31" s="215">
        <v>120</v>
      </c>
      <c r="P31" s="215">
        <v>221</v>
      </c>
      <c r="Q31" s="216">
        <f t="shared" si="3"/>
        <v>184.16666666666666</v>
      </c>
    </row>
    <row r="32" spans="1:17" x14ac:dyDescent="0.25">
      <c r="A32" s="222" t="s">
        <v>14</v>
      </c>
      <c r="B32" s="215">
        <v>1</v>
      </c>
      <c r="C32" s="215">
        <v>120</v>
      </c>
      <c r="D32" s="215">
        <v>267</v>
      </c>
      <c r="E32" s="216">
        <f t="shared" si="0"/>
        <v>222.5</v>
      </c>
      <c r="F32" s="215">
        <v>1</v>
      </c>
      <c r="G32" s="215">
        <v>120</v>
      </c>
      <c r="H32" s="215">
        <v>278</v>
      </c>
      <c r="I32" s="216">
        <f t="shared" si="1"/>
        <v>231.66666666666669</v>
      </c>
      <c r="J32" s="215">
        <v>1</v>
      </c>
      <c r="K32" s="215">
        <v>120</v>
      </c>
      <c r="L32" s="215">
        <v>280</v>
      </c>
      <c r="M32" s="216">
        <f t="shared" si="2"/>
        <v>233.33333333333334</v>
      </c>
      <c r="N32" s="215">
        <v>1</v>
      </c>
      <c r="O32" s="215">
        <v>120</v>
      </c>
      <c r="P32" s="215">
        <v>277</v>
      </c>
      <c r="Q32" s="216">
        <f t="shared" si="3"/>
        <v>230.83333333333331</v>
      </c>
    </row>
    <row r="33" spans="1:17" x14ac:dyDescent="0.25">
      <c r="A33" s="223" t="s">
        <v>114</v>
      </c>
      <c r="B33" s="215">
        <v>1</v>
      </c>
      <c r="C33" s="215">
        <v>120</v>
      </c>
      <c r="D33" s="215">
        <v>227</v>
      </c>
      <c r="E33" s="216">
        <f t="shared" si="0"/>
        <v>189.16666666666666</v>
      </c>
      <c r="F33" s="215">
        <v>1</v>
      </c>
      <c r="G33" s="215">
        <v>120</v>
      </c>
      <c r="H33" s="215">
        <v>230</v>
      </c>
      <c r="I33" s="216">
        <f t="shared" si="1"/>
        <v>191.66666666666669</v>
      </c>
      <c r="J33" s="215">
        <v>1</v>
      </c>
      <c r="K33" s="215">
        <v>120</v>
      </c>
      <c r="L33" s="215">
        <v>226</v>
      </c>
      <c r="M33" s="216">
        <f t="shared" si="2"/>
        <v>188.33333333333334</v>
      </c>
      <c r="N33" s="215">
        <v>1</v>
      </c>
      <c r="O33" s="215">
        <v>120</v>
      </c>
      <c r="P33" s="215">
        <v>219</v>
      </c>
      <c r="Q33" s="216">
        <f t="shared" si="3"/>
        <v>182.5</v>
      </c>
    </row>
    <row r="34" spans="1:17" x14ac:dyDescent="0.25">
      <c r="A34" s="222" t="s">
        <v>148</v>
      </c>
      <c r="B34" s="215">
        <v>1</v>
      </c>
      <c r="C34" s="215">
        <v>120</v>
      </c>
      <c r="D34" s="215">
        <v>105</v>
      </c>
      <c r="E34" s="216">
        <f t="shared" si="0"/>
        <v>87.5</v>
      </c>
      <c r="F34" s="215">
        <v>1</v>
      </c>
      <c r="G34" s="215">
        <v>120</v>
      </c>
      <c r="H34" s="215">
        <v>106</v>
      </c>
      <c r="I34" s="216">
        <f t="shared" si="1"/>
        <v>88.333333333333329</v>
      </c>
      <c r="J34" s="215">
        <v>1</v>
      </c>
      <c r="K34" s="215">
        <v>120</v>
      </c>
      <c r="L34" s="215">
        <v>135</v>
      </c>
      <c r="M34" s="216">
        <f t="shared" si="2"/>
        <v>112.5</v>
      </c>
      <c r="N34" s="215">
        <v>1</v>
      </c>
      <c r="O34" s="215">
        <v>120</v>
      </c>
      <c r="P34" s="215">
        <v>152</v>
      </c>
      <c r="Q34" s="216">
        <f t="shared" si="3"/>
        <v>126.66666666666666</v>
      </c>
    </row>
    <row r="35" spans="1:17" ht="15.75" x14ac:dyDescent="0.25">
      <c r="A35" s="144" t="s">
        <v>232</v>
      </c>
      <c r="B35" s="195">
        <f>SUM(B5:B34)</f>
        <v>30</v>
      </c>
      <c r="C35" s="195">
        <f>SUM(C5:C34)</f>
        <v>3780</v>
      </c>
      <c r="D35" s="195">
        <f>SUM(D5:D34)</f>
        <v>5235</v>
      </c>
      <c r="E35" s="237">
        <f>D35/C35</f>
        <v>1.3849206349206349</v>
      </c>
      <c r="F35" s="195">
        <f>SUM(F5:F34)</f>
        <v>30</v>
      </c>
      <c r="G35" s="195">
        <f>SUM(G5:G34)</f>
        <v>3780</v>
      </c>
      <c r="H35" s="195">
        <f>SUM(H5:H34)</f>
        <v>5339</v>
      </c>
      <c r="I35" s="237">
        <f>H35/G35</f>
        <v>1.4124338624338624</v>
      </c>
      <c r="J35" s="195">
        <f>SUM(J5:J34)</f>
        <v>30</v>
      </c>
      <c r="K35" s="195">
        <f>SUM(K5:K34)</f>
        <v>3780</v>
      </c>
      <c r="L35" s="195">
        <f>SUM(L5:L34)</f>
        <v>5311</v>
      </c>
      <c r="M35" s="237">
        <f>L35/K35</f>
        <v>1.4050264550264551</v>
      </c>
      <c r="N35" s="195">
        <f>SUM(N5:N34)</f>
        <v>30</v>
      </c>
      <c r="O35" s="195">
        <f>SUM(O5:O34)</f>
        <v>3780</v>
      </c>
      <c r="P35" s="195">
        <f>SUM(P5:P34)</f>
        <v>5216</v>
      </c>
      <c r="Q35" s="237">
        <f>P35/O35</f>
        <v>1.37989417989418</v>
      </c>
    </row>
    <row r="36" spans="1:17" x14ac:dyDescent="0.25">
      <c r="A36" s="228" t="s">
        <v>287</v>
      </c>
      <c r="E36" s="229"/>
    </row>
    <row r="37" spans="1:17" x14ac:dyDescent="0.25">
      <c r="A37" s="102" t="s">
        <v>288</v>
      </c>
      <c r="E37" s="230"/>
    </row>
    <row r="39" spans="1:17" x14ac:dyDescent="0.25">
      <c r="A39" t="s">
        <v>289</v>
      </c>
    </row>
  </sheetData>
  <mergeCells count="22">
    <mergeCell ref="N3:N4"/>
    <mergeCell ref="G3:G4"/>
    <mergeCell ref="I3:I4"/>
    <mergeCell ref="J3:J4"/>
    <mergeCell ref="K3:K4"/>
    <mergeCell ref="M3:M4"/>
    <mergeCell ref="A1:Q1"/>
    <mergeCell ref="A2:A4"/>
    <mergeCell ref="B2:E2"/>
    <mergeCell ref="F2:I2"/>
    <mergeCell ref="J2:M2"/>
    <mergeCell ref="N2:Q2"/>
    <mergeCell ref="B3:B4"/>
    <mergeCell ref="C3:C4"/>
    <mergeCell ref="E3:E4"/>
    <mergeCell ref="F3:F4"/>
    <mergeCell ref="D3:D4"/>
    <mergeCell ref="H3:H4"/>
    <mergeCell ref="L3:L4"/>
    <mergeCell ref="P3:P4"/>
    <mergeCell ref="O3:O4"/>
    <mergeCell ref="Q3:Q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AEB7-F7C0-4AC3-AF98-60E7B756FE09}">
  <dimension ref="A1:Y27"/>
  <sheetViews>
    <sheetView topLeftCell="A5" zoomScale="85" zoomScaleNormal="85" zoomScaleSheetLayoutView="75" workbookViewId="0">
      <pane xSplit="1" topLeftCell="K1" activePane="topRight" state="frozen"/>
      <selection pane="topRight" activeCell="E30" sqref="E30"/>
    </sheetView>
  </sheetViews>
  <sheetFormatPr defaultRowHeight="15" x14ac:dyDescent="0.25"/>
  <cols>
    <col min="1" max="1" width="35.42578125" bestFit="1" customWidth="1"/>
    <col min="2" max="3" width="13.7109375" customWidth="1"/>
    <col min="4" max="4" width="16.140625" customWidth="1"/>
    <col min="5" max="5" width="17.7109375" customWidth="1"/>
    <col min="6" max="6" width="16.7109375" customWidth="1"/>
    <col min="7" max="7" width="20.5703125" customWidth="1"/>
    <col min="11" max="11" width="14.140625" customWidth="1"/>
    <col min="12" max="12" width="13.28515625" customWidth="1"/>
    <col min="13" max="13" width="17.7109375" customWidth="1"/>
    <col min="17" max="17" width="14.7109375" customWidth="1"/>
    <col min="18" max="18" width="16" customWidth="1"/>
    <col min="19" max="19" width="23" customWidth="1"/>
    <col min="243" max="243" width="28.7109375" customWidth="1"/>
    <col min="244" max="244" width="24.5703125" customWidth="1"/>
    <col min="245" max="245" width="12.42578125" customWidth="1"/>
    <col min="246" max="246" width="15" customWidth="1"/>
    <col min="247" max="247" width="14.7109375" customWidth="1"/>
    <col min="248" max="248" width="13.7109375" customWidth="1"/>
    <col min="249" max="249" width="12.140625" customWidth="1"/>
    <col min="250" max="250" width="15.5703125" customWidth="1"/>
    <col min="251" max="251" width="14.7109375" customWidth="1"/>
    <col min="252" max="252" width="13.7109375" customWidth="1"/>
    <col min="253" max="253" width="15.85546875" customWidth="1"/>
    <col min="254" max="254" width="16" customWidth="1"/>
    <col min="255" max="255" width="14.7109375" customWidth="1"/>
    <col min="256" max="256" width="17.42578125" customWidth="1"/>
    <col min="257" max="257" width="13.85546875" customWidth="1"/>
    <col min="258" max="258" width="16" customWidth="1"/>
    <col min="259" max="259" width="15.42578125" customWidth="1"/>
    <col min="260" max="260" width="16.140625" customWidth="1"/>
    <col min="499" max="499" width="28.7109375" customWidth="1"/>
    <col min="500" max="500" width="24.5703125" customWidth="1"/>
    <col min="501" max="501" width="12.42578125" customWidth="1"/>
    <col min="502" max="502" width="15" customWidth="1"/>
    <col min="503" max="503" width="14.7109375" customWidth="1"/>
    <col min="504" max="504" width="13.7109375" customWidth="1"/>
    <col min="505" max="505" width="12.140625" customWidth="1"/>
    <col min="506" max="506" width="15.5703125" customWidth="1"/>
    <col min="507" max="507" width="14.7109375" customWidth="1"/>
    <col min="508" max="508" width="13.7109375" customWidth="1"/>
    <col min="509" max="509" width="15.85546875" customWidth="1"/>
    <col min="510" max="510" width="16" customWidth="1"/>
    <col min="511" max="511" width="14.7109375" customWidth="1"/>
    <col min="512" max="512" width="17.42578125" customWidth="1"/>
    <col min="513" max="513" width="13.85546875" customWidth="1"/>
    <col min="514" max="514" width="16" customWidth="1"/>
    <col min="515" max="515" width="15.42578125" customWidth="1"/>
    <col min="516" max="516" width="16.140625" customWidth="1"/>
    <col min="755" max="755" width="28.7109375" customWidth="1"/>
    <col min="756" max="756" width="24.5703125" customWidth="1"/>
    <col min="757" max="757" width="12.42578125" customWidth="1"/>
    <col min="758" max="758" width="15" customWidth="1"/>
    <col min="759" max="759" width="14.7109375" customWidth="1"/>
    <col min="760" max="760" width="13.7109375" customWidth="1"/>
    <col min="761" max="761" width="12.140625" customWidth="1"/>
    <col min="762" max="762" width="15.5703125" customWidth="1"/>
    <col min="763" max="763" width="14.7109375" customWidth="1"/>
    <col min="764" max="764" width="13.7109375" customWidth="1"/>
    <col min="765" max="765" width="15.85546875" customWidth="1"/>
    <col min="766" max="766" width="16" customWidth="1"/>
    <col min="767" max="767" width="14.7109375" customWidth="1"/>
    <col min="768" max="768" width="17.42578125" customWidth="1"/>
    <col min="769" max="769" width="13.85546875" customWidth="1"/>
    <col min="770" max="770" width="16" customWidth="1"/>
    <col min="771" max="771" width="15.42578125" customWidth="1"/>
    <col min="772" max="772" width="16.140625" customWidth="1"/>
    <col min="1011" max="1011" width="28.7109375" customWidth="1"/>
    <col min="1012" max="1012" width="24.5703125" customWidth="1"/>
    <col min="1013" max="1013" width="12.42578125" customWidth="1"/>
    <col min="1014" max="1014" width="15" customWidth="1"/>
    <col min="1015" max="1015" width="14.7109375" customWidth="1"/>
    <col min="1016" max="1016" width="13.7109375" customWidth="1"/>
    <col min="1017" max="1017" width="12.140625" customWidth="1"/>
    <col min="1018" max="1018" width="15.5703125" customWidth="1"/>
    <col min="1019" max="1019" width="14.7109375" customWidth="1"/>
    <col min="1020" max="1020" width="13.7109375" customWidth="1"/>
    <col min="1021" max="1021" width="15.85546875" customWidth="1"/>
    <col min="1022" max="1022" width="16" customWidth="1"/>
    <col min="1023" max="1023" width="14.7109375" customWidth="1"/>
    <col min="1024" max="1024" width="17.42578125" customWidth="1"/>
    <col min="1025" max="1025" width="13.85546875" customWidth="1"/>
    <col min="1026" max="1026" width="16" customWidth="1"/>
    <col min="1027" max="1027" width="15.42578125" customWidth="1"/>
    <col min="1028" max="1028" width="16.140625" customWidth="1"/>
    <col min="1267" max="1267" width="28.7109375" customWidth="1"/>
    <col min="1268" max="1268" width="24.5703125" customWidth="1"/>
    <col min="1269" max="1269" width="12.42578125" customWidth="1"/>
    <col min="1270" max="1270" width="15" customWidth="1"/>
    <col min="1271" max="1271" width="14.7109375" customWidth="1"/>
    <col min="1272" max="1272" width="13.7109375" customWidth="1"/>
    <col min="1273" max="1273" width="12.140625" customWidth="1"/>
    <col min="1274" max="1274" width="15.5703125" customWidth="1"/>
    <col min="1275" max="1275" width="14.7109375" customWidth="1"/>
    <col min="1276" max="1276" width="13.7109375" customWidth="1"/>
    <col min="1277" max="1277" width="15.85546875" customWidth="1"/>
    <col min="1278" max="1278" width="16" customWidth="1"/>
    <col min="1279" max="1279" width="14.7109375" customWidth="1"/>
    <col min="1280" max="1280" width="17.42578125" customWidth="1"/>
    <col min="1281" max="1281" width="13.85546875" customWidth="1"/>
    <col min="1282" max="1282" width="16" customWidth="1"/>
    <col min="1283" max="1283" width="15.42578125" customWidth="1"/>
    <col min="1284" max="1284" width="16.140625" customWidth="1"/>
    <col min="1523" max="1523" width="28.7109375" customWidth="1"/>
    <col min="1524" max="1524" width="24.5703125" customWidth="1"/>
    <col min="1525" max="1525" width="12.42578125" customWidth="1"/>
    <col min="1526" max="1526" width="15" customWidth="1"/>
    <col min="1527" max="1527" width="14.7109375" customWidth="1"/>
    <col min="1528" max="1528" width="13.7109375" customWidth="1"/>
    <col min="1529" max="1529" width="12.140625" customWidth="1"/>
    <col min="1530" max="1530" width="15.5703125" customWidth="1"/>
    <col min="1531" max="1531" width="14.7109375" customWidth="1"/>
    <col min="1532" max="1532" width="13.7109375" customWidth="1"/>
    <col min="1533" max="1533" width="15.85546875" customWidth="1"/>
    <col min="1534" max="1534" width="16" customWidth="1"/>
    <col min="1535" max="1535" width="14.7109375" customWidth="1"/>
    <col min="1536" max="1536" width="17.42578125" customWidth="1"/>
    <col min="1537" max="1537" width="13.85546875" customWidth="1"/>
    <col min="1538" max="1538" width="16" customWidth="1"/>
    <col min="1539" max="1539" width="15.42578125" customWidth="1"/>
    <col min="1540" max="1540" width="16.140625" customWidth="1"/>
    <col min="1779" max="1779" width="28.7109375" customWidth="1"/>
    <col min="1780" max="1780" width="24.5703125" customWidth="1"/>
    <col min="1781" max="1781" width="12.42578125" customWidth="1"/>
    <col min="1782" max="1782" width="15" customWidth="1"/>
    <col min="1783" max="1783" width="14.7109375" customWidth="1"/>
    <col min="1784" max="1784" width="13.7109375" customWidth="1"/>
    <col min="1785" max="1785" width="12.140625" customWidth="1"/>
    <col min="1786" max="1786" width="15.5703125" customWidth="1"/>
    <col min="1787" max="1787" width="14.7109375" customWidth="1"/>
    <col min="1788" max="1788" width="13.7109375" customWidth="1"/>
    <col min="1789" max="1789" width="15.85546875" customWidth="1"/>
    <col min="1790" max="1790" width="16" customWidth="1"/>
    <col min="1791" max="1791" width="14.7109375" customWidth="1"/>
    <col min="1792" max="1792" width="17.42578125" customWidth="1"/>
    <col min="1793" max="1793" width="13.85546875" customWidth="1"/>
    <col min="1794" max="1794" width="16" customWidth="1"/>
    <col min="1795" max="1795" width="15.42578125" customWidth="1"/>
    <col min="1796" max="1796" width="16.140625" customWidth="1"/>
    <col min="2035" max="2035" width="28.7109375" customWidth="1"/>
    <col min="2036" max="2036" width="24.5703125" customWidth="1"/>
    <col min="2037" max="2037" width="12.42578125" customWidth="1"/>
    <col min="2038" max="2038" width="15" customWidth="1"/>
    <col min="2039" max="2039" width="14.7109375" customWidth="1"/>
    <col min="2040" max="2040" width="13.7109375" customWidth="1"/>
    <col min="2041" max="2041" width="12.140625" customWidth="1"/>
    <col min="2042" max="2042" width="15.5703125" customWidth="1"/>
    <col min="2043" max="2043" width="14.7109375" customWidth="1"/>
    <col min="2044" max="2044" width="13.7109375" customWidth="1"/>
    <col min="2045" max="2045" width="15.85546875" customWidth="1"/>
    <col min="2046" max="2046" width="16" customWidth="1"/>
    <col min="2047" max="2047" width="14.7109375" customWidth="1"/>
    <col min="2048" max="2048" width="17.42578125" customWidth="1"/>
    <col min="2049" max="2049" width="13.85546875" customWidth="1"/>
    <col min="2050" max="2050" width="16" customWidth="1"/>
    <col min="2051" max="2051" width="15.42578125" customWidth="1"/>
    <col min="2052" max="2052" width="16.140625" customWidth="1"/>
    <col min="2291" max="2291" width="28.7109375" customWidth="1"/>
    <col min="2292" max="2292" width="24.5703125" customWidth="1"/>
    <col min="2293" max="2293" width="12.42578125" customWidth="1"/>
    <col min="2294" max="2294" width="15" customWidth="1"/>
    <col min="2295" max="2295" width="14.7109375" customWidth="1"/>
    <col min="2296" max="2296" width="13.7109375" customWidth="1"/>
    <col min="2297" max="2297" width="12.140625" customWidth="1"/>
    <col min="2298" max="2298" width="15.5703125" customWidth="1"/>
    <col min="2299" max="2299" width="14.7109375" customWidth="1"/>
    <col min="2300" max="2300" width="13.7109375" customWidth="1"/>
    <col min="2301" max="2301" width="15.85546875" customWidth="1"/>
    <col min="2302" max="2302" width="16" customWidth="1"/>
    <col min="2303" max="2303" width="14.7109375" customWidth="1"/>
    <col min="2304" max="2304" width="17.42578125" customWidth="1"/>
    <col min="2305" max="2305" width="13.85546875" customWidth="1"/>
    <col min="2306" max="2306" width="16" customWidth="1"/>
    <col min="2307" max="2307" width="15.42578125" customWidth="1"/>
    <col min="2308" max="2308" width="16.140625" customWidth="1"/>
    <col min="2547" max="2547" width="28.7109375" customWidth="1"/>
    <col min="2548" max="2548" width="24.5703125" customWidth="1"/>
    <col min="2549" max="2549" width="12.42578125" customWidth="1"/>
    <col min="2550" max="2550" width="15" customWidth="1"/>
    <col min="2551" max="2551" width="14.7109375" customWidth="1"/>
    <col min="2552" max="2552" width="13.7109375" customWidth="1"/>
    <col min="2553" max="2553" width="12.140625" customWidth="1"/>
    <col min="2554" max="2554" width="15.5703125" customWidth="1"/>
    <col min="2555" max="2555" width="14.7109375" customWidth="1"/>
    <col min="2556" max="2556" width="13.7109375" customWidth="1"/>
    <col min="2557" max="2557" width="15.85546875" customWidth="1"/>
    <col min="2558" max="2558" width="16" customWidth="1"/>
    <col min="2559" max="2559" width="14.7109375" customWidth="1"/>
    <col min="2560" max="2560" width="17.42578125" customWidth="1"/>
    <col min="2561" max="2561" width="13.85546875" customWidth="1"/>
    <col min="2562" max="2562" width="16" customWidth="1"/>
    <col min="2563" max="2563" width="15.42578125" customWidth="1"/>
    <col min="2564" max="2564" width="16.140625" customWidth="1"/>
    <col min="2803" max="2803" width="28.7109375" customWidth="1"/>
    <col min="2804" max="2804" width="24.5703125" customWidth="1"/>
    <col min="2805" max="2805" width="12.42578125" customWidth="1"/>
    <col min="2806" max="2806" width="15" customWidth="1"/>
    <col min="2807" max="2807" width="14.7109375" customWidth="1"/>
    <col min="2808" max="2808" width="13.7109375" customWidth="1"/>
    <col min="2809" max="2809" width="12.140625" customWidth="1"/>
    <col min="2810" max="2810" width="15.5703125" customWidth="1"/>
    <col min="2811" max="2811" width="14.7109375" customWidth="1"/>
    <col min="2812" max="2812" width="13.7109375" customWidth="1"/>
    <col min="2813" max="2813" width="15.85546875" customWidth="1"/>
    <col min="2814" max="2814" width="16" customWidth="1"/>
    <col min="2815" max="2815" width="14.7109375" customWidth="1"/>
    <col min="2816" max="2816" width="17.42578125" customWidth="1"/>
    <col min="2817" max="2817" width="13.85546875" customWidth="1"/>
    <col min="2818" max="2818" width="16" customWidth="1"/>
    <col min="2819" max="2819" width="15.42578125" customWidth="1"/>
    <col min="2820" max="2820" width="16.140625" customWidth="1"/>
    <col min="3059" max="3059" width="28.7109375" customWidth="1"/>
    <col min="3060" max="3060" width="24.5703125" customWidth="1"/>
    <col min="3061" max="3061" width="12.42578125" customWidth="1"/>
    <col min="3062" max="3062" width="15" customWidth="1"/>
    <col min="3063" max="3063" width="14.7109375" customWidth="1"/>
    <col min="3064" max="3064" width="13.7109375" customWidth="1"/>
    <col min="3065" max="3065" width="12.140625" customWidth="1"/>
    <col min="3066" max="3066" width="15.5703125" customWidth="1"/>
    <col min="3067" max="3067" width="14.7109375" customWidth="1"/>
    <col min="3068" max="3068" width="13.7109375" customWidth="1"/>
    <col min="3069" max="3069" width="15.85546875" customWidth="1"/>
    <col min="3070" max="3070" width="16" customWidth="1"/>
    <col min="3071" max="3071" width="14.7109375" customWidth="1"/>
    <col min="3072" max="3072" width="17.42578125" customWidth="1"/>
    <col min="3073" max="3073" width="13.85546875" customWidth="1"/>
    <col min="3074" max="3074" width="16" customWidth="1"/>
    <col min="3075" max="3075" width="15.42578125" customWidth="1"/>
    <col min="3076" max="3076" width="16.140625" customWidth="1"/>
    <col min="3315" max="3315" width="28.7109375" customWidth="1"/>
    <col min="3316" max="3316" width="24.5703125" customWidth="1"/>
    <col min="3317" max="3317" width="12.42578125" customWidth="1"/>
    <col min="3318" max="3318" width="15" customWidth="1"/>
    <col min="3319" max="3319" width="14.7109375" customWidth="1"/>
    <col min="3320" max="3320" width="13.7109375" customWidth="1"/>
    <col min="3321" max="3321" width="12.140625" customWidth="1"/>
    <col min="3322" max="3322" width="15.5703125" customWidth="1"/>
    <col min="3323" max="3323" width="14.7109375" customWidth="1"/>
    <col min="3324" max="3324" width="13.7109375" customWidth="1"/>
    <col min="3325" max="3325" width="15.85546875" customWidth="1"/>
    <col min="3326" max="3326" width="16" customWidth="1"/>
    <col min="3327" max="3327" width="14.7109375" customWidth="1"/>
    <col min="3328" max="3328" width="17.42578125" customWidth="1"/>
    <col min="3329" max="3329" width="13.85546875" customWidth="1"/>
    <col min="3330" max="3330" width="16" customWidth="1"/>
    <col min="3331" max="3331" width="15.42578125" customWidth="1"/>
    <col min="3332" max="3332" width="16.140625" customWidth="1"/>
    <col min="3571" max="3571" width="28.7109375" customWidth="1"/>
    <col min="3572" max="3572" width="24.5703125" customWidth="1"/>
    <col min="3573" max="3573" width="12.42578125" customWidth="1"/>
    <col min="3574" max="3574" width="15" customWidth="1"/>
    <col min="3575" max="3575" width="14.7109375" customWidth="1"/>
    <col min="3576" max="3576" width="13.7109375" customWidth="1"/>
    <col min="3577" max="3577" width="12.140625" customWidth="1"/>
    <col min="3578" max="3578" width="15.5703125" customWidth="1"/>
    <col min="3579" max="3579" width="14.7109375" customWidth="1"/>
    <col min="3580" max="3580" width="13.7109375" customWidth="1"/>
    <col min="3581" max="3581" width="15.85546875" customWidth="1"/>
    <col min="3582" max="3582" width="16" customWidth="1"/>
    <col min="3583" max="3583" width="14.7109375" customWidth="1"/>
    <col min="3584" max="3584" width="17.42578125" customWidth="1"/>
    <col min="3585" max="3585" width="13.85546875" customWidth="1"/>
    <col min="3586" max="3586" width="16" customWidth="1"/>
    <col min="3587" max="3587" width="15.42578125" customWidth="1"/>
    <col min="3588" max="3588" width="16.140625" customWidth="1"/>
    <col min="3827" max="3827" width="28.7109375" customWidth="1"/>
    <col min="3828" max="3828" width="24.5703125" customWidth="1"/>
    <col min="3829" max="3829" width="12.42578125" customWidth="1"/>
    <col min="3830" max="3830" width="15" customWidth="1"/>
    <col min="3831" max="3831" width="14.7109375" customWidth="1"/>
    <col min="3832" max="3832" width="13.7109375" customWidth="1"/>
    <col min="3833" max="3833" width="12.140625" customWidth="1"/>
    <col min="3834" max="3834" width="15.5703125" customWidth="1"/>
    <col min="3835" max="3835" width="14.7109375" customWidth="1"/>
    <col min="3836" max="3836" width="13.7109375" customWidth="1"/>
    <col min="3837" max="3837" width="15.85546875" customWidth="1"/>
    <col min="3838" max="3838" width="16" customWidth="1"/>
    <col min="3839" max="3839" width="14.7109375" customWidth="1"/>
    <col min="3840" max="3840" width="17.42578125" customWidth="1"/>
    <col min="3841" max="3841" width="13.85546875" customWidth="1"/>
    <col min="3842" max="3842" width="16" customWidth="1"/>
    <col min="3843" max="3843" width="15.42578125" customWidth="1"/>
    <col min="3844" max="3844" width="16.140625" customWidth="1"/>
    <col min="4083" max="4083" width="28.7109375" customWidth="1"/>
    <col min="4084" max="4084" width="24.5703125" customWidth="1"/>
    <col min="4085" max="4085" width="12.42578125" customWidth="1"/>
    <col min="4086" max="4086" width="15" customWidth="1"/>
    <col min="4087" max="4087" width="14.7109375" customWidth="1"/>
    <col min="4088" max="4088" width="13.7109375" customWidth="1"/>
    <col min="4089" max="4089" width="12.140625" customWidth="1"/>
    <col min="4090" max="4090" width="15.5703125" customWidth="1"/>
    <col min="4091" max="4091" width="14.7109375" customWidth="1"/>
    <col min="4092" max="4092" width="13.7109375" customWidth="1"/>
    <col min="4093" max="4093" width="15.85546875" customWidth="1"/>
    <col min="4094" max="4094" width="16" customWidth="1"/>
    <col min="4095" max="4095" width="14.7109375" customWidth="1"/>
    <col min="4096" max="4096" width="17.42578125" customWidth="1"/>
    <col min="4097" max="4097" width="13.85546875" customWidth="1"/>
    <col min="4098" max="4098" width="16" customWidth="1"/>
    <col min="4099" max="4099" width="15.42578125" customWidth="1"/>
    <col min="4100" max="4100" width="16.140625" customWidth="1"/>
    <col min="4339" max="4339" width="28.7109375" customWidth="1"/>
    <col min="4340" max="4340" width="24.5703125" customWidth="1"/>
    <col min="4341" max="4341" width="12.42578125" customWidth="1"/>
    <col min="4342" max="4342" width="15" customWidth="1"/>
    <col min="4343" max="4343" width="14.7109375" customWidth="1"/>
    <col min="4344" max="4344" width="13.7109375" customWidth="1"/>
    <col min="4345" max="4345" width="12.140625" customWidth="1"/>
    <col min="4346" max="4346" width="15.5703125" customWidth="1"/>
    <col min="4347" max="4347" width="14.7109375" customWidth="1"/>
    <col min="4348" max="4348" width="13.7109375" customWidth="1"/>
    <col min="4349" max="4349" width="15.85546875" customWidth="1"/>
    <col min="4350" max="4350" width="16" customWidth="1"/>
    <col min="4351" max="4351" width="14.7109375" customWidth="1"/>
    <col min="4352" max="4352" width="17.42578125" customWidth="1"/>
    <col min="4353" max="4353" width="13.85546875" customWidth="1"/>
    <col min="4354" max="4354" width="16" customWidth="1"/>
    <col min="4355" max="4355" width="15.42578125" customWidth="1"/>
    <col min="4356" max="4356" width="16.140625" customWidth="1"/>
    <col min="4595" max="4595" width="28.7109375" customWidth="1"/>
    <col min="4596" max="4596" width="24.5703125" customWidth="1"/>
    <col min="4597" max="4597" width="12.42578125" customWidth="1"/>
    <col min="4598" max="4598" width="15" customWidth="1"/>
    <col min="4599" max="4599" width="14.7109375" customWidth="1"/>
    <col min="4600" max="4600" width="13.7109375" customWidth="1"/>
    <col min="4601" max="4601" width="12.140625" customWidth="1"/>
    <col min="4602" max="4602" width="15.5703125" customWidth="1"/>
    <col min="4603" max="4603" width="14.7109375" customWidth="1"/>
    <col min="4604" max="4604" width="13.7109375" customWidth="1"/>
    <col min="4605" max="4605" width="15.85546875" customWidth="1"/>
    <col min="4606" max="4606" width="16" customWidth="1"/>
    <col min="4607" max="4607" width="14.7109375" customWidth="1"/>
    <col min="4608" max="4608" width="17.42578125" customWidth="1"/>
    <col min="4609" max="4609" width="13.85546875" customWidth="1"/>
    <col min="4610" max="4610" width="16" customWidth="1"/>
    <col min="4611" max="4611" width="15.42578125" customWidth="1"/>
    <col min="4612" max="4612" width="16.140625" customWidth="1"/>
    <col min="4851" max="4851" width="28.7109375" customWidth="1"/>
    <col min="4852" max="4852" width="24.5703125" customWidth="1"/>
    <col min="4853" max="4853" width="12.42578125" customWidth="1"/>
    <col min="4854" max="4854" width="15" customWidth="1"/>
    <col min="4855" max="4855" width="14.7109375" customWidth="1"/>
    <col min="4856" max="4856" width="13.7109375" customWidth="1"/>
    <col min="4857" max="4857" width="12.140625" customWidth="1"/>
    <col min="4858" max="4858" width="15.5703125" customWidth="1"/>
    <col min="4859" max="4859" width="14.7109375" customWidth="1"/>
    <col min="4860" max="4860" width="13.7109375" customWidth="1"/>
    <col min="4861" max="4861" width="15.85546875" customWidth="1"/>
    <col min="4862" max="4862" width="16" customWidth="1"/>
    <col min="4863" max="4863" width="14.7109375" customWidth="1"/>
    <col min="4864" max="4864" width="17.42578125" customWidth="1"/>
    <col min="4865" max="4865" width="13.85546875" customWidth="1"/>
    <col min="4866" max="4866" width="16" customWidth="1"/>
    <col min="4867" max="4867" width="15.42578125" customWidth="1"/>
    <col min="4868" max="4868" width="16.140625" customWidth="1"/>
    <col min="5107" max="5107" width="28.7109375" customWidth="1"/>
    <col min="5108" max="5108" width="24.5703125" customWidth="1"/>
    <col min="5109" max="5109" width="12.42578125" customWidth="1"/>
    <col min="5110" max="5110" width="15" customWidth="1"/>
    <col min="5111" max="5111" width="14.7109375" customWidth="1"/>
    <col min="5112" max="5112" width="13.7109375" customWidth="1"/>
    <col min="5113" max="5113" width="12.140625" customWidth="1"/>
    <col min="5114" max="5114" width="15.5703125" customWidth="1"/>
    <col min="5115" max="5115" width="14.7109375" customWidth="1"/>
    <col min="5116" max="5116" width="13.7109375" customWidth="1"/>
    <col min="5117" max="5117" width="15.85546875" customWidth="1"/>
    <col min="5118" max="5118" width="16" customWidth="1"/>
    <col min="5119" max="5119" width="14.7109375" customWidth="1"/>
    <col min="5120" max="5120" width="17.42578125" customWidth="1"/>
    <col min="5121" max="5121" width="13.85546875" customWidth="1"/>
    <col min="5122" max="5122" width="16" customWidth="1"/>
    <col min="5123" max="5123" width="15.42578125" customWidth="1"/>
    <col min="5124" max="5124" width="16.140625" customWidth="1"/>
    <col min="5363" max="5363" width="28.7109375" customWidth="1"/>
    <col min="5364" max="5364" width="24.5703125" customWidth="1"/>
    <col min="5365" max="5365" width="12.42578125" customWidth="1"/>
    <col min="5366" max="5366" width="15" customWidth="1"/>
    <col min="5367" max="5367" width="14.7109375" customWidth="1"/>
    <col min="5368" max="5368" width="13.7109375" customWidth="1"/>
    <col min="5369" max="5369" width="12.140625" customWidth="1"/>
    <col min="5370" max="5370" width="15.5703125" customWidth="1"/>
    <col min="5371" max="5371" width="14.7109375" customWidth="1"/>
    <col min="5372" max="5372" width="13.7109375" customWidth="1"/>
    <col min="5373" max="5373" width="15.85546875" customWidth="1"/>
    <col min="5374" max="5374" width="16" customWidth="1"/>
    <col min="5375" max="5375" width="14.7109375" customWidth="1"/>
    <col min="5376" max="5376" width="17.42578125" customWidth="1"/>
    <col min="5377" max="5377" width="13.85546875" customWidth="1"/>
    <col min="5378" max="5378" width="16" customWidth="1"/>
    <col min="5379" max="5379" width="15.42578125" customWidth="1"/>
    <col min="5380" max="5380" width="16.140625" customWidth="1"/>
    <col min="5619" max="5619" width="28.7109375" customWidth="1"/>
    <col min="5620" max="5620" width="24.5703125" customWidth="1"/>
    <col min="5621" max="5621" width="12.42578125" customWidth="1"/>
    <col min="5622" max="5622" width="15" customWidth="1"/>
    <col min="5623" max="5623" width="14.7109375" customWidth="1"/>
    <col min="5624" max="5624" width="13.7109375" customWidth="1"/>
    <col min="5625" max="5625" width="12.140625" customWidth="1"/>
    <col min="5626" max="5626" width="15.5703125" customWidth="1"/>
    <col min="5627" max="5627" width="14.7109375" customWidth="1"/>
    <col min="5628" max="5628" width="13.7109375" customWidth="1"/>
    <col min="5629" max="5629" width="15.85546875" customWidth="1"/>
    <col min="5630" max="5630" width="16" customWidth="1"/>
    <col min="5631" max="5631" width="14.7109375" customWidth="1"/>
    <col min="5632" max="5632" width="17.42578125" customWidth="1"/>
    <col min="5633" max="5633" width="13.85546875" customWidth="1"/>
    <col min="5634" max="5634" width="16" customWidth="1"/>
    <col min="5635" max="5635" width="15.42578125" customWidth="1"/>
    <col min="5636" max="5636" width="16.140625" customWidth="1"/>
    <col min="5875" max="5875" width="28.7109375" customWidth="1"/>
    <col min="5876" max="5876" width="24.5703125" customWidth="1"/>
    <col min="5877" max="5877" width="12.42578125" customWidth="1"/>
    <col min="5878" max="5878" width="15" customWidth="1"/>
    <col min="5879" max="5879" width="14.7109375" customWidth="1"/>
    <col min="5880" max="5880" width="13.7109375" customWidth="1"/>
    <col min="5881" max="5881" width="12.140625" customWidth="1"/>
    <col min="5882" max="5882" width="15.5703125" customWidth="1"/>
    <col min="5883" max="5883" width="14.7109375" customWidth="1"/>
    <col min="5884" max="5884" width="13.7109375" customWidth="1"/>
    <col min="5885" max="5885" width="15.85546875" customWidth="1"/>
    <col min="5886" max="5886" width="16" customWidth="1"/>
    <col min="5887" max="5887" width="14.7109375" customWidth="1"/>
    <col min="5888" max="5888" width="17.42578125" customWidth="1"/>
    <col min="5889" max="5889" width="13.85546875" customWidth="1"/>
    <col min="5890" max="5890" width="16" customWidth="1"/>
    <col min="5891" max="5891" width="15.42578125" customWidth="1"/>
    <col min="5892" max="5892" width="16.140625" customWidth="1"/>
    <col min="6131" max="6131" width="28.7109375" customWidth="1"/>
    <col min="6132" max="6132" width="24.5703125" customWidth="1"/>
    <col min="6133" max="6133" width="12.42578125" customWidth="1"/>
    <col min="6134" max="6134" width="15" customWidth="1"/>
    <col min="6135" max="6135" width="14.7109375" customWidth="1"/>
    <col min="6136" max="6136" width="13.7109375" customWidth="1"/>
    <col min="6137" max="6137" width="12.140625" customWidth="1"/>
    <col min="6138" max="6138" width="15.5703125" customWidth="1"/>
    <col min="6139" max="6139" width="14.7109375" customWidth="1"/>
    <col min="6140" max="6140" width="13.7109375" customWidth="1"/>
    <col min="6141" max="6141" width="15.85546875" customWidth="1"/>
    <col min="6142" max="6142" width="16" customWidth="1"/>
    <col min="6143" max="6143" width="14.7109375" customWidth="1"/>
    <col min="6144" max="6144" width="17.42578125" customWidth="1"/>
    <col min="6145" max="6145" width="13.85546875" customWidth="1"/>
    <col min="6146" max="6146" width="16" customWidth="1"/>
    <col min="6147" max="6147" width="15.42578125" customWidth="1"/>
    <col min="6148" max="6148" width="16.140625" customWidth="1"/>
    <col min="6387" max="6387" width="28.7109375" customWidth="1"/>
    <col min="6388" max="6388" width="24.5703125" customWidth="1"/>
    <col min="6389" max="6389" width="12.42578125" customWidth="1"/>
    <col min="6390" max="6390" width="15" customWidth="1"/>
    <col min="6391" max="6391" width="14.7109375" customWidth="1"/>
    <col min="6392" max="6392" width="13.7109375" customWidth="1"/>
    <col min="6393" max="6393" width="12.140625" customWidth="1"/>
    <col min="6394" max="6394" width="15.5703125" customWidth="1"/>
    <col min="6395" max="6395" width="14.7109375" customWidth="1"/>
    <col min="6396" max="6396" width="13.7109375" customWidth="1"/>
    <col min="6397" max="6397" width="15.85546875" customWidth="1"/>
    <col min="6398" max="6398" width="16" customWidth="1"/>
    <col min="6399" max="6399" width="14.7109375" customWidth="1"/>
    <col min="6400" max="6400" width="17.42578125" customWidth="1"/>
    <col min="6401" max="6401" width="13.85546875" customWidth="1"/>
    <col min="6402" max="6402" width="16" customWidth="1"/>
    <col min="6403" max="6403" width="15.42578125" customWidth="1"/>
    <col min="6404" max="6404" width="16.140625" customWidth="1"/>
    <col min="6643" max="6643" width="28.7109375" customWidth="1"/>
    <col min="6644" max="6644" width="24.5703125" customWidth="1"/>
    <col min="6645" max="6645" width="12.42578125" customWidth="1"/>
    <col min="6646" max="6646" width="15" customWidth="1"/>
    <col min="6647" max="6647" width="14.7109375" customWidth="1"/>
    <col min="6648" max="6648" width="13.7109375" customWidth="1"/>
    <col min="6649" max="6649" width="12.140625" customWidth="1"/>
    <col min="6650" max="6650" width="15.5703125" customWidth="1"/>
    <col min="6651" max="6651" width="14.7109375" customWidth="1"/>
    <col min="6652" max="6652" width="13.7109375" customWidth="1"/>
    <col min="6653" max="6653" width="15.85546875" customWidth="1"/>
    <col min="6654" max="6654" width="16" customWidth="1"/>
    <col min="6655" max="6655" width="14.7109375" customWidth="1"/>
    <col min="6656" max="6656" width="17.42578125" customWidth="1"/>
    <col min="6657" max="6657" width="13.85546875" customWidth="1"/>
    <col min="6658" max="6658" width="16" customWidth="1"/>
    <col min="6659" max="6659" width="15.42578125" customWidth="1"/>
    <col min="6660" max="6660" width="16.140625" customWidth="1"/>
    <col min="6899" max="6899" width="28.7109375" customWidth="1"/>
    <col min="6900" max="6900" width="24.5703125" customWidth="1"/>
    <col min="6901" max="6901" width="12.42578125" customWidth="1"/>
    <col min="6902" max="6902" width="15" customWidth="1"/>
    <col min="6903" max="6903" width="14.7109375" customWidth="1"/>
    <col min="6904" max="6904" width="13.7109375" customWidth="1"/>
    <col min="6905" max="6905" width="12.140625" customWidth="1"/>
    <col min="6906" max="6906" width="15.5703125" customWidth="1"/>
    <col min="6907" max="6907" width="14.7109375" customWidth="1"/>
    <col min="6908" max="6908" width="13.7109375" customWidth="1"/>
    <col min="6909" max="6909" width="15.85546875" customWidth="1"/>
    <col min="6910" max="6910" width="16" customWidth="1"/>
    <col min="6911" max="6911" width="14.7109375" customWidth="1"/>
    <col min="6912" max="6912" width="17.42578125" customWidth="1"/>
    <col min="6913" max="6913" width="13.85546875" customWidth="1"/>
    <col min="6914" max="6914" width="16" customWidth="1"/>
    <col min="6915" max="6915" width="15.42578125" customWidth="1"/>
    <col min="6916" max="6916" width="16.140625" customWidth="1"/>
    <col min="7155" max="7155" width="28.7109375" customWidth="1"/>
    <col min="7156" max="7156" width="24.5703125" customWidth="1"/>
    <col min="7157" max="7157" width="12.42578125" customWidth="1"/>
    <col min="7158" max="7158" width="15" customWidth="1"/>
    <col min="7159" max="7159" width="14.7109375" customWidth="1"/>
    <col min="7160" max="7160" width="13.7109375" customWidth="1"/>
    <col min="7161" max="7161" width="12.140625" customWidth="1"/>
    <col min="7162" max="7162" width="15.5703125" customWidth="1"/>
    <col min="7163" max="7163" width="14.7109375" customWidth="1"/>
    <col min="7164" max="7164" width="13.7109375" customWidth="1"/>
    <col min="7165" max="7165" width="15.85546875" customWidth="1"/>
    <col min="7166" max="7166" width="16" customWidth="1"/>
    <col min="7167" max="7167" width="14.7109375" customWidth="1"/>
    <col min="7168" max="7168" width="17.42578125" customWidth="1"/>
    <col min="7169" max="7169" width="13.85546875" customWidth="1"/>
    <col min="7170" max="7170" width="16" customWidth="1"/>
    <col min="7171" max="7171" width="15.42578125" customWidth="1"/>
    <col min="7172" max="7172" width="16.140625" customWidth="1"/>
    <col min="7411" max="7411" width="28.7109375" customWidth="1"/>
    <col min="7412" max="7412" width="24.5703125" customWidth="1"/>
    <col min="7413" max="7413" width="12.42578125" customWidth="1"/>
    <col min="7414" max="7414" width="15" customWidth="1"/>
    <col min="7415" max="7415" width="14.7109375" customWidth="1"/>
    <col min="7416" max="7416" width="13.7109375" customWidth="1"/>
    <col min="7417" max="7417" width="12.140625" customWidth="1"/>
    <col min="7418" max="7418" width="15.5703125" customWidth="1"/>
    <col min="7419" max="7419" width="14.7109375" customWidth="1"/>
    <col min="7420" max="7420" width="13.7109375" customWidth="1"/>
    <col min="7421" max="7421" width="15.85546875" customWidth="1"/>
    <col min="7422" max="7422" width="16" customWidth="1"/>
    <col min="7423" max="7423" width="14.7109375" customWidth="1"/>
    <col min="7424" max="7424" width="17.42578125" customWidth="1"/>
    <col min="7425" max="7425" width="13.85546875" customWidth="1"/>
    <col min="7426" max="7426" width="16" customWidth="1"/>
    <col min="7427" max="7427" width="15.42578125" customWidth="1"/>
    <col min="7428" max="7428" width="16.140625" customWidth="1"/>
    <col min="7667" max="7667" width="28.7109375" customWidth="1"/>
    <col min="7668" max="7668" width="24.5703125" customWidth="1"/>
    <col min="7669" max="7669" width="12.42578125" customWidth="1"/>
    <col min="7670" max="7670" width="15" customWidth="1"/>
    <col min="7671" max="7671" width="14.7109375" customWidth="1"/>
    <col min="7672" max="7672" width="13.7109375" customWidth="1"/>
    <col min="7673" max="7673" width="12.140625" customWidth="1"/>
    <col min="7674" max="7674" width="15.5703125" customWidth="1"/>
    <col min="7675" max="7675" width="14.7109375" customWidth="1"/>
    <col min="7676" max="7676" width="13.7109375" customWidth="1"/>
    <col min="7677" max="7677" width="15.85546875" customWidth="1"/>
    <col min="7678" max="7678" width="16" customWidth="1"/>
    <col min="7679" max="7679" width="14.7109375" customWidth="1"/>
    <col min="7680" max="7680" width="17.42578125" customWidth="1"/>
    <col min="7681" max="7681" width="13.85546875" customWidth="1"/>
    <col min="7682" max="7682" width="16" customWidth="1"/>
    <col min="7683" max="7683" width="15.42578125" customWidth="1"/>
    <col min="7684" max="7684" width="16.140625" customWidth="1"/>
    <col min="7923" max="7923" width="28.7109375" customWidth="1"/>
    <col min="7924" max="7924" width="24.5703125" customWidth="1"/>
    <col min="7925" max="7925" width="12.42578125" customWidth="1"/>
    <col min="7926" max="7926" width="15" customWidth="1"/>
    <col min="7927" max="7927" width="14.7109375" customWidth="1"/>
    <col min="7928" max="7928" width="13.7109375" customWidth="1"/>
    <col min="7929" max="7929" width="12.140625" customWidth="1"/>
    <col min="7930" max="7930" width="15.5703125" customWidth="1"/>
    <col min="7931" max="7931" width="14.7109375" customWidth="1"/>
    <col min="7932" max="7932" width="13.7109375" customWidth="1"/>
    <col min="7933" max="7933" width="15.85546875" customWidth="1"/>
    <col min="7934" max="7934" width="16" customWidth="1"/>
    <col min="7935" max="7935" width="14.7109375" customWidth="1"/>
    <col min="7936" max="7936" width="17.42578125" customWidth="1"/>
    <col min="7937" max="7937" width="13.85546875" customWidth="1"/>
    <col min="7938" max="7938" width="16" customWidth="1"/>
    <col min="7939" max="7939" width="15.42578125" customWidth="1"/>
    <col min="7940" max="7940" width="16.140625" customWidth="1"/>
    <col min="8179" max="8179" width="28.7109375" customWidth="1"/>
    <col min="8180" max="8180" width="24.5703125" customWidth="1"/>
    <col min="8181" max="8181" width="12.42578125" customWidth="1"/>
    <col min="8182" max="8182" width="15" customWidth="1"/>
    <col min="8183" max="8183" width="14.7109375" customWidth="1"/>
    <col min="8184" max="8184" width="13.7109375" customWidth="1"/>
    <col min="8185" max="8185" width="12.140625" customWidth="1"/>
    <col min="8186" max="8186" width="15.5703125" customWidth="1"/>
    <col min="8187" max="8187" width="14.7109375" customWidth="1"/>
    <col min="8188" max="8188" width="13.7109375" customWidth="1"/>
    <col min="8189" max="8189" width="15.85546875" customWidth="1"/>
    <col min="8190" max="8190" width="16" customWidth="1"/>
    <col min="8191" max="8191" width="14.7109375" customWidth="1"/>
    <col min="8192" max="8192" width="17.42578125" customWidth="1"/>
    <col min="8193" max="8193" width="13.85546875" customWidth="1"/>
    <col min="8194" max="8194" width="16" customWidth="1"/>
    <col min="8195" max="8195" width="15.42578125" customWidth="1"/>
    <col min="8196" max="8196" width="16.140625" customWidth="1"/>
    <col min="8435" max="8435" width="28.7109375" customWidth="1"/>
    <col min="8436" max="8436" width="24.5703125" customWidth="1"/>
    <col min="8437" max="8437" width="12.42578125" customWidth="1"/>
    <col min="8438" max="8438" width="15" customWidth="1"/>
    <col min="8439" max="8439" width="14.7109375" customWidth="1"/>
    <col min="8440" max="8440" width="13.7109375" customWidth="1"/>
    <col min="8441" max="8441" width="12.140625" customWidth="1"/>
    <col min="8442" max="8442" width="15.5703125" customWidth="1"/>
    <col min="8443" max="8443" width="14.7109375" customWidth="1"/>
    <col min="8444" max="8444" width="13.7109375" customWidth="1"/>
    <col min="8445" max="8445" width="15.85546875" customWidth="1"/>
    <col min="8446" max="8446" width="16" customWidth="1"/>
    <col min="8447" max="8447" width="14.7109375" customWidth="1"/>
    <col min="8448" max="8448" width="17.42578125" customWidth="1"/>
    <col min="8449" max="8449" width="13.85546875" customWidth="1"/>
    <col min="8450" max="8450" width="16" customWidth="1"/>
    <col min="8451" max="8451" width="15.42578125" customWidth="1"/>
    <col min="8452" max="8452" width="16.140625" customWidth="1"/>
    <col min="8691" max="8691" width="28.7109375" customWidth="1"/>
    <col min="8692" max="8692" width="24.5703125" customWidth="1"/>
    <col min="8693" max="8693" width="12.42578125" customWidth="1"/>
    <col min="8694" max="8694" width="15" customWidth="1"/>
    <col min="8695" max="8695" width="14.7109375" customWidth="1"/>
    <col min="8696" max="8696" width="13.7109375" customWidth="1"/>
    <col min="8697" max="8697" width="12.140625" customWidth="1"/>
    <col min="8698" max="8698" width="15.5703125" customWidth="1"/>
    <col min="8699" max="8699" width="14.7109375" customWidth="1"/>
    <col min="8700" max="8700" width="13.7109375" customWidth="1"/>
    <col min="8701" max="8701" width="15.85546875" customWidth="1"/>
    <col min="8702" max="8702" width="16" customWidth="1"/>
    <col min="8703" max="8703" width="14.7109375" customWidth="1"/>
    <col min="8704" max="8704" width="17.42578125" customWidth="1"/>
    <col min="8705" max="8705" width="13.85546875" customWidth="1"/>
    <col min="8706" max="8706" width="16" customWidth="1"/>
    <col min="8707" max="8707" width="15.42578125" customWidth="1"/>
    <col min="8708" max="8708" width="16.140625" customWidth="1"/>
    <col min="8947" max="8947" width="28.7109375" customWidth="1"/>
    <col min="8948" max="8948" width="24.5703125" customWidth="1"/>
    <col min="8949" max="8949" width="12.42578125" customWidth="1"/>
    <col min="8950" max="8950" width="15" customWidth="1"/>
    <col min="8951" max="8951" width="14.7109375" customWidth="1"/>
    <col min="8952" max="8952" width="13.7109375" customWidth="1"/>
    <col min="8953" max="8953" width="12.140625" customWidth="1"/>
    <col min="8954" max="8954" width="15.5703125" customWidth="1"/>
    <col min="8955" max="8955" width="14.7109375" customWidth="1"/>
    <col min="8956" max="8956" width="13.7109375" customWidth="1"/>
    <col min="8957" max="8957" width="15.85546875" customWidth="1"/>
    <col min="8958" max="8958" width="16" customWidth="1"/>
    <col min="8959" max="8959" width="14.7109375" customWidth="1"/>
    <col min="8960" max="8960" width="17.42578125" customWidth="1"/>
    <col min="8961" max="8961" width="13.85546875" customWidth="1"/>
    <col min="8962" max="8962" width="16" customWidth="1"/>
    <col min="8963" max="8963" width="15.42578125" customWidth="1"/>
    <col min="8964" max="8964" width="16.140625" customWidth="1"/>
    <col min="9203" max="9203" width="28.7109375" customWidth="1"/>
    <col min="9204" max="9204" width="24.5703125" customWidth="1"/>
    <col min="9205" max="9205" width="12.42578125" customWidth="1"/>
    <col min="9206" max="9206" width="15" customWidth="1"/>
    <col min="9207" max="9207" width="14.7109375" customWidth="1"/>
    <col min="9208" max="9208" width="13.7109375" customWidth="1"/>
    <col min="9209" max="9209" width="12.140625" customWidth="1"/>
    <col min="9210" max="9210" width="15.5703125" customWidth="1"/>
    <col min="9211" max="9211" width="14.7109375" customWidth="1"/>
    <col min="9212" max="9212" width="13.7109375" customWidth="1"/>
    <col min="9213" max="9213" width="15.85546875" customWidth="1"/>
    <col min="9214" max="9214" width="16" customWidth="1"/>
    <col min="9215" max="9215" width="14.7109375" customWidth="1"/>
    <col min="9216" max="9216" width="17.42578125" customWidth="1"/>
    <col min="9217" max="9217" width="13.85546875" customWidth="1"/>
    <col min="9218" max="9218" width="16" customWidth="1"/>
    <col min="9219" max="9219" width="15.42578125" customWidth="1"/>
    <col min="9220" max="9220" width="16.140625" customWidth="1"/>
    <col min="9459" max="9459" width="28.7109375" customWidth="1"/>
    <col min="9460" max="9460" width="24.5703125" customWidth="1"/>
    <col min="9461" max="9461" width="12.42578125" customWidth="1"/>
    <col min="9462" max="9462" width="15" customWidth="1"/>
    <col min="9463" max="9463" width="14.7109375" customWidth="1"/>
    <col min="9464" max="9464" width="13.7109375" customWidth="1"/>
    <col min="9465" max="9465" width="12.140625" customWidth="1"/>
    <col min="9466" max="9466" width="15.5703125" customWidth="1"/>
    <col min="9467" max="9467" width="14.7109375" customWidth="1"/>
    <col min="9468" max="9468" width="13.7109375" customWidth="1"/>
    <col min="9469" max="9469" width="15.85546875" customWidth="1"/>
    <col min="9470" max="9470" width="16" customWidth="1"/>
    <col min="9471" max="9471" width="14.7109375" customWidth="1"/>
    <col min="9472" max="9472" width="17.42578125" customWidth="1"/>
    <col min="9473" max="9473" width="13.85546875" customWidth="1"/>
    <col min="9474" max="9474" width="16" customWidth="1"/>
    <col min="9475" max="9475" width="15.42578125" customWidth="1"/>
    <col min="9476" max="9476" width="16.140625" customWidth="1"/>
    <col min="9715" max="9715" width="28.7109375" customWidth="1"/>
    <col min="9716" max="9716" width="24.5703125" customWidth="1"/>
    <col min="9717" max="9717" width="12.42578125" customWidth="1"/>
    <col min="9718" max="9718" width="15" customWidth="1"/>
    <col min="9719" max="9719" width="14.7109375" customWidth="1"/>
    <col min="9720" max="9720" width="13.7109375" customWidth="1"/>
    <col min="9721" max="9721" width="12.140625" customWidth="1"/>
    <col min="9722" max="9722" width="15.5703125" customWidth="1"/>
    <col min="9723" max="9723" width="14.7109375" customWidth="1"/>
    <col min="9724" max="9724" width="13.7109375" customWidth="1"/>
    <col min="9725" max="9725" width="15.85546875" customWidth="1"/>
    <col min="9726" max="9726" width="16" customWidth="1"/>
    <col min="9727" max="9727" width="14.7109375" customWidth="1"/>
    <col min="9728" max="9728" width="17.42578125" customWidth="1"/>
    <col min="9729" max="9729" width="13.85546875" customWidth="1"/>
    <col min="9730" max="9730" width="16" customWidth="1"/>
    <col min="9731" max="9731" width="15.42578125" customWidth="1"/>
    <col min="9732" max="9732" width="16.140625" customWidth="1"/>
    <col min="9971" max="9971" width="28.7109375" customWidth="1"/>
    <col min="9972" max="9972" width="24.5703125" customWidth="1"/>
    <col min="9973" max="9973" width="12.42578125" customWidth="1"/>
    <col min="9974" max="9974" width="15" customWidth="1"/>
    <col min="9975" max="9975" width="14.7109375" customWidth="1"/>
    <col min="9976" max="9976" width="13.7109375" customWidth="1"/>
    <col min="9977" max="9977" width="12.140625" customWidth="1"/>
    <col min="9978" max="9978" width="15.5703125" customWidth="1"/>
    <col min="9979" max="9979" width="14.7109375" customWidth="1"/>
    <col min="9980" max="9980" width="13.7109375" customWidth="1"/>
    <col min="9981" max="9981" width="15.85546875" customWidth="1"/>
    <col min="9982" max="9982" width="16" customWidth="1"/>
    <col min="9983" max="9983" width="14.7109375" customWidth="1"/>
    <col min="9984" max="9984" width="17.42578125" customWidth="1"/>
    <col min="9985" max="9985" width="13.85546875" customWidth="1"/>
    <col min="9986" max="9986" width="16" customWidth="1"/>
    <col min="9987" max="9987" width="15.42578125" customWidth="1"/>
    <col min="9988" max="9988" width="16.140625" customWidth="1"/>
    <col min="10227" max="10227" width="28.7109375" customWidth="1"/>
    <col min="10228" max="10228" width="24.5703125" customWidth="1"/>
    <col min="10229" max="10229" width="12.42578125" customWidth="1"/>
    <col min="10230" max="10230" width="15" customWidth="1"/>
    <col min="10231" max="10231" width="14.7109375" customWidth="1"/>
    <col min="10232" max="10232" width="13.7109375" customWidth="1"/>
    <col min="10233" max="10233" width="12.140625" customWidth="1"/>
    <col min="10234" max="10234" width="15.5703125" customWidth="1"/>
    <col min="10235" max="10235" width="14.7109375" customWidth="1"/>
    <col min="10236" max="10236" width="13.7109375" customWidth="1"/>
    <col min="10237" max="10237" width="15.85546875" customWidth="1"/>
    <col min="10238" max="10238" width="16" customWidth="1"/>
    <col min="10239" max="10239" width="14.7109375" customWidth="1"/>
    <col min="10240" max="10240" width="17.42578125" customWidth="1"/>
    <col min="10241" max="10241" width="13.85546875" customWidth="1"/>
    <col min="10242" max="10242" width="16" customWidth="1"/>
    <col min="10243" max="10243" width="15.42578125" customWidth="1"/>
    <col min="10244" max="10244" width="16.140625" customWidth="1"/>
    <col min="10483" max="10483" width="28.7109375" customWidth="1"/>
    <col min="10484" max="10484" width="24.5703125" customWidth="1"/>
    <col min="10485" max="10485" width="12.42578125" customWidth="1"/>
    <col min="10486" max="10486" width="15" customWidth="1"/>
    <col min="10487" max="10487" width="14.7109375" customWidth="1"/>
    <col min="10488" max="10488" width="13.7109375" customWidth="1"/>
    <col min="10489" max="10489" width="12.140625" customWidth="1"/>
    <col min="10490" max="10490" width="15.5703125" customWidth="1"/>
    <col min="10491" max="10491" width="14.7109375" customWidth="1"/>
    <col min="10492" max="10492" width="13.7109375" customWidth="1"/>
    <col min="10493" max="10493" width="15.85546875" customWidth="1"/>
    <col min="10494" max="10494" width="16" customWidth="1"/>
    <col min="10495" max="10495" width="14.7109375" customWidth="1"/>
    <col min="10496" max="10496" width="17.42578125" customWidth="1"/>
    <col min="10497" max="10497" width="13.85546875" customWidth="1"/>
    <col min="10498" max="10498" width="16" customWidth="1"/>
    <col min="10499" max="10499" width="15.42578125" customWidth="1"/>
    <col min="10500" max="10500" width="16.140625" customWidth="1"/>
    <col min="10739" max="10739" width="28.7109375" customWidth="1"/>
    <col min="10740" max="10740" width="24.5703125" customWidth="1"/>
    <col min="10741" max="10741" width="12.42578125" customWidth="1"/>
    <col min="10742" max="10742" width="15" customWidth="1"/>
    <col min="10743" max="10743" width="14.7109375" customWidth="1"/>
    <col min="10744" max="10744" width="13.7109375" customWidth="1"/>
    <col min="10745" max="10745" width="12.140625" customWidth="1"/>
    <col min="10746" max="10746" width="15.5703125" customWidth="1"/>
    <col min="10747" max="10747" width="14.7109375" customWidth="1"/>
    <col min="10748" max="10748" width="13.7109375" customWidth="1"/>
    <col min="10749" max="10749" width="15.85546875" customWidth="1"/>
    <col min="10750" max="10750" width="16" customWidth="1"/>
    <col min="10751" max="10751" width="14.7109375" customWidth="1"/>
    <col min="10752" max="10752" width="17.42578125" customWidth="1"/>
    <col min="10753" max="10753" width="13.85546875" customWidth="1"/>
    <col min="10754" max="10754" width="16" customWidth="1"/>
    <col min="10755" max="10755" width="15.42578125" customWidth="1"/>
    <col min="10756" max="10756" width="16.140625" customWidth="1"/>
    <col min="10995" max="10995" width="28.7109375" customWidth="1"/>
    <col min="10996" max="10996" width="24.5703125" customWidth="1"/>
    <col min="10997" max="10997" width="12.42578125" customWidth="1"/>
    <col min="10998" max="10998" width="15" customWidth="1"/>
    <col min="10999" max="10999" width="14.7109375" customWidth="1"/>
    <col min="11000" max="11000" width="13.7109375" customWidth="1"/>
    <col min="11001" max="11001" width="12.140625" customWidth="1"/>
    <col min="11002" max="11002" width="15.5703125" customWidth="1"/>
    <col min="11003" max="11003" width="14.7109375" customWidth="1"/>
    <col min="11004" max="11004" width="13.7109375" customWidth="1"/>
    <col min="11005" max="11005" width="15.85546875" customWidth="1"/>
    <col min="11006" max="11006" width="16" customWidth="1"/>
    <col min="11007" max="11007" width="14.7109375" customWidth="1"/>
    <col min="11008" max="11008" width="17.42578125" customWidth="1"/>
    <col min="11009" max="11009" width="13.85546875" customWidth="1"/>
    <col min="11010" max="11010" width="16" customWidth="1"/>
    <col min="11011" max="11011" width="15.42578125" customWidth="1"/>
    <col min="11012" max="11012" width="16.140625" customWidth="1"/>
    <col min="11251" max="11251" width="28.7109375" customWidth="1"/>
    <col min="11252" max="11252" width="24.5703125" customWidth="1"/>
    <col min="11253" max="11253" width="12.42578125" customWidth="1"/>
    <col min="11254" max="11254" width="15" customWidth="1"/>
    <col min="11255" max="11255" width="14.7109375" customWidth="1"/>
    <col min="11256" max="11256" width="13.7109375" customWidth="1"/>
    <col min="11257" max="11257" width="12.140625" customWidth="1"/>
    <col min="11258" max="11258" width="15.5703125" customWidth="1"/>
    <col min="11259" max="11259" width="14.7109375" customWidth="1"/>
    <col min="11260" max="11260" width="13.7109375" customWidth="1"/>
    <col min="11261" max="11261" width="15.85546875" customWidth="1"/>
    <col min="11262" max="11262" width="16" customWidth="1"/>
    <col min="11263" max="11263" width="14.7109375" customWidth="1"/>
    <col min="11264" max="11264" width="17.42578125" customWidth="1"/>
    <col min="11265" max="11265" width="13.85546875" customWidth="1"/>
    <col min="11266" max="11266" width="16" customWidth="1"/>
    <col min="11267" max="11267" width="15.42578125" customWidth="1"/>
    <col min="11268" max="11268" width="16.140625" customWidth="1"/>
    <col min="11507" max="11507" width="28.7109375" customWidth="1"/>
    <col min="11508" max="11508" width="24.5703125" customWidth="1"/>
    <col min="11509" max="11509" width="12.42578125" customWidth="1"/>
    <col min="11510" max="11510" width="15" customWidth="1"/>
    <col min="11511" max="11511" width="14.7109375" customWidth="1"/>
    <col min="11512" max="11512" width="13.7109375" customWidth="1"/>
    <col min="11513" max="11513" width="12.140625" customWidth="1"/>
    <col min="11514" max="11514" width="15.5703125" customWidth="1"/>
    <col min="11515" max="11515" width="14.7109375" customWidth="1"/>
    <col min="11516" max="11516" width="13.7109375" customWidth="1"/>
    <col min="11517" max="11517" width="15.85546875" customWidth="1"/>
    <col min="11518" max="11518" width="16" customWidth="1"/>
    <col min="11519" max="11519" width="14.7109375" customWidth="1"/>
    <col min="11520" max="11520" width="17.42578125" customWidth="1"/>
    <col min="11521" max="11521" width="13.85546875" customWidth="1"/>
    <col min="11522" max="11522" width="16" customWidth="1"/>
    <col min="11523" max="11523" width="15.42578125" customWidth="1"/>
    <col min="11524" max="11524" width="16.140625" customWidth="1"/>
    <col min="11763" max="11763" width="28.7109375" customWidth="1"/>
    <col min="11764" max="11764" width="24.5703125" customWidth="1"/>
    <col min="11765" max="11765" width="12.42578125" customWidth="1"/>
    <col min="11766" max="11766" width="15" customWidth="1"/>
    <col min="11767" max="11767" width="14.7109375" customWidth="1"/>
    <col min="11768" max="11768" width="13.7109375" customWidth="1"/>
    <col min="11769" max="11769" width="12.140625" customWidth="1"/>
    <col min="11770" max="11770" width="15.5703125" customWidth="1"/>
    <col min="11771" max="11771" width="14.7109375" customWidth="1"/>
    <col min="11772" max="11772" width="13.7109375" customWidth="1"/>
    <col min="11773" max="11773" width="15.85546875" customWidth="1"/>
    <col min="11774" max="11774" width="16" customWidth="1"/>
    <col min="11775" max="11775" width="14.7109375" customWidth="1"/>
    <col min="11776" max="11776" width="17.42578125" customWidth="1"/>
    <col min="11777" max="11777" width="13.85546875" customWidth="1"/>
    <col min="11778" max="11778" width="16" customWidth="1"/>
    <col min="11779" max="11779" width="15.42578125" customWidth="1"/>
    <col min="11780" max="11780" width="16.140625" customWidth="1"/>
    <col min="12019" max="12019" width="28.7109375" customWidth="1"/>
    <col min="12020" max="12020" width="24.5703125" customWidth="1"/>
    <col min="12021" max="12021" width="12.42578125" customWidth="1"/>
    <col min="12022" max="12022" width="15" customWidth="1"/>
    <col min="12023" max="12023" width="14.7109375" customWidth="1"/>
    <col min="12024" max="12024" width="13.7109375" customWidth="1"/>
    <col min="12025" max="12025" width="12.140625" customWidth="1"/>
    <col min="12026" max="12026" width="15.5703125" customWidth="1"/>
    <col min="12027" max="12027" width="14.7109375" customWidth="1"/>
    <col min="12028" max="12028" width="13.7109375" customWidth="1"/>
    <col min="12029" max="12029" width="15.85546875" customWidth="1"/>
    <col min="12030" max="12030" width="16" customWidth="1"/>
    <col min="12031" max="12031" width="14.7109375" customWidth="1"/>
    <col min="12032" max="12032" width="17.42578125" customWidth="1"/>
    <col min="12033" max="12033" width="13.85546875" customWidth="1"/>
    <col min="12034" max="12034" width="16" customWidth="1"/>
    <col min="12035" max="12035" width="15.42578125" customWidth="1"/>
    <col min="12036" max="12036" width="16.140625" customWidth="1"/>
    <col min="12275" max="12275" width="28.7109375" customWidth="1"/>
    <col min="12276" max="12276" width="24.5703125" customWidth="1"/>
    <col min="12277" max="12277" width="12.42578125" customWidth="1"/>
    <col min="12278" max="12278" width="15" customWidth="1"/>
    <col min="12279" max="12279" width="14.7109375" customWidth="1"/>
    <col min="12280" max="12280" width="13.7109375" customWidth="1"/>
    <col min="12281" max="12281" width="12.140625" customWidth="1"/>
    <col min="12282" max="12282" width="15.5703125" customWidth="1"/>
    <col min="12283" max="12283" width="14.7109375" customWidth="1"/>
    <col min="12284" max="12284" width="13.7109375" customWidth="1"/>
    <col min="12285" max="12285" width="15.85546875" customWidth="1"/>
    <col min="12286" max="12286" width="16" customWidth="1"/>
    <col min="12287" max="12287" width="14.7109375" customWidth="1"/>
    <col min="12288" max="12288" width="17.42578125" customWidth="1"/>
    <col min="12289" max="12289" width="13.85546875" customWidth="1"/>
    <col min="12290" max="12290" width="16" customWidth="1"/>
    <col min="12291" max="12291" width="15.42578125" customWidth="1"/>
    <col min="12292" max="12292" width="16.140625" customWidth="1"/>
    <col min="12531" max="12531" width="28.7109375" customWidth="1"/>
    <col min="12532" max="12532" width="24.5703125" customWidth="1"/>
    <col min="12533" max="12533" width="12.42578125" customWidth="1"/>
    <col min="12534" max="12534" width="15" customWidth="1"/>
    <col min="12535" max="12535" width="14.7109375" customWidth="1"/>
    <col min="12536" max="12536" width="13.7109375" customWidth="1"/>
    <col min="12537" max="12537" width="12.140625" customWidth="1"/>
    <col min="12538" max="12538" width="15.5703125" customWidth="1"/>
    <col min="12539" max="12539" width="14.7109375" customWidth="1"/>
    <col min="12540" max="12540" width="13.7109375" customWidth="1"/>
    <col min="12541" max="12541" width="15.85546875" customWidth="1"/>
    <col min="12542" max="12542" width="16" customWidth="1"/>
    <col min="12543" max="12543" width="14.7109375" customWidth="1"/>
    <col min="12544" max="12544" width="17.42578125" customWidth="1"/>
    <col min="12545" max="12545" width="13.85546875" customWidth="1"/>
    <col min="12546" max="12546" width="16" customWidth="1"/>
    <col min="12547" max="12547" width="15.42578125" customWidth="1"/>
    <col min="12548" max="12548" width="16.140625" customWidth="1"/>
    <col min="12787" max="12787" width="28.7109375" customWidth="1"/>
    <col min="12788" max="12788" width="24.5703125" customWidth="1"/>
    <col min="12789" max="12789" width="12.42578125" customWidth="1"/>
    <col min="12790" max="12790" width="15" customWidth="1"/>
    <col min="12791" max="12791" width="14.7109375" customWidth="1"/>
    <col min="12792" max="12792" width="13.7109375" customWidth="1"/>
    <col min="12793" max="12793" width="12.140625" customWidth="1"/>
    <col min="12794" max="12794" width="15.5703125" customWidth="1"/>
    <col min="12795" max="12795" width="14.7109375" customWidth="1"/>
    <col min="12796" max="12796" width="13.7109375" customWidth="1"/>
    <col min="12797" max="12797" width="15.85546875" customWidth="1"/>
    <col min="12798" max="12798" width="16" customWidth="1"/>
    <col min="12799" max="12799" width="14.7109375" customWidth="1"/>
    <col min="12800" max="12800" width="17.42578125" customWidth="1"/>
    <col min="12801" max="12801" width="13.85546875" customWidth="1"/>
    <col min="12802" max="12802" width="16" customWidth="1"/>
    <col min="12803" max="12803" width="15.42578125" customWidth="1"/>
    <col min="12804" max="12804" width="16.140625" customWidth="1"/>
    <col min="13043" max="13043" width="28.7109375" customWidth="1"/>
    <col min="13044" max="13044" width="24.5703125" customWidth="1"/>
    <col min="13045" max="13045" width="12.42578125" customWidth="1"/>
    <col min="13046" max="13046" width="15" customWidth="1"/>
    <col min="13047" max="13047" width="14.7109375" customWidth="1"/>
    <col min="13048" max="13048" width="13.7109375" customWidth="1"/>
    <col min="13049" max="13049" width="12.140625" customWidth="1"/>
    <col min="13050" max="13050" width="15.5703125" customWidth="1"/>
    <col min="13051" max="13051" width="14.7109375" customWidth="1"/>
    <col min="13052" max="13052" width="13.7109375" customWidth="1"/>
    <col min="13053" max="13053" width="15.85546875" customWidth="1"/>
    <col min="13054" max="13054" width="16" customWidth="1"/>
    <col min="13055" max="13055" width="14.7109375" customWidth="1"/>
    <col min="13056" max="13056" width="17.42578125" customWidth="1"/>
    <col min="13057" max="13057" width="13.85546875" customWidth="1"/>
    <col min="13058" max="13058" width="16" customWidth="1"/>
    <col min="13059" max="13059" width="15.42578125" customWidth="1"/>
    <col min="13060" max="13060" width="16.140625" customWidth="1"/>
    <col min="13299" max="13299" width="28.7109375" customWidth="1"/>
    <col min="13300" max="13300" width="24.5703125" customWidth="1"/>
    <col min="13301" max="13301" width="12.42578125" customWidth="1"/>
    <col min="13302" max="13302" width="15" customWidth="1"/>
    <col min="13303" max="13303" width="14.7109375" customWidth="1"/>
    <col min="13304" max="13304" width="13.7109375" customWidth="1"/>
    <col min="13305" max="13305" width="12.140625" customWidth="1"/>
    <col min="13306" max="13306" width="15.5703125" customWidth="1"/>
    <col min="13307" max="13307" width="14.7109375" customWidth="1"/>
    <col min="13308" max="13308" width="13.7109375" customWidth="1"/>
    <col min="13309" max="13309" width="15.85546875" customWidth="1"/>
    <col min="13310" max="13310" width="16" customWidth="1"/>
    <col min="13311" max="13311" width="14.7109375" customWidth="1"/>
    <col min="13312" max="13312" width="17.42578125" customWidth="1"/>
    <col min="13313" max="13313" width="13.85546875" customWidth="1"/>
    <col min="13314" max="13314" width="16" customWidth="1"/>
    <col min="13315" max="13315" width="15.42578125" customWidth="1"/>
    <col min="13316" max="13316" width="16.140625" customWidth="1"/>
    <col min="13555" max="13555" width="28.7109375" customWidth="1"/>
    <col min="13556" max="13556" width="24.5703125" customWidth="1"/>
    <col min="13557" max="13557" width="12.42578125" customWidth="1"/>
    <col min="13558" max="13558" width="15" customWidth="1"/>
    <col min="13559" max="13559" width="14.7109375" customWidth="1"/>
    <col min="13560" max="13560" width="13.7109375" customWidth="1"/>
    <col min="13561" max="13561" width="12.140625" customWidth="1"/>
    <col min="13562" max="13562" width="15.5703125" customWidth="1"/>
    <col min="13563" max="13563" width="14.7109375" customWidth="1"/>
    <col min="13564" max="13564" width="13.7109375" customWidth="1"/>
    <col min="13565" max="13565" width="15.85546875" customWidth="1"/>
    <col min="13566" max="13566" width="16" customWidth="1"/>
    <col min="13567" max="13567" width="14.7109375" customWidth="1"/>
    <col min="13568" max="13568" width="17.42578125" customWidth="1"/>
    <col min="13569" max="13569" width="13.85546875" customWidth="1"/>
    <col min="13570" max="13570" width="16" customWidth="1"/>
    <col min="13571" max="13571" width="15.42578125" customWidth="1"/>
    <col min="13572" max="13572" width="16.140625" customWidth="1"/>
    <col min="13811" max="13811" width="28.7109375" customWidth="1"/>
    <col min="13812" max="13812" width="24.5703125" customWidth="1"/>
    <col min="13813" max="13813" width="12.42578125" customWidth="1"/>
    <col min="13814" max="13814" width="15" customWidth="1"/>
    <col min="13815" max="13815" width="14.7109375" customWidth="1"/>
    <col min="13816" max="13816" width="13.7109375" customWidth="1"/>
    <col min="13817" max="13817" width="12.140625" customWidth="1"/>
    <col min="13818" max="13818" width="15.5703125" customWidth="1"/>
    <col min="13819" max="13819" width="14.7109375" customWidth="1"/>
    <col min="13820" max="13820" width="13.7109375" customWidth="1"/>
    <col min="13821" max="13821" width="15.85546875" customWidth="1"/>
    <col min="13822" max="13822" width="16" customWidth="1"/>
    <col min="13823" max="13823" width="14.7109375" customWidth="1"/>
    <col min="13824" max="13824" width="17.42578125" customWidth="1"/>
    <col min="13825" max="13825" width="13.85546875" customWidth="1"/>
    <col min="13826" max="13826" width="16" customWidth="1"/>
    <col min="13827" max="13827" width="15.42578125" customWidth="1"/>
    <col min="13828" max="13828" width="16.140625" customWidth="1"/>
    <col min="14067" max="14067" width="28.7109375" customWidth="1"/>
    <col min="14068" max="14068" width="24.5703125" customWidth="1"/>
    <col min="14069" max="14069" width="12.42578125" customWidth="1"/>
    <col min="14070" max="14070" width="15" customWidth="1"/>
    <col min="14071" max="14071" width="14.7109375" customWidth="1"/>
    <col min="14072" max="14072" width="13.7109375" customWidth="1"/>
    <col min="14073" max="14073" width="12.140625" customWidth="1"/>
    <col min="14074" max="14074" width="15.5703125" customWidth="1"/>
    <col min="14075" max="14075" width="14.7109375" customWidth="1"/>
    <col min="14076" max="14076" width="13.7109375" customWidth="1"/>
    <col min="14077" max="14077" width="15.85546875" customWidth="1"/>
    <col min="14078" max="14078" width="16" customWidth="1"/>
    <col min="14079" max="14079" width="14.7109375" customWidth="1"/>
    <col min="14080" max="14080" width="17.42578125" customWidth="1"/>
    <col min="14081" max="14081" width="13.85546875" customWidth="1"/>
    <col min="14082" max="14082" width="16" customWidth="1"/>
    <col min="14083" max="14083" width="15.42578125" customWidth="1"/>
    <col min="14084" max="14084" width="16.140625" customWidth="1"/>
    <col min="14323" max="14323" width="28.7109375" customWidth="1"/>
    <col min="14324" max="14324" width="24.5703125" customWidth="1"/>
    <col min="14325" max="14325" width="12.42578125" customWidth="1"/>
    <col min="14326" max="14326" width="15" customWidth="1"/>
    <col min="14327" max="14327" width="14.7109375" customWidth="1"/>
    <col min="14328" max="14328" width="13.7109375" customWidth="1"/>
    <col min="14329" max="14329" width="12.140625" customWidth="1"/>
    <col min="14330" max="14330" width="15.5703125" customWidth="1"/>
    <col min="14331" max="14331" width="14.7109375" customWidth="1"/>
    <col min="14332" max="14332" width="13.7109375" customWidth="1"/>
    <col min="14333" max="14333" width="15.85546875" customWidth="1"/>
    <col min="14334" max="14334" width="16" customWidth="1"/>
    <col min="14335" max="14335" width="14.7109375" customWidth="1"/>
    <col min="14336" max="14336" width="17.42578125" customWidth="1"/>
    <col min="14337" max="14337" width="13.85546875" customWidth="1"/>
    <col min="14338" max="14338" width="16" customWidth="1"/>
    <col min="14339" max="14339" width="15.42578125" customWidth="1"/>
    <col min="14340" max="14340" width="16.140625" customWidth="1"/>
    <col min="14579" max="14579" width="28.7109375" customWidth="1"/>
    <col min="14580" max="14580" width="24.5703125" customWidth="1"/>
    <col min="14581" max="14581" width="12.42578125" customWidth="1"/>
    <col min="14582" max="14582" width="15" customWidth="1"/>
    <col min="14583" max="14583" width="14.7109375" customWidth="1"/>
    <col min="14584" max="14584" width="13.7109375" customWidth="1"/>
    <col min="14585" max="14585" width="12.140625" customWidth="1"/>
    <col min="14586" max="14586" width="15.5703125" customWidth="1"/>
    <col min="14587" max="14587" width="14.7109375" customWidth="1"/>
    <col min="14588" max="14588" width="13.7109375" customWidth="1"/>
    <col min="14589" max="14589" width="15.85546875" customWidth="1"/>
    <col min="14590" max="14590" width="16" customWidth="1"/>
    <col min="14591" max="14591" width="14.7109375" customWidth="1"/>
    <col min="14592" max="14592" width="17.42578125" customWidth="1"/>
    <col min="14593" max="14593" width="13.85546875" customWidth="1"/>
    <col min="14594" max="14594" width="16" customWidth="1"/>
    <col min="14595" max="14595" width="15.42578125" customWidth="1"/>
    <col min="14596" max="14596" width="16.140625" customWidth="1"/>
    <col min="14835" max="14835" width="28.7109375" customWidth="1"/>
    <col min="14836" max="14836" width="24.5703125" customWidth="1"/>
    <col min="14837" max="14837" width="12.42578125" customWidth="1"/>
    <col min="14838" max="14838" width="15" customWidth="1"/>
    <col min="14839" max="14839" width="14.7109375" customWidth="1"/>
    <col min="14840" max="14840" width="13.7109375" customWidth="1"/>
    <col min="14841" max="14841" width="12.140625" customWidth="1"/>
    <col min="14842" max="14842" width="15.5703125" customWidth="1"/>
    <col min="14843" max="14843" width="14.7109375" customWidth="1"/>
    <col min="14844" max="14844" width="13.7109375" customWidth="1"/>
    <col min="14845" max="14845" width="15.85546875" customWidth="1"/>
    <col min="14846" max="14846" width="16" customWidth="1"/>
    <col min="14847" max="14847" width="14.7109375" customWidth="1"/>
    <col min="14848" max="14848" width="17.42578125" customWidth="1"/>
    <col min="14849" max="14849" width="13.85546875" customWidth="1"/>
    <col min="14850" max="14850" width="16" customWidth="1"/>
    <col min="14851" max="14851" width="15.42578125" customWidth="1"/>
    <col min="14852" max="14852" width="16.140625" customWidth="1"/>
    <col min="15091" max="15091" width="28.7109375" customWidth="1"/>
    <col min="15092" max="15092" width="24.5703125" customWidth="1"/>
    <col min="15093" max="15093" width="12.42578125" customWidth="1"/>
    <col min="15094" max="15094" width="15" customWidth="1"/>
    <col min="15095" max="15095" width="14.7109375" customWidth="1"/>
    <col min="15096" max="15096" width="13.7109375" customWidth="1"/>
    <col min="15097" max="15097" width="12.140625" customWidth="1"/>
    <col min="15098" max="15098" width="15.5703125" customWidth="1"/>
    <col min="15099" max="15099" width="14.7109375" customWidth="1"/>
    <col min="15100" max="15100" width="13.7109375" customWidth="1"/>
    <col min="15101" max="15101" width="15.85546875" customWidth="1"/>
    <col min="15102" max="15102" width="16" customWidth="1"/>
    <col min="15103" max="15103" width="14.7109375" customWidth="1"/>
    <col min="15104" max="15104" width="17.42578125" customWidth="1"/>
    <col min="15105" max="15105" width="13.85546875" customWidth="1"/>
    <col min="15106" max="15106" width="16" customWidth="1"/>
    <col min="15107" max="15107" width="15.42578125" customWidth="1"/>
    <col min="15108" max="15108" width="16.140625" customWidth="1"/>
    <col min="15347" max="15347" width="28.7109375" customWidth="1"/>
    <col min="15348" max="15348" width="24.5703125" customWidth="1"/>
    <col min="15349" max="15349" width="12.42578125" customWidth="1"/>
    <col min="15350" max="15350" width="15" customWidth="1"/>
    <col min="15351" max="15351" width="14.7109375" customWidth="1"/>
    <col min="15352" max="15352" width="13.7109375" customWidth="1"/>
    <col min="15353" max="15353" width="12.140625" customWidth="1"/>
    <col min="15354" max="15354" width="15.5703125" customWidth="1"/>
    <col min="15355" max="15355" width="14.7109375" customWidth="1"/>
    <col min="15356" max="15356" width="13.7109375" customWidth="1"/>
    <col min="15357" max="15357" width="15.85546875" customWidth="1"/>
    <col min="15358" max="15358" width="16" customWidth="1"/>
    <col min="15359" max="15359" width="14.7109375" customWidth="1"/>
    <col min="15360" max="15360" width="17.42578125" customWidth="1"/>
    <col min="15361" max="15361" width="13.85546875" customWidth="1"/>
    <col min="15362" max="15362" width="16" customWidth="1"/>
    <col min="15363" max="15363" width="15.42578125" customWidth="1"/>
    <col min="15364" max="15364" width="16.140625" customWidth="1"/>
    <col min="15603" max="15603" width="28.7109375" customWidth="1"/>
    <col min="15604" max="15604" width="24.5703125" customWidth="1"/>
    <col min="15605" max="15605" width="12.42578125" customWidth="1"/>
    <col min="15606" max="15606" width="15" customWidth="1"/>
    <col min="15607" max="15607" width="14.7109375" customWidth="1"/>
    <col min="15608" max="15608" width="13.7109375" customWidth="1"/>
    <col min="15609" max="15609" width="12.140625" customWidth="1"/>
    <col min="15610" max="15610" width="15.5703125" customWidth="1"/>
    <col min="15611" max="15611" width="14.7109375" customWidth="1"/>
    <col min="15612" max="15612" width="13.7109375" customWidth="1"/>
    <col min="15613" max="15613" width="15.85546875" customWidth="1"/>
    <col min="15614" max="15614" width="16" customWidth="1"/>
    <col min="15615" max="15615" width="14.7109375" customWidth="1"/>
    <col min="15616" max="15616" width="17.42578125" customWidth="1"/>
    <col min="15617" max="15617" width="13.85546875" customWidth="1"/>
    <col min="15618" max="15618" width="16" customWidth="1"/>
    <col min="15619" max="15619" width="15.42578125" customWidth="1"/>
    <col min="15620" max="15620" width="16.140625" customWidth="1"/>
    <col min="15859" max="15859" width="28.7109375" customWidth="1"/>
    <col min="15860" max="15860" width="24.5703125" customWidth="1"/>
    <col min="15861" max="15861" width="12.42578125" customWidth="1"/>
    <col min="15862" max="15862" width="15" customWidth="1"/>
    <col min="15863" max="15863" width="14.7109375" customWidth="1"/>
    <col min="15864" max="15864" width="13.7109375" customWidth="1"/>
    <col min="15865" max="15865" width="12.140625" customWidth="1"/>
    <col min="15866" max="15866" width="15.5703125" customWidth="1"/>
    <col min="15867" max="15867" width="14.7109375" customWidth="1"/>
    <col min="15868" max="15868" width="13.7109375" customWidth="1"/>
    <col min="15869" max="15869" width="15.85546875" customWidth="1"/>
    <col min="15870" max="15870" width="16" customWidth="1"/>
    <col min="15871" max="15871" width="14.7109375" customWidth="1"/>
    <col min="15872" max="15872" width="17.42578125" customWidth="1"/>
    <col min="15873" max="15873" width="13.85546875" customWidth="1"/>
    <col min="15874" max="15874" width="16" customWidth="1"/>
    <col min="15875" max="15875" width="15.42578125" customWidth="1"/>
    <col min="15876" max="15876" width="16.140625" customWidth="1"/>
    <col min="16115" max="16115" width="28.7109375" customWidth="1"/>
    <col min="16116" max="16116" width="24.5703125" customWidth="1"/>
    <col min="16117" max="16117" width="12.42578125" customWidth="1"/>
    <col min="16118" max="16118" width="15" customWidth="1"/>
    <col min="16119" max="16119" width="14.7109375" customWidth="1"/>
    <col min="16120" max="16120" width="13.7109375" customWidth="1"/>
    <col min="16121" max="16121" width="12.140625" customWidth="1"/>
    <col min="16122" max="16122" width="15.5703125" customWidth="1"/>
    <col min="16123" max="16123" width="14.7109375" customWidth="1"/>
    <col min="16124" max="16124" width="13.7109375" customWidth="1"/>
    <col min="16125" max="16125" width="15.85546875" customWidth="1"/>
    <col min="16126" max="16126" width="16" customWidth="1"/>
    <col min="16127" max="16127" width="14.7109375" customWidth="1"/>
    <col min="16128" max="16128" width="17.42578125" customWidth="1"/>
    <col min="16129" max="16129" width="13.85546875" customWidth="1"/>
    <col min="16130" max="16130" width="16" customWidth="1"/>
    <col min="16131" max="16131" width="15.42578125" customWidth="1"/>
    <col min="16132" max="16132" width="16.140625" customWidth="1"/>
  </cols>
  <sheetData>
    <row r="1" spans="1:25" ht="27.75" customHeight="1" x14ac:dyDescent="0.25">
      <c r="A1" s="320" t="s">
        <v>218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</row>
    <row r="2" spans="1:25" ht="27.75" customHeight="1" x14ac:dyDescent="0.25">
      <c r="B2" s="248" t="s">
        <v>142</v>
      </c>
      <c r="C2" s="248"/>
      <c r="D2" s="248"/>
      <c r="E2" s="248"/>
      <c r="F2" s="248"/>
      <c r="G2" s="248"/>
      <c r="H2" s="248" t="s">
        <v>143</v>
      </c>
      <c r="I2" s="248"/>
      <c r="J2" s="248"/>
      <c r="K2" s="248"/>
      <c r="L2" s="248"/>
      <c r="M2" s="248"/>
      <c r="N2" s="248" t="s">
        <v>144</v>
      </c>
      <c r="O2" s="248"/>
      <c r="P2" s="248"/>
      <c r="Q2" s="248"/>
      <c r="R2" s="248"/>
      <c r="S2" s="248"/>
      <c r="T2" s="248" t="s">
        <v>145</v>
      </c>
      <c r="U2" s="248"/>
      <c r="V2" s="248"/>
      <c r="W2" s="248"/>
      <c r="X2" s="248"/>
      <c r="Y2" s="248"/>
    </row>
    <row r="3" spans="1:25" ht="15.75" customHeight="1" x14ac:dyDescent="0.25">
      <c r="A3" s="253" t="s">
        <v>1</v>
      </c>
      <c r="B3" s="322" t="s">
        <v>209</v>
      </c>
      <c r="C3" s="322" t="s">
        <v>4</v>
      </c>
      <c r="D3" s="321" t="s">
        <v>210</v>
      </c>
      <c r="E3" s="321" t="s">
        <v>219</v>
      </c>
      <c r="F3" s="321" t="s">
        <v>220</v>
      </c>
      <c r="G3" s="321" t="s">
        <v>221</v>
      </c>
      <c r="H3" s="322" t="s">
        <v>209</v>
      </c>
      <c r="I3" s="322" t="s">
        <v>4</v>
      </c>
      <c r="J3" s="321" t="s">
        <v>210</v>
      </c>
      <c r="K3" s="321" t="s">
        <v>219</v>
      </c>
      <c r="L3" s="321" t="s">
        <v>220</v>
      </c>
      <c r="M3" s="321" t="s">
        <v>221</v>
      </c>
      <c r="N3" s="322" t="s">
        <v>209</v>
      </c>
      <c r="O3" s="322" t="s">
        <v>4</v>
      </c>
      <c r="P3" s="321" t="s">
        <v>210</v>
      </c>
      <c r="Q3" s="321" t="s">
        <v>219</v>
      </c>
      <c r="R3" s="321" t="s">
        <v>220</v>
      </c>
      <c r="S3" s="321" t="s">
        <v>221</v>
      </c>
      <c r="T3" s="322" t="s">
        <v>209</v>
      </c>
      <c r="U3" s="322" t="s">
        <v>4</v>
      </c>
      <c r="V3" s="321" t="s">
        <v>210</v>
      </c>
      <c r="W3" s="321" t="s">
        <v>219</v>
      </c>
      <c r="X3" s="321" t="s">
        <v>220</v>
      </c>
      <c r="Y3" s="321" t="s">
        <v>221</v>
      </c>
    </row>
    <row r="4" spans="1:25" ht="51" customHeight="1" x14ac:dyDescent="0.25">
      <c r="A4" s="253"/>
      <c r="B4" s="322"/>
      <c r="C4" s="322"/>
      <c r="D4" s="321"/>
      <c r="E4" s="321"/>
      <c r="F4" s="321"/>
      <c r="G4" s="321"/>
      <c r="H4" s="322"/>
      <c r="I4" s="322"/>
      <c r="J4" s="321"/>
      <c r="K4" s="321"/>
      <c r="L4" s="321"/>
      <c r="M4" s="321"/>
      <c r="N4" s="322"/>
      <c r="O4" s="322"/>
      <c r="P4" s="321"/>
      <c r="Q4" s="321"/>
      <c r="R4" s="321"/>
      <c r="S4" s="321"/>
      <c r="T4" s="322"/>
      <c r="U4" s="322"/>
      <c r="V4" s="321"/>
      <c r="W4" s="321"/>
      <c r="X4" s="321"/>
      <c r="Y4" s="321"/>
    </row>
    <row r="5" spans="1:25" ht="48" customHeight="1" x14ac:dyDescent="0.25">
      <c r="A5" s="253"/>
      <c r="B5" s="322"/>
      <c r="C5" s="322"/>
      <c r="D5" s="321"/>
      <c r="E5" s="321"/>
      <c r="F5" s="321"/>
      <c r="G5" s="321"/>
      <c r="H5" s="322"/>
      <c r="I5" s="322"/>
      <c r="J5" s="321"/>
      <c r="K5" s="321"/>
      <c r="L5" s="321"/>
      <c r="M5" s="321"/>
      <c r="N5" s="322"/>
      <c r="O5" s="322"/>
      <c r="P5" s="321"/>
      <c r="Q5" s="321"/>
      <c r="R5" s="321"/>
      <c r="S5" s="321"/>
      <c r="T5" s="322"/>
      <c r="U5" s="322"/>
      <c r="V5" s="321"/>
      <c r="W5" s="321"/>
      <c r="X5" s="321"/>
      <c r="Y5" s="321"/>
    </row>
    <row r="6" spans="1:25" ht="15.95" customHeight="1" x14ac:dyDescent="0.25">
      <c r="A6" s="146" t="s">
        <v>34</v>
      </c>
      <c r="B6" s="125">
        <v>1</v>
      </c>
      <c r="C6" s="125">
        <v>240</v>
      </c>
      <c r="D6" s="191">
        <v>1.1152777777777778</v>
      </c>
      <c r="E6" s="191">
        <v>9.9626400996264006E-2</v>
      </c>
      <c r="F6" s="191">
        <v>0</v>
      </c>
      <c r="G6" s="191">
        <v>1</v>
      </c>
      <c r="H6" s="125">
        <v>1</v>
      </c>
      <c r="I6" s="125">
        <v>240</v>
      </c>
      <c r="J6" s="191">
        <v>1.2305555555555554</v>
      </c>
      <c r="K6" s="191">
        <v>1.1286681715575621E-2</v>
      </c>
      <c r="L6" s="191">
        <v>0</v>
      </c>
      <c r="M6" s="191">
        <v>0.97404063205417624</v>
      </c>
      <c r="N6" s="125">
        <v>1</v>
      </c>
      <c r="O6" s="125">
        <v>240</v>
      </c>
      <c r="P6" s="191">
        <v>1.2541666666666667</v>
      </c>
      <c r="Q6" s="191">
        <v>6.6445182724252493E-3</v>
      </c>
      <c r="R6" s="191">
        <v>0</v>
      </c>
      <c r="S6" s="191">
        <v>0.96566998892580291</v>
      </c>
      <c r="T6" s="125">
        <v>1</v>
      </c>
      <c r="U6" s="125">
        <v>240</v>
      </c>
      <c r="V6" s="191">
        <v>1.1597222222222221</v>
      </c>
      <c r="W6" s="191">
        <v>0</v>
      </c>
      <c r="X6" s="191">
        <v>0</v>
      </c>
      <c r="Y6" s="191">
        <v>0.94730538922155705</v>
      </c>
    </row>
    <row r="7" spans="1:25" ht="15.95" customHeight="1" x14ac:dyDescent="0.25">
      <c r="A7" s="146" t="s">
        <v>119</v>
      </c>
      <c r="B7" s="125">
        <v>3</v>
      </c>
      <c r="C7" s="125">
        <v>420</v>
      </c>
      <c r="D7" s="191">
        <v>0.79047619047619044</v>
      </c>
      <c r="E7" s="191">
        <v>4.1164658634538151E-2</v>
      </c>
      <c r="F7" s="191">
        <v>5.7228915662650599E-2</v>
      </c>
      <c r="G7" s="191">
        <v>0.94477911646586354</v>
      </c>
      <c r="H7" s="125">
        <v>3</v>
      </c>
      <c r="I7" s="125">
        <v>420</v>
      </c>
      <c r="J7" s="191">
        <v>1.0071428571428571</v>
      </c>
      <c r="K7" s="191">
        <v>2.5216706067769899E-2</v>
      </c>
      <c r="L7" s="191">
        <v>5.2009456264775412E-2</v>
      </c>
      <c r="M7" s="191">
        <v>1</v>
      </c>
      <c r="N7" s="125">
        <v>3</v>
      </c>
      <c r="O7" s="125">
        <v>420</v>
      </c>
      <c r="P7" s="191">
        <v>1.0126984126984127</v>
      </c>
      <c r="Q7" s="191">
        <v>4.3103448275862072E-2</v>
      </c>
      <c r="R7" s="191">
        <v>5.6426332288401257E-2</v>
      </c>
      <c r="S7" s="191">
        <v>0.85188087774294674</v>
      </c>
      <c r="T7" s="125">
        <v>3</v>
      </c>
      <c r="U7" s="125">
        <v>420</v>
      </c>
      <c r="V7" s="191">
        <v>0.88888888888888884</v>
      </c>
      <c r="W7" s="191">
        <v>8.0357142857142849E-3</v>
      </c>
      <c r="X7" s="191">
        <v>6.6071428571428573E-2</v>
      </c>
      <c r="Y7" s="191">
        <v>0.68125000000000002</v>
      </c>
    </row>
    <row r="8" spans="1:25" ht="15.95" customHeight="1" x14ac:dyDescent="0.25">
      <c r="A8" s="146" t="s">
        <v>123</v>
      </c>
      <c r="B8" s="125">
        <v>3</v>
      </c>
      <c r="C8" s="125">
        <v>360</v>
      </c>
      <c r="D8" s="191">
        <v>0.98518518518518527</v>
      </c>
      <c r="E8" s="191">
        <v>1.4097744360902255E-2</v>
      </c>
      <c r="F8" s="191">
        <v>1.1278195488721804E-2</v>
      </c>
      <c r="G8" s="191">
        <v>1</v>
      </c>
      <c r="H8" s="125">
        <v>3</v>
      </c>
      <c r="I8" s="125">
        <v>360</v>
      </c>
      <c r="J8" s="191">
        <v>1.0268518518518519</v>
      </c>
      <c r="K8" s="191">
        <v>1.6230838593327322E-2</v>
      </c>
      <c r="L8" s="191">
        <v>1.4427412082957619E-2</v>
      </c>
      <c r="M8" s="191">
        <v>1</v>
      </c>
      <c r="N8" s="125">
        <v>3</v>
      </c>
      <c r="O8" s="125">
        <v>360</v>
      </c>
      <c r="P8" s="191">
        <v>1.0398148148148147</v>
      </c>
      <c r="Q8" s="191">
        <v>2.6714158504007122E-2</v>
      </c>
      <c r="R8" s="191">
        <v>2.4933214603739984E-2</v>
      </c>
      <c r="S8" s="191">
        <v>1</v>
      </c>
      <c r="T8" s="125">
        <v>3</v>
      </c>
      <c r="U8" s="125">
        <v>360</v>
      </c>
      <c r="V8" s="191">
        <v>0.99444444444444446</v>
      </c>
      <c r="W8" s="191">
        <v>1.9553072625698324E-2</v>
      </c>
      <c r="X8" s="191">
        <v>3.8175046554934824E-2</v>
      </c>
      <c r="Y8" s="191">
        <v>1</v>
      </c>
    </row>
    <row r="9" spans="1:25" ht="15.95" customHeight="1" x14ac:dyDescent="0.25">
      <c r="A9" s="145" t="s">
        <v>19</v>
      </c>
      <c r="B9" s="125">
        <v>2</v>
      </c>
      <c r="C9" s="125">
        <v>150</v>
      </c>
      <c r="D9" s="191">
        <v>1.1733333333333333</v>
      </c>
      <c r="E9" s="191">
        <v>1.1363636363636364E-2</v>
      </c>
      <c r="F9" s="191">
        <v>1.1363636363636364E-2</v>
      </c>
      <c r="G9" s="191">
        <v>0.65530303030303028</v>
      </c>
      <c r="H9" s="125">
        <v>2</v>
      </c>
      <c r="I9" s="125">
        <v>150</v>
      </c>
      <c r="J9" s="191">
        <v>1.0933333333333333</v>
      </c>
      <c r="K9" s="191">
        <v>1.2195121951219513E-2</v>
      </c>
      <c r="L9" s="191">
        <v>2.032520325203252E-2</v>
      </c>
      <c r="M9" s="191">
        <v>1</v>
      </c>
      <c r="N9" s="125">
        <v>2</v>
      </c>
      <c r="O9" s="125">
        <v>150</v>
      </c>
      <c r="P9" s="191">
        <v>1.0333333333333334</v>
      </c>
      <c r="Q9" s="191">
        <v>2.5806451612903226E-2</v>
      </c>
      <c r="R9" s="191">
        <v>2.5806451612903226E-2</v>
      </c>
      <c r="S9" s="191">
        <v>1</v>
      </c>
      <c r="T9" s="125">
        <v>2</v>
      </c>
      <c r="U9" s="125">
        <v>150</v>
      </c>
      <c r="V9" s="191">
        <v>0.98666666666666669</v>
      </c>
      <c r="W9" s="191">
        <v>2.4774774774774775E-2</v>
      </c>
      <c r="X9" s="191">
        <v>4.0540540540540543E-2</v>
      </c>
      <c r="Y9" s="191">
        <v>1</v>
      </c>
    </row>
    <row r="10" spans="1:25" ht="15.95" customHeight="1" x14ac:dyDescent="0.25">
      <c r="A10" s="146" t="s">
        <v>127</v>
      </c>
      <c r="B10" s="125">
        <v>3</v>
      </c>
      <c r="C10" s="125">
        <v>300</v>
      </c>
      <c r="D10" s="191">
        <v>0.84777777777777785</v>
      </c>
      <c r="E10" s="191">
        <v>2.621231979030144E-2</v>
      </c>
      <c r="F10" s="191">
        <v>1.0484927916120575E-2</v>
      </c>
      <c r="G10" s="191">
        <v>0.66317169069462645</v>
      </c>
      <c r="H10" s="125">
        <v>3</v>
      </c>
      <c r="I10" s="125">
        <v>300</v>
      </c>
      <c r="J10" s="191">
        <v>1.038888888888889</v>
      </c>
      <c r="K10" s="191">
        <v>4.2780748663101605E-3</v>
      </c>
      <c r="L10" s="191">
        <v>1.06951871657754E-2</v>
      </c>
      <c r="M10" s="191">
        <v>0.62994652406417107</v>
      </c>
      <c r="N10" s="125">
        <v>3</v>
      </c>
      <c r="O10" s="125">
        <v>300</v>
      </c>
      <c r="P10" s="191">
        <v>1.078888888888889</v>
      </c>
      <c r="Q10" s="191">
        <v>3.089598352214212E-3</v>
      </c>
      <c r="R10" s="191">
        <v>1.3388259526261584E-2</v>
      </c>
      <c r="S10" s="191">
        <v>0.71163748712667352</v>
      </c>
      <c r="T10" s="125">
        <v>3</v>
      </c>
      <c r="U10" s="125">
        <v>300</v>
      </c>
      <c r="V10" s="191">
        <v>1.0877777777777777</v>
      </c>
      <c r="W10" s="191">
        <v>5.1072522982635342E-3</v>
      </c>
      <c r="X10" s="191">
        <v>1.2257405515832483E-2</v>
      </c>
      <c r="Y10" s="191">
        <v>0.61491317671092949</v>
      </c>
    </row>
    <row r="11" spans="1:25" ht="15.95" customHeight="1" x14ac:dyDescent="0.25">
      <c r="A11" s="145" t="s">
        <v>85</v>
      </c>
      <c r="B11" s="125">
        <v>1</v>
      </c>
      <c r="C11" s="125">
        <v>60</v>
      </c>
      <c r="D11" s="191">
        <v>0.33333333333333331</v>
      </c>
      <c r="E11" s="191">
        <v>0</v>
      </c>
      <c r="F11" s="191">
        <v>0.05</v>
      </c>
      <c r="G11" s="191">
        <v>1.2</v>
      </c>
      <c r="H11" s="125">
        <v>1</v>
      </c>
      <c r="I11" s="125">
        <v>60</v>
      </c>
      <c r="J11" s="191">
        <v>0.85833333333333339</v>
      </c>
      <c r="K11" s="191">
        <v>0.1650485436893204</v>
      </c>
      <c r="L11" s="191">
        <v>5.8252427184466014E-2</v>
      </c>
      <c r="M11" s="191">
        <v>0.89320388349514557</v>
      </c>
      <c r="N11" s="125">
        <v>1</v>
      </c>
      <c r="O11" s="125">
        <v>60</v>
      </c>
      <c r="P11" s="191">
        <v>0.42777777777777781</v>
      </c>
      <c r="Q11" s="191">
        <v>0.1038961038961039</v>
      </c>
      <c r="R11" s="191">
        <v>7.792207792207792E-2</v>
      </c>
      <c r="S11" s="191">
        <v>0.93506493506493504</v>
      </c>
      <c r="T11" s="125">
        <v>1</v>
      </c>
      <c r="U11" s="125">
        <v>60</v>
      </c>
      <c r="V11" s="191">
        <v>0.58333333333333337</v>
      </c>
      <c r="W11" s="191">
        <v>0</v>
      </c>
      <c r="X11" s="191">
        <v>8.5714285714285715E-2</v>
      </c>
      <c r="Y11" s="191">
        <v>0.93333333333333324</v>
      </c>
    </row>
    <row r="12" spans="1:25" ht="15.95" customHeight="1" x14ac:dyDescent="0.25">
      <c r="A12" s="145" t="s">
        <v>23</v>
      </c>
      <c r="B12" s="125">
        <v>2</v>
      </c>
      <c r="C12" s="125">
        <v>210</v>
      </c>
      <c r="D12" s="191">
        <v>1.1158730158730159</v>
      </c>
      <c r="E12" s="191">
        <v>2.7027027027027029E-2</v>
      </c>
      <c r="F12" s="191">
        <v>2.1337126600284494E-2</v>
      </c>
      <c r="G12" s="191">
        <v>0.82076813655761027</v>
      </c>
      <c r="H12" s="125">
        <v>2</v>
      </c>
      <c r="I12" s="125">
        <v>210</v>
      </c>
      <c r="J12" s="191">
        <v>1.0888888888888888</v>
      </c>
      <c r="K12" s="191">
        <v>1.1661807580174927E-2</v>
      </c>
      <c r="L12" s="191">
        <v>1.8950437317784258E-2</v>
      </c>
      <c r="M12" s="191">
        <v>0.88046647230320707</v>
      </c>
      <c r="N12" s="125">
        <v>2</v>
      </c>
      <c r="O12" s="125">
        <v>210</v>
      </c>
      <c r="P12" s="191">
        <v>1.0793650793650793</v>
      </c>
      <c r="Q12" s="191">
        <v>1.4705882352941176E-2</v>
      </c>
      <c r="R12" s="191">
        <v>1.7647058823529412E-2</v>
      </c>
      <c r="S12" s="191">
        <v>0.87647058823529411</v>
      </c>
      <c r="T12" s="125">
        <v>2</v>
      </c>
      <c r="U12" s="125">
        <v>210</v>
      </c>
      <c r="V12" s="191">
        <v>1.0571428571428572</v>
      </c>
      <c r="W12" s="191">
        <v>3.003003003003003E-3</v>
      </c>
      <c r="X12" s="191">
        <v>1.8018018018018018E-2</v>
      </c>
      <c r="Y12" s="191">
        <v>0.91291291291291288</v>
      </c>
    </row>
    <row r="13" spans="1:25" ht="15.95" customHeight="1" x14ac:dyDescent="0.25">
      <c r="A13" s="145" t="s">
        <v>88</v>
      </c>
      <c r="B13" s="125">
        <v>2</v>
      </c>
      <c r="C13" s="125">
        <v>180</v>
      </c>
      <c r="D13" s="191">
        <v>0.96111111111111114</v>
      </c>
      <c r="E13" s="191">
        <v>1.9267822736030828E-3</v>
      </c>
      <c r="F13" s="191">
        <v>2.8901734104046242E-2</v>
      </c>
      <c r="G13" s="191">
        <v>1</v>
      </c>
      <c r="H13" s="125">
        <v>2</v>
      </c>
      <c r="I13" s="125">
        <v>180</v>
      </c>
      <c r="J13" s="191">
        <v>0.94444444444444442</v>
      </c>
      <c r="K13" s="191">
        <v>0</v>
      </c>
      <c r="L13" s="191">
        <v>2.7450980392156866E-2</v>
      </c>
      <c r="M13" s="191">
        <v>1</v>
      </c>
      <c r="N13" s="125">
        <v>2</v>
      </c>
      <c r="O13" s="125">
        <v>180</v>
      </c>
      <c r="P13" s="191">
        <v>0.96481481481481479</v>
      </c>
      <c r="Q13" s="191">
        <v>0</v>
      </c>
      <c r="R13" s="191">
        <v>3.2629558541266798E-2</v>
      </c>
      <c r="S13" s="191">
        <v>0.91170825335892525</v>
      </c>
      <c r="T13" s="125">
        <v>2</v>
      </c>
      <c r="U13" s="125">
        <v>180</v>
      </c>
      <c r="V13" s="191">
        <v>0.99814814814814812</v>
      </c>
      <c r="W13" s="191">
        <v>0</v>
      </c>
      <c r="X13" s="191">
        <v>1.2987012987012988E-2</v>
      </c>
      <c r="Y13" s="191">
        <v>0.82374768089053807</v>
      </c>
    </row>
    <row r="14" spans="1:25" ht="15.95" customHeight="1" x14ac:dyDescent="0.25">
      <c r="A14" s="145" t="s">
        <v>94</v>
      </c>
      <c r="B14" s="125">
        <v>3</v>
      </c>
      <c r="C14" s="125">
        <v>180</v>
      </c>
      <c r="D14" s="191">
        <v>0.76481481481481473</v>
      </c>
      <c r="E14" s="191">
        <v>4.8426150121065378E-3</v>
      </c>
      <c r="F14" s="191">
        <v>1.4527845036319613E-2</v>
      </c>
      <c r="G14" s="191">
        <v>1</v>
      </c>
      <c r="H14" s="125">
        <v>3</v>
      </c>
      <c r="I14" s="125">
        <v>180</v>
      </c>
      <c r="J14" s="191">
        <v>1.7222222222222223</v>
      </c>
      <c r="K14" s="191">
        <v>0</v>
      </c>
      <c r="L14" s="191">
        <v>1.0752688172043012E-2</v>
      </c>
      <c r="M14" s="191">
        <v>0.58709677419354833</v>
      </c>
      <c r="N14" s="125">
        <v>3</v>
      </c>
      <c r="O14" s="125">
        <v>180</v>
      </c>
      <c r="P14" s="191">
        <v>3.0185185185185186</v>
      </c>
      <c r="Q14" s="191">
        <v>1.2269938650306749E-3</v>
      </c>
      <c r="R14" s="191">
        <v>9.8159509202453976E-3</v>
      </c>
      <c r="S14" s="191">
        <v>0.31779141104294473</v>
      </c>
      <c r="T14" s="125">
        <v>3</v>
      </c>
      <c r="U14" s="125">
        <v>180</v>
      </c>
      <c r="V14" s="191">
        <v>7.0259259259259261</v>
      </c>
      <c r="W14" s="191">
        <v>2.6357406431207171E-4</v>
      </c>
      <c r="X14" s="191">
        <v>4.2171850289931465E-3</v>
      </c>
      <c r="Y14" s="191">
        <v>0.10437532946758038</v>
      </c>
    </row>
    <row r="15" spans="1:25" ht="15.95" customHeight="1" x14ac:dyDescent="0.25">
      <c r="A15" s="150" t="s">
        <v>7</v>
      </c>
      <c r="B15" s="125">
        <v>1</v>
      </c>
      <c r="C15" s="125">
        <v>90</v>
      </c>
      <c r="D15" s="191">
        <v>1.037037037037037</v>
      </c>
      <c r="E15" s="191">
        <v>1.7857142857142856E-2</v>
      </c>
      <c r="F15" s="191">
        <v>3.9285714285714285E-2</v>
      </c>
      <c r="G15" s="191">
        <v>0.91785714285714293</v>
      </c>
      <c r="H15" s="125">
        <v>1</v>
      </c>
      <c r="I15" s="125">
        <v>90</v>
      </c>
      <c r="J15" s="191">
        <v>1.0185185185185186</v>
      </c>
      <c r="K15" s="191">
        <v>3.6363636363636364E-3</v>
      </c>
      <c r="L15" s="191">
        <v>3.2727272727272723E-2</v>
      </c>
      <c r="M15" s="191">
        <v>0.93454545454545457</v>
      </c>
      <c r="N15" s="125">
        <v>1</v>
      </c>
      <c r="O15" s="125">
        <v>90</v>
      </c>
      <c r="P15" s="191">
        <v>1.0518518518518518</v>
      </c>
      <c r="Q15" s="191">
        <v>7.0422535211267607E-3</v>
      </c>
      <c r="R15" s="191">
        <v>3.1690140845070422E-2</v>
      </c>
      <c r="S15" s="191">
        <v>0.83450704225352113</v>
      </c>
      <c r="T15" s="125">
        <v>1</v>
      </c>
      <c r="U15" s="125">
        <v>90</v>
      </c>
      <c r="V15" s="191">
        <v>1.0888888888888888</v>
      </c>
      <c r="W15" s="191">
        <v>3.4013605442176869E-3</v>
      </c>
      <c r="X15" s="191">
        <v>3.0612244897959183E-2</v>
      </c>
      <c r="Y15" s="191">
        <v>0.56802721088435371</v>
      </c>
    </row>
    <row r="16" spans="1:25" ht="15.95" customHeight="1" x14ac:dyDescent="0.25">
      <c r="A16" s="146" t="s">
        <v>130</v>
      </c>
      <c r="B16" s="125">
        <v>8</v>
      </c>
      <c r="C16" s="125">
        <v>720</v>
      </c>
      <c r="D16" s="191">
        <v>1.0175925925925926</v>
      </c>
      <c r="E16" s="191">
        <v>1.0464058234758872E-2</v>
      </c>
      <c r="F16" s="191">
        <v>2.7297543221110103E-2</v>
      </c>
      <c r="G16" s="191">
        <v>0.9012738853503186</v>
      </c>
      <c r="H16" s="125">
        <v>8</v>
      </c>
      <c r="I16" s="125">
        <v>720</v>
      </c>
      <c r="J16" s="191">
        <v>1.0416666666666667</v>
      </c>
      <c r="K16" s="191">
        <v>8.0000000000000002E-3</v>
      </c>
      <c r="L16" s="191">
        <v>2.3555555555555559E-2</v>
      </c>
      <c r="M16" s="191">
        <v>0.98933333333333329</v>
      </c>
      <c r="N16" s="125">
        <v>8</v>
      </c>
      <c r="O16" s="125">
        <v>720</v>
      </c>
      <c r="P16" s="191">
        <v>1.0782407407407408</v>
      </c>
      <c r="Q16" s="191">
        <v>1.5886646629454701E-2</v>
      </c>
      <c r="R16" s="191">
        <v>2.1468441391155002E-2</v>
      </c>
      <c r="S16" s="191">
        <v>1</v>
      </c>
      <c r="T16" s="125">
        <v>9</v>
      </c>
      <c r="U16" s="125">
        <v>780</v>
      </c>
      <c r="V16" s="191">
        <v>1.0840579710144929</v>
      </c>
      <c r="W16" s="191">
        <v>7.575757575757576E-3</v>
      </c>
      <c r="X16" s="191">
        <v>2.2281639928698752E-2</v>
      </c>
      <c r="Y16" s="191">
        <v>0.94474153297682706</v>
      </c>
    </row>
    <row r="17" spans="1:25" ht="15.95" customHeight="1" x14ac:dyDescent="0.25">
      <c r="A17" s="146" t="s">
        <v>133</v>
      </c>
      <c r="B17" s="125">
        <v>2</v>
      </c>
      <c r="C17" s="125">
        <v>120</v>
      </c>
      <c r="D17" s="191">
        <v>1.0638888888888889</v>
      </c>
      <c r="E17" s="191">
        <v>2.6109660574412533E-3</v>
      </c>
      <c r="F17" s="191">
        <v>1.5665796344647518E-2</v>
      </c>
      <c r="G17" s="191">
        <v>1</v>
      </c>
      <c r="H17" s="125">
        <v>2</v>
      </c>
      <c r="I17" s="125">
        <v>120</v>
      </c>
      <c r="J17" s="191">
        <v>1.0277777777777777</v>
      </c>
      <c r="K17" s="191">
        <v>2.7027027027027029E-3</v>
      </c>
      <c r="L17" s="191">
        <v>1.6216216216216217E-2</v>
      </c>
      <c r="M17" s="191">
        <v>1</v>
      </c>
      <c r="N17" s="125">
        <v>2</v>
      </c>
      <c r="O17" s="125">
        <v>120</v>
      </c>
      <c r="P17" s="191">
        <v>1.0805555555555555</v>
      </c>
      <c r="Q17" s="191">
        <v>4.1131105398457581E-2</v>
      </c>
      <c r="R17" s="191">
        <v>2.3136246786632394E-2</v>
      </c>
      <c r="S17" s="191">
        <v>0.763496143958869</v>
      </c>
      <c r="T17" s="125">
        <v>2</v>
      </c>
      <c r="U17" s="125">
        <v>120</v>
      </c>
      <c r="V17" s="191">
        <v>1.0638888888888889</v>
      </c>
      <c r="W17" s="191">
        <v>1.0443864229765013E-2</v>
      </c>
      <c r="X17" s="191">
        <v>2.8720626631853784E-2</v>
      </c>
      <c r="Y17" s="191">
        <v>0.73368146214099217</v>
      </c>
    </row>
    <row r="18" spans="1:25" ht="15.95" customHeight="1" x14ac:dyDescent="0.25">
      <c r="A18" s="145" t="s">
        <v>26</v>
      </c>
      <c r="B18" s="125">
        <v>2</v>
      </c>
      <c r="C18" s="125">
        <v>120</v>
      </c>
      <c r="D18" s="191">
        <v>1.0527777777777778</v>
      </c>
      <c r="E18" s="191">
        <v>0</v>
      </c>
      <c r="F18" s="191">
        <v>2.6385224274406333E-2</v>
      </c>
      <c r="G18" s="191">
        <v>0.9287598944591029</v>
      </c>
      <c r="H18" s="125">
        <v>2</v>
      </c>
      <c r="I18" s="125">
        <v>120</v>
      </c>
      <c r="J18" s="191">
        <v>1.1333333333333333</v>
      </c>
      <c r="K18" s="191">
        <v>0</v>
      </c>
      <c r="L18" s="191">
        <v>2.9411764705882353E-2</v>
      </c>
      <c r="M18" s="191">
        <v>0.81862745098039214</v>
      </c>
      <c r="N18" s="125">
        <v>2</v>
      </c>
      <c r="O18" s="125">
        <v>120</v>
      </c>
      <c r="P18" s="191">
        <v>1.1694444444444445</v>
      </c>
      <c r="Q18" s="191">
        <v>2.3752969121140144E-3</v>
      </c>
      <c r="R18" s="191">
        <v>2.6128266033254154E-2</v>
      </c>
      <c r="S18" s="191">
        <v>0.83372921615201889</v>
      </c>
      <c r="T18" s="125">
        <v>2</v>
      </c>
      <c r="U18" s="125">
        <v>120</v>
      </c>
      <c r="V18" s="191">
        <v>1.0583333333333333</v>
      </c>
      <c r="W18" s="191">
        <v>2.6246719160104987E-2</v>
      </c>
      <c r="X18" s="191">
        <v>0</v>
      </c>
      <c r="Y18" s="191">
        <v>1</v>
      </c>
    </row>
    <row r="19" spans="1:25" ht="15.95" customHeight="1" x14ac:dyDescent="0.25">
      <c r="A19" s="146" t="s">
        <v>136</v>
      </c>
      <c r="B19" s="125">
        <v>2</v>
      </c>
      <c r="C19" s="125">
        <v>120</v>
      </c>
      <c r="D19" s="191">
        <v>0.97777777777777775</v>
      </c>
      <c r="E19" s="191">
        <v>3.125E-2</v>
      </c>
      <c r="F19" s="191">
        <v>3.4090909090909095E-2</v>
      </c>
      <c r="G19" s="191">
        <v>0.69886363636363635</v>
      </c>
      <c r="H19" s="125">
        <v>2</v>
      </c>
      <c r="I19" s="125">
        <v>120</v>
      </c>
      <c r="J19" s="191">
        <v>0.93611111111111112</v>
      </c>
      <c r="K19" s="191">
        <v>2.6706231454005934E-2</v>
      </c>
      <c r="L19" s="191">
        <v>3.5608308605341248E-2</v>
      </c>
      <c r="M19" s="191">
        <v>0.64094955489614247</v>
      </c>
      <c r="N19" s="125">
        <v>2</v>
      </c>
      <c r="O19" s="125">
        <v>120</v>
      </c>
      <c r="P19" s="191">
        <v>0.85</v>
      </c>
      <c r="Q19" s="191">
        <v>0</v>
      </c>
      <c r="R19" s="191">
        <v>4.2483660130718949E-2</v>
      </c>
      <c r="S19" s="191">
        <v>0.55555555555555558</v>
      </c>
      <c r="T19" s="125">
        <v>2</v>
      </c>
      <c r="U19" s="125">
        <v>120</v>
      </c>
      <c r="V19" s="191">
        <v>0.77777777777777779</v>
      </c>
      <c r="W19" s="191">
        <v>1.7857142857142856E-2</v>
      </c>
      <c r="X19" s="191">
        <v>5.3571428571428575E-2</v>
      </c>
      <c r="Y19" s="191">
        <v>0.56785714285714284</v>
      </c>
    </row>
    <row r="20" spans="1:25" ht="15.95" customHeight="1" x14ac:dyDescent="0.25">
      <c r="A20" s="145" t="s">
        <v>99</v>
      </c>
      <c r="B20" s="125">
        <v>2</v>
      </c>
      <c r="C20" s="125">
        <v>240</v>
      </c>
      <c r="D20" s="191">
        <v>1.0902777777777779</v>
      </c>
      <c r="E20" s="191">
        <v>0</v>
      </c>
      <c r="F20" s="191">
        <v>8.9171974522292988E-2</v>
      </c>
      <c r="G20" s="191">
        <v>0.75668789808917192</v>
      </c>
      <c r="H20" s="125">
        <v>2</v>
      </c>
      <c r="I20" s="125">
        <v>240</v>
      </c>
      <c r="J20" s="191">
        <v>1.0708333333333333</v>
      </c>
      <c r="K20" s="191">
        <v>2.5940337224383916E-3</v>
      </c>
      <c r="L20" s="191">
        <v>8.9494163424124515E-2</v>
      </c>
      <c r="M20" s="191">
        <v>0.89753566796368345</v>
      </c>
      <c r="N20" s="125">
        <v>2</v>
      </c>
      <c r="O20" s="125">
        <v>240</v>
      </c>
      <c r="P20" s="191">
        <v>1.0986111111111112</v>
      </c>
      <c r="Q20" s="191">
        <v>3.7926675094816687E-3</v>
      </c>
      <c r="R20" s="191">
        <v>8.7231352718078373E-2</v>
      </c>
      <c r="S20" s="191">
        <v>0.82174462705436147</v>
      </c>
      <c r="T20" s="125">
        <v>2</v>
      </c>
      <c r="U20" s="125">
        <v>240</v>
      </c>
      <c r="V20" s="191">
        <v>1.038888888888889</v>
      </c>
      <c r="W20" s="191">
        <v>1.3368983957219251E-3</v>
      </c>
      <c r="X20" s="191">
        <v>9.6256684491978606E-2</v>
      </c>
      <c r="Y20" s="191">
        <v>0.68983957219251335</v>
      </c>
    </row>
    <row r="21" spans="1:25" ht="15.95" customHeight="1" x14ac:dyDescent="0.25">
      <c r="A21" s="145" t="s">
        <v>103</v>
      </c>
      <c r="B21" s="125">
        <v>3</v>
      </c>
      <c r="C21" s="125">
        <v>660</v>
      </c>
      <c r="D21" s="191">
        <v>1.0146464646464646</v>
      </c>
      <c r="E21" s="191">
        <v>0</v>
      </c>
      <c r="F21" s="191">
        <v>1.5430562468889996E-2</v>
      </c>
      <c r="G21" s="191">
        <v>0.98108511697361878</v>
      </c>
      <c r="H21" s="125">
        <v>3</v>
      </c>
      <c r="I21" s="125">
        <v>660</v>
      </c>
      <c r="J21" s="191">
        <v>1.0287878787878788</v>
      </c>
      <c r="K21" s="191">
        <v>0</v>
      </c>
      <c r="L21" s="191">
        <v>1.5709376534118802E-2</v>
      </c>
      <c r="M21" s="191">
        <v>1</v>
      </c>
      <c r="N21" s="125">
        <v>3</v>
      </c>
      <c r="O21" s="125">
        <v>660</v>
      </c>
      <c r="P21" s="191">
        <v>1.0111111111111111</v>
      </c>
      <c r="Q21" s="191">
        <v>2.5974025974025976E-2</v>
      </c>
      <c r="R21" s="191">
        <v>1.748251748251748E-2</v>
      </c>
      <c r="S21" s="191">
        <v>1</v>
      </c>
      <c r="T21" s="125">
        <v>3</v>
      </c>
      <c r="U21" s="125">
        <v>660</v>
      </c>
      <c r="V21" s="191">
        <v>1.0030303030303029</v>
      </c>
      <c r="W21" s="191">
        <v>1.0070493454179255E-3</v>
      </c>
      <c r="X21" s="191">
        <v>1.6616314199395771E-2</v>
      </c>
      <c r="Y21" s="191">
        <v>0.99949647532729102</v>
      </c>
    </row>
    <row r="22" spans="1:25" ht="15.95" customHeight="1" x14ac:dyDescent="0.25">
      <c r="A22" s="145" t="s">
        <v>14</v>
      </c>
      <c r="B22" s="125">
        <v>1</v>
      </c>
      <c r="C22" s="125">
        <v>120</v>
      </c>
      <c r="D22" s="191">
        <v>1.05</v>
      </c>
      <c r="E22" s="191">
        <v>0</v>
      </c>
      <c r="F22" s="191">
        <v>7.9365079365079361E-3</v>
      </c>
      <c r="G22" s="191">
        <v>1</v>
      </c>
      <c r="H22" s="125">
        <v>1</v>
      </c>
      <c r="I22" s="125">
        <v>120</v>
      </c>
      <c r="J22" s="191">
        <v>1.0722222222222222</v>
      </c>
      <c r="K22" s="191">
        <v>0</v>
      </c>
      <c r="L22" s="191">
        <v>7.7720207253886018E-3</v>
      </c>
      <c r="M22" s="191">
        <v>1</v>
      </c>
      <c r="N22" s="125">
        <v>1</v>
      </c>
      <c r="O22" s="125">
        <v>120</v>
      </c>
      <c r="P22" s="191">
        <v>1.0583333333333333</v>
      </c>
      <c r="Q22" s="191">
        <v>0</v>
      </c>
      <c r="R22" s="191">
        <v>7.874015748031496E-3</v>
      </c>
      <c r="S22" s="191">
        <v>0.67979002624671914</v>
      </c>
      <c r="T22" s="125">
        <v>1</v>
      </c>
      <c r="U22" s="125">
        <v>120</v>
      </c>
      <c r="V22" s="191">
        <v>1.0166666666666666</v>
      </c>
      <c r="W22" s="191">
        <v>0</v>
      </c>
      <c r="X22" s="191">
        <v>8.1967213114754103E-3</v>
      </c>
      <c r="Y22" s="191">
        <v>0.96448087431693996</v>
      </c>
    </row>
    <row r="23" spans="1:25" ht="15.95" customHeight="1" x14ac:dyDescent="0.25">
      <c r="A23" s="145" t="s">
        <v>148</v>
      </c>
      <c r="B23" s="125">
        <v>1</v>
      </c>
      <c r="C23" s="125">
        <v>180</v>
      </c>
      <c r="D23" s="191">
        <v>1.0518518518518518</v>
      </c>
      <c r="E23" s="191">
        <v>1.4084507042253521E-2</v>
      </c>
      <c r="F23" s="191">
        <v>1.0563380281690141E-2</v>
      </c>
      <c r="G23" s="191">
        <v>0.36619718309859151</v>
      </c>
      <c r="H23" s="125">
        <v>1</v>
      </c>
      <c r="I23" s="125">
        <v>180</v>
      </c>
      <c r="J23" s="191">
        <v>1.2777777777777777</v>
      </c>
      <c r="K23" s="191">
        <v>6.5217391304347824E-2</v>
      </c>
      <c r="L23" s="191">
        <v>4.3478260869565218E-3</v>
      </c>
      <c r="M23" s="191">
        <v>1</v>
      </c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</row>
    <row r="24" spans="1:25" ht="15.95" customHeight="1" x14ac:dyDescent="0.25">
      <c r="A24" s="144" t="s">
        <v>232</v>
      </c>
      <c r="B24" s="152">
        <f>SUM(B6:B23)</f>
        <v>42</v>
      </c>
      <c r="C24" s="152">
        <f>SUM(C6:C23)</f>
        <v>4470</v>
      </c>
      <c r="D24" s="192">
        <v>0.98292319164802389</v>
      </c>
      <c r="E24" s="192">
        <v>1.7601092481602305E-2</v>
      </c>
      <c r="F24" s="192">
        <v>2.5111903497458461E-2</v>
      </c>
      <c r="G24" s="192">
        <v>0.91791214627114781</v>
      </c>
      <c r="H24" s="152">
        <f t="shared" ref="H24:I24" si="0">SUM(H6:H23)</f>
        <v>42</v>
      </c>
      <c r="I24" s="152">
        <f t="shared" si="0"/>
        <v>4470</v>
      </c>
      <c r="J24" s="192">
        <v>1.0819475655430713</v>
      </c>
      <c r="K24" s="192">
        <v>1.1838825810024925E-2</v>
      </c>
      <c r="L24" s="192">
        <v>2.3816117418997508E-2</v>
      </c>
      <c r="M24" s="192">
        <v>0.97902243145942958</v>
      </c>
      <c r="N24" s="152">
        <f t="shared" ref="N24" si="1">SUM(N6:N23)</f>
        <v>41</v>
      </c>
      <c r="O24" s="152">
        <f t="shared" ref="O24" si="2">SUM(O6:O23)</f>
        <v>4290</v>
      </c>
      <c r="P24" s="192">
        <v>1.1304584304584304</v>
      </c>
      <c r="Q24" s="192">
        <v>1.6289779366279469E-2</v>
      </c>
      <c r="R24" s="192">
        <v>2.577496735170802E-2</v>
      </c>
      <c r="S24" s="192">
        <v>0.89092033816757166</v>
      </c>
      <c r="T24" s="152">
        <f t="shared" ref="T24" si="3">SUM(T6:T23)</f>
        <v>42</v>
      </c>
      <c r="U24" s="152">
        <f t="shared" ref="U24" si="4">SUM(U6:U23)</f>
        <v>4350</v>
      </c>
      <c r="V24" s="192">
        <v>1.2705790297339594</v>
      </c>
      <c r="W24" s="192">
        <v>5.4809705628772014E-3</v>
      </c>
      <c r="X24" s="192">
        <v>2.3525064663135854E-2</v>
      </c>
      <c r="Y24" s="192">
        <v>0.73327996058627909</v>
      </c>
    </row>
    <row r="25" spans="1:25" x14ac:dyDescent="0.25">
      <c r="A25" s="102" t="s">
        <v>275</v>
      </c>
    </row>
    <row r="26" spans="1:25" x14ac:dyDescent="0.25">
      <c r="A26" s="102" t="s">
        <v>149</v>
      </c>
    </row>
    <row r="27" spans="1:25" x14ac:dyDescent="0.25">
      <c r="A27" s="1" t="s">
        <v>276</v>
      </c>
    </row>
  </sheetData>
  <mergeCells count="30">
    <mergeCell ref="L3:L5"/>
    <mergeCell ref="M3:M5"/>
    <mergeCell ref="Y3:Y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1:Y1"/>
    <mergeCell ref="B2:G2"/>
    <mergeCell ref="G3:G5"/>
    <mergeCell ref="A3:A5"/>
    <mergeCell ref="B3:B5"/>
    <mergeCell ref="C3:C5"/>
    <mergeCell ref="D3:D5"/>
    <mergeCell ref="E3:E5"/>
    <mergeCell ref="F3:F5"/>
    <mergeCell ref="H2:M2"/>
    <mergeCell ref="N2:S2"/>
    <mergeCell ref="T2:Y2"/>
    <mergeCell ref="H3:H5"/>
    <mergeCell ref="I3:I5"/>
    <mergeCell ref="J3:J5"/>
    <mergeCell ref="K3:K5"/>
  </mergeCells>
  <phoneticPr fontId="17" type="noConversion"/>
  <pageMargins left="0.78740157499999996" right="0.78740157499999996" top="0.984251969" bottom="0.984251969" header="0.49212598499999999" footer="0.49212598499999999"/>
  <pageSetup paperSize="9" scale="3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BF39-75DA-4A9F-BCA5-62FE5A076261}">
  <dimension ref="A1:U35"/>
  <sheetViews>
    <sheetView zoomScale="80" zoomScaleNormal="80" workbookViewId="0">
      <pane xSplit="1" topLeftCell="K1" activePane="topRight" state="frozen"/>
      <selection pane="topRight" sqref="A1:U1"/>
    </sheetView>
  </sheetViews>
  <sheetFormatPr defaultRowHeight="15" x14ac:dyDescent="0.25"/>
  <cols>
    <col min="1" max="1" width="32" customWidth="1"/>
    <col min="2" max="3" width="10.85546875" style="33" customWidth="1"/>
    <col min="4" max="4" width="17.5703125" style="33" customWidth="1"/>
    <col min="5" max="5" width="19.5703125" customWidth="1"/>
    <col min="6" max="6" width="19" customWidth="1"/>
    <col min="7" max="7" width="11.85546875" customWidth="1"/>
    <col min="8" max="8" width="11.140625" customWidth="1"/>
    <col min="9" max="9" width="13.140625" customWidth="1"/>
    <col min="10" max="11" width="19.7109375" customWidth="1"/>
    <col min="14" max="14" width="14.7109375" customWidth="1"/>
    <col min="15" max="16" width="19.7109375" customWidth="1"/>
    <col min="19" max="19" width="13.28515625" customWidth="1"/>
    <col min="20" max="21" width="19.7109375" customWidth="1"/>
    <col min="238" max="238" width="24.7109375" customWidth="1"/>
    <col min="239" max="239" width="19.7109375" customWidth="1"/>
    <col min="240" max="240" width="11.42578125" customWidth="1"/>
    <col min="241" max="241" width="15.42578125" customWidth="1"/>
    <col min="242" max="242" width="13.85546875" customWidth="1"/>
    <col min="243" max="243" width="11.42578125" customWidth="1"/>
    <col min="244" max="244" width="12.140625" customWidth="1"/>
    <col min="245" max="245" width="16" customWidth="1"/>
    <col min="246" max="246" width="14.5703125" customWidth="1"/>
    <col min="247" max="247" width="12.7109375" customWidth="1"/>
    <col min="248" max="248" width="14.7109375" customWidth="1"/>
    <col min="249" max="249" width="18.28515625" customWidth="1"/>
    <col min="250" max="250" width="14.28515625" customWidth="1"/>
    <col min="251" max="251" width="17.7109375" customWidth="1"/>
    <col min="252" max="252" width="13.85546875" customWidth="1"/>
    <col min="253" max="253" width="17.140625" customWidth="1"/>
    <col min="254" max="254" width="15.85546875" customWidth="1"/>
    <col min="255" max="255" width="17.5703125" customWidth="1"/>
    <col min="494" max="494" width="24.7109375" customWidth="1"/>
    <col min="495" max="495" width="19.7109375" customWidth="1"/>
    <col min="496" max="496" width="11.42578125" customWidth="1"/>
    <col min="497" max="497" width="15.42578125" customWidth="1"/>
    <col min="498" max="498" width="13.85546875" customWidth="1"/>
    <col min="499" max="499" width="11.42578125" customWidth="1"/>
    <col min="500" max="500" width="12.140625" customWidth="1"/>
    <col min="501" max="501" width="16" customWidth="1"/>
    <col min="502" max="502" width="14.5703125" customWidth="1"/>
    <col min="503" max="503" width="12.7109375" customWidth="1"/>
    <col min="504" max="504" width="14.7109375" customWidth="1"/>
    <col min="505" max="505" width="18.28515625" customWidth="1"/>
    <col min="506" max="506" width="14.28515625" customWidth="1"/>
    <col min="507" max="507" width="17.7109375" customWidth="1"/>
    <col min="508" max="508" width="13.85546875" customWidth="1"/>
    <col min="509" max="509" width="17.140625" customWidth="1"/>
    <col min="510" max="510" width="15.85546875" customWidth="1"/>
    <col min="511" max="511" width="17.5703125" customWidth="1"/>
    <col min="750" max="750" width="24.7109375" customWidth="1"/>
    <col min="751" max="751" width="19.7109375" customWidth="1"/>
    <col min="752" max="752" width="11.42578125" customWidth="1"/>
    <col min="753" max="753" width="15.42578125" customWidth="1"/>
    <col min="754" max="754" width="13.85546875" customWidth="1"/>
    <col min="755" max="755" width="11.42578125" customWidth="1"/>
    <col min="756" max="756" width="12.140625" customWidth="1"/>
    <col min="757" max="757" width="16" customWidth="1"/>
    <col min="758" max="758" width="14.5703125" customWidth="1"/>
    <col min="759" max="759" width="12.7109375" customWidth="1"/>
    <col min="760" max="760" width="14.7109375" customWidth="1"/>
    <col min="761" max="761" width="18.28515625" customWidth="1"/>
    <col min="762" max="762" width="14.28515625" customWidth="1"/>
    <col min="763" max="763" width="17.7109375" customWidth="1"/>
    <col min="764" max="764" width="13.85546875" customWidth="1"/>
    <col min="765" max="765" width="17.140625" customWidth="1"/>
    <col min="766" max="766" width="15.85546875" customWidth="1"/>
    <col min="767" max="767" width="17.5703125" customWidth="1"/>
    <col min="1006" max="1006" width="24.7109375" customWidth="1"/>
    <col min="1007" max="1007" width="19.7109375" customWidth="1"/>
    <col min="1008" max="1008" width="11.42578125" customWidth="1"/>
    <col min="1009" max="1009" width="15.42578125" customWidth="1"/>
    <col min="1010" max="1010" width="13.85546875" customWidth="1"/>
    <col min="1011" max="1011" width="11.42578125" customWidth="1"/>
    <col min="1012" max="1012" width="12.140625" customWidth="1"/>
    <col min="1013" max="1013" width="16" customWidth="1"/>
    <col min="1014" max="1014" width="14.5703125" customWidth="1"/>
    <col min="1015" max="1015" width="12.7109375" customWidth="1"/>
    <col min="1016" max="1016" width="14.7109375" customWidth="1"/>
    <col min="1017" max="1017" width="18.28515625" customWidth="1"/>
    <col min="1018" max="1018" width="14.28515625" customWidth="1"/>
    <col min="1019" max="1019" width="17.7109375" customWidth="1"/>
    <col min="1020" max="1020" width="13.85546875" customWidth="1"/>
    <col min="1021" max="1021" width="17.140625" customWidth="1"/>
    <col min="1022" max="1022" width="15.85546875" customWidth="1"/>
    <col min="1023" max="1023" width="17.5703125" customWidth="1"/>
    <col min="1262" max="1262" width="24.7109375" customWidth="1"/>
    <col min="1263" max="1263" width="19.7109375" customWidth="1"/>
    <col min="1264" max="1264" width="11.42578125" customWidth="1"/>
    <col min="1265" max="1265" width="15.42578125" customWidth="1"/>
    <col min="1266" max="1266" width="13.85546875" customWidth="1"/>
    <col min="1267" max="1267" width="11.42578125" customWidth="1"/>
    <col min="1268" max="1268" width="12.140625" customWidth="1"/>
    <col min="1269" max="1269" width="16" customWidth="1"/>
    <col min="1270" max="1270" width="14.5703125" customWidth="1"/>
    <col min="1271" max="1271" width="12.7109375" customWidth="1"/>
    <col min="1272" max="1272" width="14.7109375" customWidth="1"/>
    <col min="1273" max="1273" width="18.28515625" customWidth="1"/>
    <col min="1274" max="1274" width="14.28515625" customWidth="1"/>
    <col min="1275" max="1275" width="17.7109375" customWidth="1"/>
    <col min="1276" max="1276" width="13.85546875" customWidth="1"/>
    <col min="1277" max="1277" width="17.140625" customWidth="1"/>
    <col min="1278" max="1278" width="15.85546875" customWidth="1"/>
    <col min="1279" max="1279" width="17.5703125" customWidth="1"/>
    <col min="1518" max="1518" width="24.7109375" customWidth="1"/>
    <col min="1519" max="1519" width="19.7109375" customWidth="1"/>
    <col min="1520" max="1520" width="11.42578125" customWidth="1"/>
    <col min="1521" max="1521" width="15.42578125" customWidth="1"/>
    <col min="1522" max="1522" width="13.85546875" customWidth="1"/>
    <col min="1523" max="1523" width="11.42578125" customWidth="1"/>
    <col min="1524" max="1524" width="12.140625" customWidth="1"/>
    <col min="1525" max="1525" width="16" customWidth="1"/>
    <col min="1526" max="1526" width="14.5703125" customWidth="1"/>
    <col min="1527" max="1527" width="12.7109375" customWidth="1"/>
    <col min="1528" max="1528" width="14.7109375" customWidth="1"/>
    <col min="1529" max="1529" width="18.28515625" customWidth="1"/>
    <col min="1530" max="1530" width="14.28515625" customWidth="1"/>
    <col min="1531" max="1531" width="17.7109375" customWidth="1"/>
    <col min="1532" max="1532" width="13.85546875" customWidth="1"/>
    <col min="1533" max="1533" width="17.140625" customWidth="1"/>
    <col min="1534" max="1534" width="15.85546875" customWidth="1"/>
    <col min="1535" max="1535" width="17.5703125" customWidth="1"/>
    <col min="1774" max="1774" width="24.7109375" customWidth="1"/>
    <col min="1775" max="1775" width="19.7109375" customWidth="1"/>
    <col min="1776" max="1776" width="11.42578125" customWidth="1"/>
    <col min="1777" max="1777" width="15.42578125" customWidth="1"/>
    <col min="1778" max="1778" width="13.85546875" customWidth="1"/>
    <col min="1779" max="1779" width="11.42578125" customWidth="1"/>
    <col min="1780" max="1780" width="12.140625" customWidth="1"/>
    <col min="1781" max="1781" width="16" customWidth="1"/>
    <col min="1782" max="1782" width="14.5703125" customWidth="1"/>
    <col min="1783" max="1783" width="12.7109375" customWidth="1"/>
    <col min="1784" max="1784" width="14.7109375" customWidth="1"/>
    <col min="1785" max="1785" width="18.28515625" customWidth="1"/>
    <col min="1786" max="1786" width="14.28515625" customWidth="1"/>
    <col min="1787" max="1787" width="17.7109375" customWidth="1"/>
    <col min="1788" max="1788" width="13.85546875" customWidth="1"/>
    <col min="1789" max="1789" width="17.140625" customWidth="1"/>
    <col min="1790" max="1790" width="15.85546875" customWidth="1"/>
    <col min="1791" max="1791" width="17.5703125" customWidth="1"/>
    <col min="2030" max="2030" width="24.7109375" customWidth="1"/>
    <col min="2031" max="2031" width="19.7109375" customWidth="1"/>
    <col min="2032" max="2032" width="11.42578125" customWidth="1"/>
    <col min="2033" max="2033" width="15.42578125" customWidth="1"/>
    <col min="2034" max="2034" width="13.85546875" customWidth="1"/>
    <col min="2035" max="2035" width="11.42578125" customWidth="1"/>
    <col min="2036" max="2036" width="12.140625" customWidth="1"/>
    <col min="2037" max="2037" width="16" customWidth="1"/>
    <col min="2038" max="2038" width="14.5703125" customWidth="1"/>
    <col min="2039" max="2039" width="12.7109375" customWidth="1"/>
    <col min="2040" max="2040" width="14.7109375" customWidth="1"/>
    <col min="2041" max="2041" width="18.28515625" customWidth="1"/>
    <col min="2042" max="2042" width="14.28515625" customWidth="1"/>
    <col min="2043" max="2043" width="17.7109375" customWidth="1"/>
    <col min="2044" max="2044" width="13.85546875" customWidth="1"/>
    <col min="2045" max="2045" width="17.140625" customWidth="1"/>
    <col min="2046" max="2046" width="15.85546875" customWidth="1"/>
    <col min="2047" max="2047" width="17.5703125" customWidth="1"/>
    <col min="2286" max="2286" width="24.7109375" customWidth="1"/>
    <col min="2287" max="2287" width="19.7109375" customWidth="1"/>
    <col min="2288" max="2288" width="11.42578125" customWidth="1"/>
    <col min="2289" max="2289" width="15.42578125" customWidth="1"/>
    <col min="2290" max="2290" width="13.85546875" customWidth="1"/>
    <col min="2291" max="2291" width="11.42578125" customWidth="1"/>
    <col min="2292" max="2292" width="12.140625" customWidth="1"/>
    <col min="2293" max="2293" width="16" customWidth="1"/>
    <col min="2294" max="2294" width="14.5703125" customWidth="1"/>
    <col min="2295" max="2295" width="12.7109375" customWidth="1"/>
    <col min="2296" max="2296" width="14.7109375" customWidth="1"/>
    <col min="2297" max="2297" width="18.28515625" customWidth="1"/>
    <col min="2298" max="2298" width="14.28515625" customWidth="1"/>
    <col min="2299" max="2299" width="17.7109375" customWidth="1"/>
    <col min="2300" max="2300" width="13.85546875" customWidth="1"/>
    <col min="2301" max="2301" width="17.140625" customWidth="1"/>
    <col min="2302" max="2302" width="15.85546875" customWidth="1"/>
    <col min="2303" max="2303" width="17.5703125" customWidth="1"/>
    <col min="2542" max="2542" width="24.7109375" customWidth="1"/>
    <col min="2543" max="2543" width="19.7109375" customWidth="1"/>
    <col min="2544" max="2544" width="11.42578125" customWidth="1"/>
    <col min="2545" max="2545" width="15.42578125" customWidth="1"/>
    <col min="2546" max="2546" width="13.85546875" customWidth="1"/>
    <col min="2547" max="2547" width="11.42578125" customWidth="1"/>
    <col min="2548" max="2548" width="12.140625" customWidth="1"/>
    <col min="2549" max="2549" width="16" customWidth="1"/>
    <col min="2550" max="2550" width="14.5703125" customWidth="1"/>
    <col min="2551" max="2551" width="12.7109375" customWidth="1"/>
    <col min="2552" max="2552" width="14.7109375" customWidth="1"/>
    <col min="2553" max="2553" width="18.28515625" customWidth="1"/>
    <col min="2554" max="2554" width="14.28515625" customWidth="1"/>
    <col min="2555" max="2555" width="17.7109375" customWidth="1"/>
    <col min="2556" max="2556" width="13.85546875" customWidth="1"/>
    <col min="2557" max="2557" width="17.140625" customWidth="1"/>
    <col min="2558" max="2558" width="15.85546875" customWidth="1"/>
    <col min="2559" max="2559" width="17.5703125" customWidth="1"/>
    <col min="2798" max="2798" width="24.7109375" customWidth="1"/>
    <col min="2799" max="2799" width="19.7109375" customWidth="1"/>
    <col min="2800" max="2800" width="11.42578125" customWidth="1"/>
    <col min="2801" max="2801" width="15.42578125" customWidth="1"/>
    <col min="2802" max="2802" width="13.85546875" customWidth="1"/>
    <col min="2803" max="2803" width="11.42578125" customWidth="1"/>
    <col min="2804" max="2804" width="12.140625" customWidth="1"/>
    <col min="2805" max="2805" width="16" customWidth="1"/>
    <col min="2806" max="2806" width="14.5703125" customWidth="1"/>
    <col min="2807" max="2807" width="12.7109375" customWidth="1"/>
    <col min="2808" max="2808" width="14.7109375" customWidth="1"/>
    <col min="2809" max="2809" width="18.28515625" customWidth="1"/>
    <col min="2810" max="2810" width="14.28515625" customWidth="1"/>
    <col min="2811" max="2811" width="17.7109375" customWidth="1"/>
    <col min="2812" max="2812" width="13.85546875" customWidth="1"/>
    <col min="2813" max="2813" width="17.140625" customWidth="1"/>
    <col min="2814" max="2814" width="15.85546875" customWidth="1"/>
    <col min="2815" max="2815" width="17.5703125" customWidth="1"/>
    <col min="3054" max="3054" width="24.7109375" customWidth="1"/>
    <col min="3055" max="3055" width="19.7109375" customWidth="1"/>
    <col min="3056" max="3056" width="11.42578125" customWidth="1"/>
    <col min="3057" max="3057" width="15.42578125" customWidth="1"/>
    <col min="3058" max="3058" width="13.85546875" customWidth="1"/>
    <col min="3059" max="3059" width="11.42578125" customWidth="1"/>
    <col min="3060" max="3060" width="12.140625" customWidth="1"/>
    <col min="3061" max="3061" width="16" customWidth="1"/>
    <col min="3062" max="3062" width="14.5703125" customWidth="1"/>
    <col min="3063" max="3063" width="12.7109375" customWidth="1"/>
    <col min="3064" max="3064" width="14.7109375" customWidth="1"/>
    <col min="3065" max="3065" width="18.28515625" customWidth="1"/>
    <col min="3066" max="3066" width="14.28515625" customWidth="1"/>
    <col min="3067" max="3067" width="17.7109375" customWidth="1"/>
    <col min="3068" max="3068" width="13.85546875" customWidth="1"/>
    <col min="3069" max="3069" width="17.140625" customWidth="1"/>
    <col min="3070" max="3070" width="15.85546875" customWidth="1"/>
    <col min="3071" max="3071" width="17.5703125" customWidth="1"/>
    <col min="3310" max="3310" width="24.7109375" customWidth="1"/>
    <col min="3311" max="3311" width="19.7109375" customWidth="1"/>
    <col min="3312" max="3312" width="11.42578125" customWidth="1"/>
    <col min="3313" max="3313" width="15.42578125" customWidth="1"/>
    <col min="3314" max="3314" width="13.85546875" customWidth="1"/>
    <col min="3315" max="3315" width="11.42578125" customWidth="1"/>
    <col min="3316" max="3316" width="12.140625" customWidth="1"/>
    <col min="3317" max="3317" width="16" customWidth="1"/>
    <col min="3318" max="3318" width="14.5703125" customWidth="1"/>
    <col min="3319" max="3319" width="12.7109375" customWidth="1"/>
    <col min="3320" max="3320" width="14.7109375" customWidth="1"/>
    <col min="3321" max="3321" width="18.28515625" customWidth="1"/>
    <col min="3322" max="3322" width="14.28515625" customWidth="1"/>
    <col min="3323" max="3323" width="17.7109375" customWidth="1"/>
    <col min="3324" max="3324" width="13.85546875" customWidth="1"/>
    <col min="3325" max="3325" width="17.140625" customWidth="1"/>
    <col min="3326" max="3326" width="15.85546875" customWidth="1"/>
    <col min="3327" max="3327" width="17.5703125" customWidth="1"/>
    <col min="3566" max="3566" width="24.7109375" customWidth="1"/>
    <col min="3567" max="3567" width="19.7109375" customWidth="1"/>
    <col min="3568" max="3568" width="11.42578125" customWidth="1"/>
    <col min="3569" max="3569" width="15.42578125" customWidth="1"/>
    <col min="3570" max="3570" width="13.85546875" customWidth="1"/>
    <col min="3571" max="3571" width="11.42578125" customWidth="1"/>
    <col min="3572" max="3572" width="12.140625" customWidth="1"/>
    <col min="3573" max="3573" width="16" customWidth="1"/>
    <col min="3574" max="3574" width="14.5703125" customWidth="1"/>
    <col min="3575" max="3575" width="12.7109375" customWidth="1"/>
    <col min="3576" max="3576" width="14.7109375" customWidth="1"/>
    <col min="3577" max="3577" width="18.28515625" customWidth="1"/>
    <col min="3578" max="3578" width="14.28515625" customWidth="1"/>
    <col min="3579" max="3579" width="17.7109375" customWidth="1"/>
    <col min="3580" max="3580" width="13.85546875" customWidth="1"/>
    <col min="3581" max="3581" width="17.140625" customWidth="1"/>
    <col min="3582" max="3582" width="15.85546875" customWidth="1"/>
    <col min="3583" max="3583" width="17.5703125" customWidth="1"/>
    <col min="3822" max="3822" width="24.7109375" customWidth="1"/>
    <col min="3823" max="3823" width="19.7109375" customWidth="1"/>
    <col min="3824" max="3824" width="11.42578125" customWidth="1"/>
    <col min="3825" max="3825" width="15.42578125" customWidth="1"/>
    <col min="3826" max="3826" width="13.85546875" customWidth="1"/>
    <col min="3827" max="3827" width="11.42578125" customWidth="1"/>
    <col min="3828" max="3828" width="12.140625" customWidth="1"/>
    <col min="3829" max="3829" width="16" customWidth="1"/>
    <col min="3830" max="3830" width="14.5703125" customWidth="1"/>
    <col min="3831" max="3831" width="12.7109375" customWidth="1"/>
    <col min="3832" max="3832" width="14.7109375" customWidth="1"/>
    <col min="3833" max="3833" width="18.28515625" customWidth="1"/>
    <col min="3834" max="3834" width="14.28515625" customWidth="1"/>
    <col min="3835" max="3835" width="17.7109375" customWidth="1"/>
    <col min="3836" max="3836" width="13.85546875" customWidth="1"/>
    <col min="3837" max="3837" width="17.140625" customWidth="1"/>
    <col min="3838" max="3838" width="15.85546875" customWidth="1"/>
    <col min="3839" max="3839" width="17.5703125" customWidth="1"/>
    <col min="4078" max="4078" width="24.7109375" customWidth="1"/>
    <col min="4079" max="4079" width="19.7109375" customWidth="1"/>
    <col min="4080" max="4080" width="11.42578125" customWidth="1"/>
    <col min="4081" max="4081" width="15.42578125" customWidth="1"/>
    <col min="4082" max="4082" width="13.85546875" customWidth="1"/>
    <col min="4083" max="4083" width="11.42578125" customWidth="1"/>
    <col min="4084" max="4084" width="12.140625" customWidth="1"/>
    <col min="4085" max="4085" width="16" customWidth="1"/>
    <col min="4086" max="4086" width="14.5703125" customWidth="1"/>
    <col min="4087" max="4087" width="12.7109375" customWidth="1"/>
    <col min="4088" max="4088" width="14.7109375" customWidth="1"/>
    <col min="4089" max="4089" width="18.28515625" customWidth="1"/>
    <col min="4090" max="4090" width="14.28515625" customWidth="1"/>
    <col min="4091" max="4091" width="17.7109375" customWidth="1"/>
    <col min="4092" max="4092" width="13.85546875" customWidth="1"/>
    <col min="4093" max="4093" width="17.140625" customWidth="1"/>
    <col min="4094" max="4094" width="15.85546875" customWidth="1"/>
    <col min="4095" max="4095" width="17.5703125" customWidth="1"/>
    <col min="4334" max="4334" width="24.7109375" customWidth="1"/>
    <col min="4335" max="4335" width="19.7109375" customWidth="1"/>
    <col min="4336" max="4336" width="11.42578125" customWidth="1"/>
    <col min="4337" max="4337" width="15.42578125" customWidth="1"/>
    <col min="4338" max="4338" width="13.85546875" customWidth="1"/>
    <col min="4339" max="4339" width="11.42578125" customWidth="1"/>
    <col min="4340" max="4340" width="12.140625" customWidth="1"/>
    <col min="4341" max="4341" width="16" customWidth="1"/>
    <col min="4342" max="4342" width="14.5703125" customWidth="1"/>
    <col min="4343" max="4343" width="12.7109375" customWidth="1"/>
    <col min="4344" max="4344" width="14.7109375" customWidth="1"/>
    <col min="4345" max="4345" width="18.28515625" customWidth="1"/>
    <col min="4346" max="4346" width="14.28515625" customWidth="1"/>
    <col min="4347" max="4347" width="17.7109375" customWidth="1"/>
    <col min="4348" max="4348" width="13.85546875" customWidth="1"/>
    <col min="4349" max="4349" width="17.140625" customWidth="1"/>
    <col min="4350" max="4350" width="15.85546875" customWidth="1"/>
    <col min="4351" max="4351" width="17.5703125" customWidth="1"/>
    <col min="4590" max="4590" width="24.7109375" customWidth="1"/>
    <col min="4591" max="4591" width="19.7109375" customWidth="1"/>
    <col min="4592" max="4592" width="11.42578125" customWidth="1"/>
    <col min="4593" max="4593" width="15.42578125" customWidth="1"/>
    <col min="4594" max="4594" width="13.85546875" customWidth="1"/>
    <col min="4595" max="4595" width="11.42578125" customWidth="1"/>
    <col min="4596" max="4596" width="12.140625" customWidth="1"/>
    <col min="4597" max="4597" width="16" customWidth="1"/>
    <col min="4598" max="4598" width="14.5703125" customWidth="1"/>
    <col min="4599" max="4599" width="12.7109375" customWidth="1"/>
    <col min="4600" max="4600" width="14.7109375" customWidth="1"/>
    <col min="4601" max="4601" width="18.28515625" customWidth="1"/>
    <col min="4602" max="4602" width="14.28515625" customWidth="1"/>
    <col min="4603" max="4603" width="17.7109375" customWidth="1"/>
    <col min="4604" max="4604" width="13.85546875" customWidth="1"/>
    <col min="4605" max="4605" width="17.140625" customWidth="1"/>
    <col min="4606" max="4606" width="15.85546875" customWidth="1"/>
    <col min="4607" max="4607" width="17.5703125" customWidth="1"/>
    <col min="4846" max="4846" width="24.7109375" customWidth="1"/>
    <col min="4847" max="4847" width="19.7109375" customWidth="1"/>
    <col min="4848" max="4848" width="11.42578125" customWidth="1"/>
    <col min="4849" max="4849" width="15.42578125" customWidth="1"/>
    <col min="4850" max="4850" width="13.85546875" customWidth="1"/>
    <col min="4851" max="4851" width="11.42578125" customWidth="1"/>
    <col min="4852" max="4852" width="12.140625" customWidth="1"/>
    <col min="4853" max="4853" width="16" customWidth="1"/>
    <col min="4854" max="4854" width="14.5703125" customWidth="1"/>
    <col min="4855" max="4855" width="12.7109375" customWidth="1"/>
    <col min="4856" max="4856" width="14.7109375" customWidth="1"/>
    <col min="4857" max="4857" width="18.28515625" customWidth="1"/>
    <col min="4858" max="4858" width="14.28515625" customWidth="1"/>
    <col min="4859" max="4859" width="17.7109375" customWidth="1"/>
    <col min="4860" max="4860" width="13.85546875" customWidth="1"/>
    <col min="4861" max="4861" width="17.140625" customWidth="1"/>
    <col min="4862" max="4862" width="15.85546875" customWidth="1"/>
    <col min="4863" max="4863" width="17.5703125" customWidth="1"/>
    <col min="5102" max="5102" width="24.7109375" customWidth="1"/>
    <col min="5103" max="5103" width="19.7109375" customWidth="1"/>
    <col min="5104" max="5104" width="11.42578125" customWidth="1"/>
    <col min="5105" max="5105" width="15.42578125" customWidth="1"/>
    <col min="5106" max="5106" width="13.85546875" customWidth="1"/>
    <col min="5107" max="5107" width="11.42578125" customWidth="1"/>
    <col min="5108" max="5108" width="12.140625" customWidth="1"/>
    <col min="5109" max="5109" width="16" customWidth="1"/>
    <col min="5110" max="5110" width="14.5703125" customWidth="1"/>
    <col min="5111" max="5111" width="12.7109375" customWidth="1"/>
    <col min="5112" max="5112" width="14.7109375" customWidth="1"/>
    <col min="5113" max="5113" width="18.28515625" customWidth="1"/>
    <col min="5114" max="5114" width="14.28515625" customWidth="1"/>
    <col min="5115" max="5115" width="17.7109375" customWidth="1"/>
    <col min="5116" max="5116" width="13.85546875" customWidth="1"/>
    <col min="5117" max="5117" width="17.140625" customWidth="1"/>
    <col min="5118" max="5118" width="15.85546875" customWidth="1"/>
    <col min="5119" max="5119" width="17.5703125" customWidth="1"/>
    <col min="5358" max="5358" width="24.7109375" customWidth="1"/>
    <col min="5359" max="5359" width="19.7109375" customWidth="1"/>
    <col min="5360" max="5360" width="11.42578125" customWidth="1"/>
    <col min="5361" max="5361" width="15.42578125" customWidth="1"/>
    <col min="5362" max="5362" width="13.85546875" customWidth="1"/>
    <col min="5363" max="5363" width="11.42578125" customWidth="1"/>
    <col min="5364" max="5364" width="12.140625" customWidth="1"/>
    <col min="5365" max="5365" width="16" customWidth="1"/>
    <col min="5366" max="5366" width="14.5703125" customWidth="1"/>
    <col min="5367" max="5367" width="12.7109375" customWidth="1"/>
    <col min="5368" max="5368" width="14.7109375" customWidth="1"/>
    <col min="5369" max="5369" width="18.28515625" customWidth="1"/>
    <col min="5370" max="5370" width="14.28515625" customWidth="1"/>
    <col min="5371" max="5371" width="17.7109375" customWidth="1"/>
    <col min="5372" max="5372" width="13.85546875" customWidth="1"/>
    <col min="5373" max="5373" width="17.140625" customWidth="1"/>
    <col min="5374" max="5374" width="15.85546875" customWidth="1"/>
    <col min="5375" max="5375" width="17.5703125" customWidth="1"/>
    <col min="5614" max="5614" width="24.7109375" customWidth="1"/>
    <col min="5615" max="5615" width="19.7109375" customWidth="1"/>
    <col min="5616" max="5616" width="11.42578125" customWidth="1"/>
    <col min="5617" max="5617" width="15.42578125" customWidth="1"/>
    <col min="5618" max="5618" width="13.85546875" customWidth="1"/>
    <col min="5619" max="5619" width="11.42578125" customWidth="1"/>
    <col min="5620" max="5620" width="12.140625" customWidth="1"/>
    <col min="5621" max="5621" width="16" customWidth="1"/>
    <col min="5622" max="5622" width="14.5703125" customWidth="1"/>
    <col min="5623" max="5623" width="12.7109375" customWidth="1"/>
    <col min="5624" max="5624" width="14.7109375" customWidth="1"/>
    <col min="5625" max="5625" width="18.28515625" customWidth="1"/>
    <col min="5626" max="5626" width="14.28515625" customWidth="1"/>
    <col min="5627" max="5627" width="17.7109375" customWidth="1"/>
    <col min="5628" max="5628" width="13.85546875" customWidth="1"/>
    <col min="5629" max="5629" width="17.140625" customWidth="1"/>
    <col min="5630" max="5630" width="15.85546875" customWidth="1"/>
    <col min="5631" max="5631" width="17.5703125" customWidth="1"/>
    <col min="5870" max="5870" width="24.7109375" customWidth="1"/>
    <col min="5871" max="5871" width="19.7109375" customWidth="1"/>
    <col min="5872" max="5872" width="11.42578125" customWidth="1"/>
    <col min="5873" max="5873" width="15.42578125" customWidth="1"/>
    <col min="5874" max="5874" width="13.85546875" customWidth="1"/>
    <col min="5875" max="5875" width="11.42578125" customWidth="1"/>
    <col min="5876" max="5876" width="12.140625" customWidth="1"/>
    <col min="5877" max="5877" width="16" customWidth="1"/>
    <col min="5878" max="5878" width="14.5703125" customWidth="1"/>
    <col min="5879" max="5879" width="12.7109375" customWidth="1"/>
    <col min="5880" max="5880" width="14.7109375" customWidth="1"/>
    <col min="5881" max="5881" width="18.28515625" customWidth="1"/>
    <col min="5882" max="5882" width="14.28515625" customWidth="1"/>
    <col min="5883" max="5883" width="17.7109375" customWidth="1"/>
    <col min="5884" max="5884" width="13.85546875" customWidth="1"/>
    <col min="5885" max="5885" width="17.140625" customWidth="1"/>
    <col min="5886" max="5886" width="15.85546875" customWidth="1"/>
    <col min="5887" max="5887" width="17.5703125" customWidth="1"/>
    <col min="6126" max="6126" width="24.7109375" customWidth="1"/>
    <col min="6127" max="6127" width="19.7109375" customWidth="1"/>
    <col min="6128" max="6128" width="11.42578125" customWidth="1"/>
    <col min="6129" max="6129" width="15.42578125" customWidth="1"/>
    <col min="6130" max="6130" width="13.85546875" customWidth="1"/>
    <col min="6131" max="6131" width="11.42578125" customWidth="1"/>
    <col min="6132" max="6132" width="12.140625" customWidth="1"/>
    <col min="6133" max="6133" width="16" customWidth="1"/>
    <col min="6134" max="6134" width="14.5703125" customWidth="1"/>
    <col min="6135" max="6135" width="12.7109375" customWidth="1"/>
    <col min="6136" max="6136" width="14.7109375" customWidth="1"/>
    <col min="6137" max="6137" width="18.28515625" customWidth="1"/>
    <col min="6138" max="6138" width="14.28515625" customWidth="1"/>
    <col min="6139" max="6139" width="17.7109375" customWidth="1"/>
    <col min="6140" max="6140" width="13.85546875" customWidth="1"/>
    <col min="6141" max="6141" width="17.140625" customWidth="1"/>
    <col min="6142" max="6142" width="15.85546875" customWidth="1"/>
    <col min="6143" max="6143" width="17.5703125" customWidth="1"/>
    <col min="6382" max="6382" width="24.7109375" customWidth="1"/>
    <col min="6383" max="6383" width="19.7109375" customWidth="1"/>
    <col min="6384" max="6384" width="11.42578125" customWidth="1"/>
    <col min="6385" max="6385" width="15.42578125" customWidth="1"/>
    <col min="6386" max="6386" width="13.85546875" customWidth="1"/>
    <col min="6387" max="6387" width="11.42578125" customWidth="1"/>
    <col min="6388" max="6388" width="12.140625" customWidth="1"/>
    <col min="6389" max="6389" width="16" customWidth="1"/>
    <col min="6390" max="6390" width="14.5703125" customWidth="1"/>
    <col min="6391" max="6391" width="12.7109375" customWidth="1"/>
    <col min="6392" max="6392" width="14.7109375" customWidth="1"/>
    <col min="6393" max="6393" width="18.28515625" customWidth="1"/>
    <col min="6394" max="6394" width="14.28515625" customWidth="1"/>
    <col min="6395" max="6395" width="17.7109375" customWidth="1"/>
    <col min="6396" max="6396" width="13.85546875" customWidth="1"/>
    <col min="6397" max="6397" width="17.140625" customWidth="1"/>
    <col min="6398" max="6398" width="15.85546875" customWidth="1"/>
    <col min="6399" max="6399" width="17.5703125" customWidth="1"/>
    <col min="6638" max="6638" width="24.7109375" customWidth="1"/>
    <col min="6639" max="6639" width="19.7109375" customWidth="1"/>
    <col min="6640" max="6640" width="11.42578125" customWidth="1"/>
    <col min="6641" max="6641" width="15.42578125" customWidth="1"/>
    <col min="6642" max="6642" width="13.85546875" customWidth="1"/>
    <col min="6643" max="6643" width="11.42578125" customWidth="1"/>
    <col min="6644" max="6644" width="12.140625" customWidth="1"/>
    <col min="6645" max="6645" width="16" customWidth="1"/>
    <col min="6646" max="6646" width="14.5703125" customWidth="1"/>
    <col min="6647" max="6647" width="12.7109375" customWidth="1"/>
    <col min="6648" max="6648" width="14.7109375" customWidth="1"/>
    <col min="6649" max="6649" width="18.28515625" customWidth="1"/>
    <col min="6650" max="6650" width="14.28515625" customWidth="1"/>
    <col min="6651" max="6651" width="17.7109375" customWidth="1"/>
    <col min="6652" max="6652" width="13.85546875" customWidth="1"/>
    <col min="6653" max="6653" width="17.140625" customWidth="1"/>
    <col min="6654" max="6654" width="15.85546875" customWidth="1"/>
    <col min="6655" max="6655" width="17.5703125" customWidth="1"/>
    <col min="6894" max="6894" width="24.7109375" customWidth="1"/>
    <col min="6895" max="6895" width="19.7109375" customWidth="1"/>
    <col min="6896" max="6896" width="11.42578125" customWidth="1"/>
    <col min="6897" max="6897" width="15.42578125" customWidth="1"/>
    <col min="6898" max="6898" width="13.85546875" customWidth="1"/>
    <col min="6899" max="6899" width="11.42578125" customWidth="1"/>
    <col min="6900" max="6900" width="12.140625" customWidth="1"/>
    <col min="6901" max="6901" width="16" customWidth="1"/>
    <col min="6902" max="6902" width="14.5703125" customWidth="1"/>
    <col min="6903" max="6903" width="12.7109375" customWidth="1"/>
    <col min="6904" max="6904" width="14.7109375" customWidth="1"/>
    <col min="6905" max="6905" width="18.28515625" customWidth="1"/>
    <col min="6906" max="6906" width="14.28515625" customWidth="1"/>
    <col min="6907" max="6907" width="17.7109375" customWidth="1"/>
    <col min="6908" max="6908" width="13.85546875" customWidth="1"/>
    <col min="6909" max="6909" width="17.140625" customWidth="1"/>
    <col min="6910" max="6910" width="15.85546875" customWidth="1"/>
    <col min="6911" max="6911" width="17.5703125" customWidth="1"/>
    <col min="7150" max="7150" width="24.7109375" customWidth="1"/>
    <col min="7151" max="7151" width="19.7109375" customWidth="1"/>
    <col min="7152" max="7152" width="11.42578125" customWidth="1"/>
    <col min="7153" max="7153" width="15.42578125" customWidth="1"/>
    <col min="7154" max="7154" width="13.85546875" customWidth="1"/>
    <col min="7155" max="7155" width="11.42578125" customWidth="1"/>
    <col min="7156" max="7156" width="12.140625" customWidth="1"/>
    <col min="7157" max="7157" width="16" customWidth="1"/>
    <col min="7158" max="7158" width="14.5703125" customWidth="1"/>
    <col min="7159" max="7159" width="12.7109375" customWidth="1"/>
    <col min="7160" max="7160" width="14.7109375" customWidth="1"/>
    <col min="7161" max="7161" width="18.28515625" customWidth="1"/>
    <col min="7162" max="7162" width="14.28515625" customWidth="1"/>
    <col min="7163" max="7163" width="17.7109375" customWidth="1"/>
    <col min="7164" max="7164" width="13.85546875" customWidth="1"/>
    <col min="7165" max="7165" width="17.140625" customWidth="1"/>
    <col min="7166" max="7166" width="15.85546875" customWidth="1"/>
    <col min="7167" max="7167" width="17.5703125" customWidth="1"/>
    <col min="7406" max="7406" width="24.7109375" customWidth="1"/>
    <col min="7407" max="7407" width="19.7109375" customWidth="1"/>
    <col min="7408" max="7408" width="11.42578125" customWidth="1"/>
    <col min="7409" max="7409" width="15.42578125" customWidth="1"/>
    <col min="7410" max="7410" width="13.85546875" customWidth="1"/>
    <col min="7411" max="7411" width="11.42578125" customWidth="1"/>
    <col min="7412" max="7412" width="12.140625" customWidth="1"/>
    <col min="7413" max="7413" width="16" customWidth="1"/>
    <col min="7414" max="7414" width="14.5703125" customWidth="1"/>
    <col min="7415" max="7415" width="12.7109375" customWidth="1"/>
    <col min="7416" max="7416" width="14.7109375" customWidth="1"/>
    <col min="7417" max="7417" width="18.28515625" customWidth="1"/>
    <col min="7418" max="7418" width="14.28515625" customWidth="1"/>
    <col min="7419" max="7419" width="17.7109375" customWidth="1"/>
    <col min="7420" max="7420" width="13.85546875" customWidth="1"/>
    <col min="7421" max="7421" width="17.140625" customWidth="1"/>
    <col min="7422" max="7422" width="15.85546875" customWidth="1"/>
    <col min="7423" max="7423" width="17.5703125" customWidth="1"/>
    <col min="7662" max="7662" width="24.7109375" customWidth="1"/>
    <col min="7663" max="7663" width="19.7109375" customWidth="1"/>
    <col min="7664" max="7664" width="11.42578125" customWidth="1"/>
    <col min="7665" max="7665" width="15.42578125" customWidth="1"/>
    <col min="7666" max="7666" width="13.85546875" customWidth="1"/>
    <col min="7667" max="7667" width="11.42578125" customWidth="1"/>
    <col min="7668" max="7668" width="12.140625" customWidth="1"/>
    <col min="7669" max="7669" width="16" customWidth="1"/>
    <col min="7670" max="7670" width="14.5703125" customWidth="1"/>
    <col min="7671" max="7671" width="12.7109375" customWidth="1"/>
    <col min="7672" max="7672" width="14.7109375" customWidth="1"/>
    <col min="7673" max="7673" width="18.28515625" customWidth="1"/>
    <col min="7674" max="7674" width="14.28515625" customWidth="1"/>
    <col min="7675" max="7675" width="17.7109375" customWidth="1"/>
    <col min="7676" max="7676" width="13.85546875" customWidth="1"/>
    <col min="7677" max="7677" width="17.140625" customWidth="1"/>
    <col min="7678" max="7678" width="15.85546875" customWidth="1"/>
    <col min="7679" max="7679" width="17.5703125" customWidth="1"/>
    <col min="7918" max="7918" width="24.7109375" customWidth="1"/>
    <col min="7919" max="7919" width="19.7109375" customWidth="1"/>
    <col min="7920" max="7920" width="11.42578125" customWidth="1"/>
    <col min="7921" max="7921" width="15.42578125" customWidth="1"/>
    <col min="7922" max="7922" width="13.85546875" customWidth="1"/>
    <col min="7923" max="7923" width="11.42578125" customWidth="1"/>
    <col min="7924" max="7924" width="12.140625" customWidth="1"/>
    <col min="7925" max="7925" width="16" customWidth="1"/>
    <col min="7926" max="7926" width="14.5703125" customWidth="1"/>
    <col min="7927" max="7927" width="12.7109375" customWidth="1"/>
    <col min="7928" max="7928" width="14.7109375" customWidth="1"/>
    <col min="7929" max="7929" width="18.28515625" customWidth="1"/>
    <col min="7930" max="7930" width="14.28515625" customWidth="1"/>
    <col min="7931" max="7931" width="17.7109375" customWidth="1"/>
    <col min="7932" max="7932" width="13.85546875" customWidth="1"/>
    <col min="7933" max="7933" width="17.140625" customWidth="1"/>
    <col min="7934" max="7934" width="15.85546875" customWidth="1"/>
    <col min="7935" max="7935" width="17.5703125" customWidth="1"/>
    <col min="8174" max="8174" width="24.7109375" customWidth="1"/>
    <col min="8175" max="8175" width="19.7109375" customWidth="1"/>
    <col min="8176" max="8176" width="11.42578125" customWidth="1"/>
    <col min="8177" max="8177" width="15.42578125" customWidth="1"/>
    <col min="8178" max="8178" width="13.85546875" customWidth="1"/>
    <col min="8179" max="8179" width="11.42578125" customWidth="1"/>
    <col min="8180" max="8180" width="12.140625" customWidth="1"/>
    <col min="8181" max="8181" width="16" customWidth="1"/>
    <col min="8182" max="8182" width="14.5703125" customWidth="1"/>
    <col min="8183" max="8183" width="12.7109375" customWidth="1"/>
    <col min="8184" max="8184" width="14.7109375" customWidth="1"/>
    <col min="8185" max="8185" width="18.28515625" customWidth="1"/>
    <col min="8186" max="8186" width="14.28515625" customWidth="1"/>
    <col min="8187" max="8187" width="17.7109375" customWidth="1"/>
    <col min="8188" max="8188" width="13.85546875" customWidth="1"/>
    <col min="8189" max="8189" width="17.140625" customWidth="1"/>
    <col min="8190" max="8190" width="15.85546875" customWidth="1"/>
    <col min="8191" max="8191" width="17.5703125" customWidth="1"/>
    <col min="8430" max="8430" width="24.7109375" customWidth="1"/>
    <col min="8431" max="8431" width="19.7109375" customWidth="1"/>
    <col min="8432" max="8432" width="11.42578125" customWidth="1"/>
    <col min="8433" max="8433" width="15.42578125" customWidth="1"/>
    <col min="8434" max="8434" width="13.85546875" customWidth="1"/>
    <col min="8435" max="8435" width="11.42578125" customWidth="1"/>
    <col min="8436" max="8436" width="12.140625" customWidth="1"/>
    <col min="8437" max="8437" width="16" customWidth="1"/>
    <col min="8438" max="8438" width="14.5703125" customWidth="1"/>
    <col min="8439" max="8439" width="12.7109375" customWidth="1"/>
    <col min="8440" max="8440" width="14.7109375" customWidth="1"/>
    <col min="8441" max="8441" width="18.28515625" customWidth="1"/>
    <col min="8442" max="8442" width="14.28515625" customWidth="1"/>
    <col min="8443" max="8443" width="17.7109375" customWidth="1"/>
    <col min="8444" max="8444" width="13.85546875" customWidth="1"/>
    <col min="8445" max="8445" width="17.140625" customWidth="1"/>
    <col min="8446" max="8446" width="15.85546875" customWidth="1"/>
    <col min="8447" max="8447" width="17.5703125" customWidth="1"/>
    <col min="8686" max="8686" width="24.7109375" customWidth="1"/>
    <col min="8687" max="8687" width="19.7109375" customWidth="1"/>
    <col min="8688" max="8688" width="11.42578125" customWidth="1"/>
    <col min="8689" max="8689" width="15.42578125" customWidth="1"/>
    <col min="8690" max="8690" width="13.85546875" customWidth="1"/>
    <col min="8691" max="8691" width="11.42578125" customWidth="1"/>
    <col min="8692" max="8692" width="12.140625" customWidth="1"/>
    <col min="8693" max="8693" width="16" customWidth="1"/>
    <col min="8694" max="8694" width="14.5703125" customWidth="1"/>
    <col min="8695" max="8695" width="12.7109375" customWidth="1"/>
    <col min="8696" max="8696" width="14.7109375" customWidth="1"/>
    <col min="8697" max="8697" width="18.28515625" customWidth="1"/>
    <col min="8698" max="8698" width="14.28515625" customWidth="1"/>
    <col min="8699" max="8699" width="17.7109375" customWidth="1"/>
    <col min="8700" max="8700" width="13.85546875" customWidth="1"/>
    <col min="8701" max="8701" width="17.140625" customWidth="1"/>
    <col min="8702" max="8702" width="15.85546875" customWidth="1"/>
    <col min="8703" max="8703" width="17.5703125" customWidth="1"/>
    <col min="8942" max="8942" width="24.7109375" customWidth="1"/>
    <col min="8943" max="8943" width="19.7109375" customWidth="1"/>
    <col min="8944" max="8944" width="11.42578125" customWidth="1"/>
    <col min="8945" max="8945" width="15.42578125" customWidth="1"/>
    <col min="8946" max="8946" width="13.85546875" customWidth="1"/>
    <col min="8947" max="8947" width="11.42578125" customWidth="1"/>
    <col min="8948" max="8948" width="12.140625" customWidth="1"/>
    <col min="8949" max="8949" width="16" customWidth="1"/>
    <col min="8950" max="8950" width="14.5703125" customWidth="1"/>
    <col min="8951" max="8951" width="12.7109375" customWidth="1"/>
    <col min="8952" max="8952" width="14.7109375" customWidth="1"/>
    <col min="8953" max="8953" width="18.28515625" customWidth="1"/>
    <col min="8954" max="8954" width="14.28515625" customWidth="1"/>
    <col min="8955" max="8955" width="17.7109375" customWidth="1"/>
    <col min="8956" max="8956" width="13.85546875" customWidth="1"/>
    <col min="8957" max="8957" width="17.140625" customWidth="1"/>
    <col min="8958" max="8958" width="15.85546875" customWidth="1"/>
    <col min="8959" max="8959" width="17.5703125" customWidth="1"/>
    <col min="9198" max="9198" width="24.7109375" customWidth="1"/>
    <col min="9199" max="9199" width="19.7109375" customWidth="1"/>
    <col min="9200" max="9200" width="11.42578125" customWidth="1"/>
    <col min="9201" max="9201" width="15.42578125" customWidth="1"/>
    <col min="9202" max="9202" width="13.85546875" customWidth="1"/>
    <col min="9203" max="9203" width="11.42578125" customWidth="1"/>
    <col min="9204" max="9204" width="12.140625" customWidth="1"/>
    <col min="9205" max="9205" width="16" customWidth="1"/>
    <col min="9206" max="9206" width="14.5703125" customWidth="1"/>
    <col min="9207" max="9207" width="12.7109375" customWidth="1"/>
    <col min="9208" max="9208" width="14.7109375" customWidth="1"/>
    <col min="9209" max="9209" width="18.28515625" customWidth="1"/>
    <col min="9210" max="9210" width="14.28515625" customWidth="1"/>
    <col min="9211" max="9211" width="17.7109375" customWidth="1"/>
    <col min="9212" max="9212" width="13.85546875" customWidth="1"/>
    <col min="9213" max="9213" width="17.140625" customWidth="1"/>
    <col min="9214" max="9214" width="15.85546875" customWidth="1"/>
    <col min="9215" max="9215" width="17.5703125" customWidth="1"/>
    <col min="9454" max="9454" width="24.7109375" customWidth="1"/>
    <col min="9455" max="9455" width="19.7109375" customWidth="1"/>
    <col min="9456" max="9456" width="11.42578125" customWidth="1"/>
    <col min="9457" max="9457" width="15.42578125" customWidth="1"/>
    <col min="9458" max="9458" width="13.85546875" customWidth="1"/>
    <col min="9459" max="9459" width="11.42578125" customWidth="1"/>
    <col min="9460" max="9460" width="12.140625" customWidth="1"/>
    <col min="9461" max="9461" width="16" customWidth="1"/>
    <col min="9462" max="9462" width="14.5703125" customWidth="1"/>
    <col min="9463" max="9463" width="12.7109375" customWidth="1"/>
    <col min="9464" max="9464" width="14.7109375" customWidth="1"/>
    <col min="9465" max="9465" width="18.28515625" customWidth="1"/>
    <col min="9466" max="9466" width="14.28515625" customWidth="1"/>
    <col min="9467" max="9467" width="17.7109375" customWidth="1"/>
    <col min="9468" max="9468" width="13.85546875" customWidth="1"/>
    <col min="9469" max="9469" width="17.140625" customWidth="1"/>
    <col min="9470" max="9470" width="15.85546875" customWidth="1"/>
    <col min="9471" max="9471" width="17.5703125" customWidth="1"/>
    <col min="9710" max="9710" width="24.7109375" customWidth="1"/>
    <col min="9711" max="9711" width="19.7109375" customWidth="1"/>
    <col min="9712" max="9712" width="11.42578125" customWidth="1"/>
    <col min="9713" max="9713" width="15.42578125" customWidth="1"/>
    <col min="9714" max="9714" width="13.85546875" customWidth="1"/>
    <col min="9715" max="9715" width="11.42578125" customWidth="1"/>
    <col min="9716" max="9716" width="12.140625" customWidth="1"/>
    <col min="9717" max="9717" width="16" customWidth="1"/>
    <col min="9718" max="9718" width="14.5703125" customWidth="1"/>
    <col min="9719" max="9719" width="12.7109375" customWidth="1"/>
    <col min="9720" max="9720" width="14.7109375" customWidth="1"/>
    <col min="9721" max="9721" width="18.28515625" customWidth="1"/>
    <col min="9722" max="9722" width="14.28515625" customWidth="1"/>
    <col min="9723" max="9723" width="17.7109375" customWidth="1"/>
    <col min="9724" max="9724" width="13.85546875" customWidth="1"/>
    <col min="9725" max="9725" width="17.140625" customWidth="1"/>
    <col min="9726" max="9726" width="15.85546875" customWidth="1"/>
    <col min="9727" max="9727" width="17.5703125" customWidth="1"/>
    <col min="9966" max="9966" width="24.7109375" customWidth="1"/>
    <col min="9967" max="9967" width="19.7109375" customWidth="1"/>
    <col min="9968" max="9968" width="11.42578125" customWidth="1"/>
    <col min="9969" max="9969" width="15.42578125" customWidth="1"/>
    <col min="9970" max="9970" width="13.85546875" customWidth="1"/>
    <col min="9971" max="9971" width="11.42578125" customWidth="1"/>
    <col min="9972" max="9972" width="12.140625" customWidth="1"/>
    <col min="9973" max="9973" width="16" customWidth="1"/>
    <col min="9974" max="9974" width="14.5703125" customWidth="1"/>
    <col min="9975" max="9975" width="12.7109375" customWidth="1"/>
    <col min="9976" max="9976" width="14.7109375" customWidth="1"/>
    <col min="9977" max="9977" width="18.28515625" customWidth="1"/>
    <col min="9978" max="9978" width="14.28515625" customWidth="1"/>
    <col min="9979" max="9979" width="17.7109375" customWidth="1"/>
    <col min="9980" max="9980" width="13.85546875" customWidth="1"/>
    <col min="9981" max="9981" width="17.140625" customWidth="1"/>
    <col min="9982" max="9982" width="15.85546875" customWidth="1"/>
    <col min="9983" max="9983" width="17.5703125" customWidth="1"/>
    <col min="10222" max="10222" width="24.7109375" customWidth="1"/>
    <col min="10223" max="10223" width="19.7109375" customWidth="1"/>
    <col min="10224" max="10224" width="11.42578125" customWidth="1"/>
    <col min="10225" max="10225" width="15.42578125" customWidth="1"/>
    <col min="10226" max="10226" width="13.85546875" customWidth="1"/>
    <col min="10227" max="10227" width="11.42578125" customWidth="1"/>
    <col min="10228" max="10228" width="12.140625" customWidth="1"/>
    <col min="10229" max="10229" width="16" customWidth="1"/>
    <col min="10230" max="10230" width="14.5703125" customWidth="1"/>
    <col min="10231" max="10231" width="12.7109375" customWidth="1"/>
    <col min="10232" max="10232" width="14.7109375" customWidth="1"/>
    <col min="10233" max="10233" width="18.28515625" customWidth="1"/>
    <col min="10234" max="10234" width="14.28515625" customWidth="1"/>
    <col min="10235" max="10235" width="17.7109375" customWidth="1"/>
    <col min="10236" max="10236" width="13.85546875" customWidth="1"/>
    <col min="10237" max="10237" width="17.140625" customWidth="1"/>
    <col min="10238" max="10238" width="15.85546875" customWidth="1"/>
    <col min="10239" max="10239" width="17.5703125" customWidth="1"/>
    <col min="10478" max="10478" width="24.7109375" customWidth="1"/>
    <col min="10479" max="10479" width="19.7109375" customWidth="1"/>
    <col min="10480" max="10480" width="11.42578125" customWidth="1"/>
    <col min="10481" max="10481" width="15.42578125" customWidth="1"/>
    <col min="10482" max="10482" width="13.85546875" customWidth="1"/>
    <col min="10483" max="10483" width="11.42578125" customWidth="1"/>
    <col min="10484" max="10484" width="12.140625" customWidth="1"/>
    <col min="10485" max="10485" width="16" customWidth="1"/>
    <col min="10486" max="10486" width="14.5703125" customWidth="1"/>
    <col min="10487" max="10487" width="12.7109375" customWidth="1"/>
    <col min="10488" max="10488" width="14.7109375" customWidth="1"/>
    <col min="10489" max="10489" width="18.28515625" customWidth="1"/>
    <col min="10490" max="10490" width="14.28515625" customWidth="1"/>
    <col min="10491" max="10491" width="17.7109375" customWidth="1"/>
    <col min="10492" max="10492" width="13.85546875" customWidth="1"/>
    <col min="10493" max="10493" width="17.140625" customWidth="1"/>
    <col min="10494" max="10494" width="15.85546875" customWidth="1"/>
    <col min="10495" max="10495" width="17.5703125" customWidth="1"/>
    <col min="10734" max="10734" width="24.7109375" customWidth="1"/>
    <col min="10735" max="10735" width="19.7109375" customWidth="1"/>
    <col min="10736" max="10736" width="11.42578125" customWidth="1"/>
    <col min="10737" max="10737" width="15.42578125" customWidth="1"/>
    <col min="10738" max="10738" width="13.85546875" customWidth="1"/>
    <col min="10739" max="10739" width="11.42578125" customWidth="1"/>
    <col min="10740" max="10740" width="12.140625" customWidth="1"/>
    <col min="10741" max="10741" width="16" customWidth="1"/>
    <col min="10742" max="10742" width="14.5703125" customWidth="1"/>
    <col min="10743" max="10743" width="12.7109375" customWidth="1"/>
    <col min="10744" max="10744" width="14.7109375" customWidth="1"/>
    <col min="10745" max="10745" width="18.28515625" customWidth="1"/>
    <col min="10746" max="10746" width="14.28515625" customWidth="1"/>
    <col min="10747" max="10747" width="17.7109375" customWidth="1"/>
    <col min="10748" max="10748" width="13.85546875" customWidth="1"/>
    <col min="10749" max="10749" width="17.140625" customWidth="1"/>
    <col min="10750" max="10750" width="15.85546875" customWidth="1"/>
    <col min="10751" max="10751" width="17.5703125" customWidth="1"/>
    <col min="10990" max="10990" width="24.7109375" customWidth="1"/>
    <col min="10991" max="10991" width="19.7109375" customWidth="1"/>
    <col min="10992" max="10992" width="11.42578125" customWidth="1"/>
    <col min="10993" max="10993" width="15.42578125" customWidth="1"/>
    <col min="10994" max="10994" width="13.85546875" customWidth="1"/>
    <col min="10995" max="10995" width="11.42578125" customWidth="1"/>
    <col min="10996" max="10996" width="12.140625" customWidth="1"/>
    <col min="10997" max="10997" width="16" customWidth="1"/>
    <col min="10998" max="10998" width="14.5703125" customWidth="1"/>
    <col min="10999" max="10999" width="12.7109375" customWidth="1"/>
    <col min="11000" max="11000" width="14.7109375" customWidth="1"/>
    <col min="11001" max="11001" width="18.28515625" customWidth="1"/>
    <col min="11002" max="11002" width="14.28515625" customWidth="1"/>
    <col min="11003" max="11003" width="17.7109375" customWidth="1"/>
    <col min="11004" max="11004" width="13.85546875" customWidth="1"/>
    <col min="11005" max="11005" width="17.140625" customWidth="1"/>
    <col min="11006" max="11006" width="15.85546875" customWidth="1"/>
    <col min="11007" max="11007" width="17.5703125" customWidth="1"/>
    <col min="11246" max="11246" width="24.7109375" customWidth="1"/>
    <col min="11247" max="11247" width="19.7109375" customWidth="1"/>
    <col min="11248" max="11248" width="11.42578125" customWidth="1"/>
    <col min="11249" max="11249" width="15.42578125" customWidth="1"/>
    <col min="11250" max="11250" width="13.85546875" customWidth="1"/>
    <col min="11251" max="11251" width="11.42578125" customWidth="1"/>
    <col min="11252" max="11252" width="12.140625" customWidth="1"/>
    <col min="11253" max="11253" width="16" customWidth="1"/>
    <col min="11254" max="11254" width="14.5703125" customWidth="1"/>
    <col min="11255" max="11255" width="12.7109375" customWidth="1"/>
    <col min="11256" max="11256" width="14.7109375" customWidth="1"/>
    <col min="11257" max="11257" width="18.28515625" customWidth="1"/>
    <col min="11258" max="11258" width="14.28515625" customWidth="1"/>
    <col min="11259" max="11259" width="17.7109375" customWidth="1"/>
    <col min="11260" max="11260" width="13.85546875" customWidth="1"/>
    <col min="11261" max="11261" width="17.140625" customWidth="1"/>
    <col min="11262" max="11262" width="15.85546875" customWidth="1"/>
    <col min="11263" max="11263" width="17.5703125" customWidth="1"/>
    <col min="11502" max="11502" width="24.7109375" customWidth="1"/>
    <col min="11503" max="11503" width="19.7109375" customWidth="1"/>
    <col min="11504" max="11504" width="11.42578125" customWidth="1"/>
    <col min="11505" max="11505" width="15.42578125" customWidth="1"/>
    <col min="11506" max="11506" width="13.85546875" customWidth="1"/>
    <col min="11507" max="11507" width="11.42578125" customWidth="1"/>
    <col min="11508" max="11508" width="12.140625" customWidth="1"/>
    <col min="11509" max="11509" width="16" customWidth="1"/>
    <col min="11510" max="11510" width="14.5703125" customWidth="1"/>
    <col min="11511" max="11511" width="12.7109375" customWidth="1"/>
    <col min="11512" max="11512" width="14.7109375" customWidth="1"/>
    <col min="11513" max="11513" width="18.28515625" customWidth="1"/>
    <col min="11514" max="11514" width="14.28515625" customWidth="1"/>
    <col min="11515" max="11515" width="17.7109375" customWidth="1"/>
    <col min="11516" max="11516" width="13.85546875" customWidth="1"/>
    <col min="11517" max="11517" width="17.140625" customWidth="1"/>
    <col min="11518" max="11518" width="15.85546875" customWidth="1"/>
    <col min="11519" max="11519" width="17.5703125" customWidth="1"/>
    <col min="11758" max="11758" width="24.7109375" customWidth="1"/>
    <col min="11759" max="11759" width="19.7109375" customWidth="1"/>
    <col min="11760" max="11760" width="11.42578125" customWidth="1"/>
    <col min="11761" max="11761" width="15.42578125" customWidth="1"/>
    <col min="11762" max="11762" width="13.85546875" customWidth="1"/>
    <col min="11763" max="11763" width="11.42578125" customWidth="1"/>
    <col min="11764" max="11764" width="12.140625" customWidth="1"/>
    <col min="11765" max="11765" width="16" customWidth="1"/>
    <col min="11766" max="11766" width="14.5703125" customWidth="1"/>
    <col min="11767" max="11767" width="12.7109375" customWidth="1"/>
    <col min="11768" max="11768" width="14.7109375" customWidth="1"/>
    <col min="11769" max="11769" width="18.28515625" customWidth="1"/>
    <col min="11770" max="11770" width="14.28515625" customWidth="1"/>
    <col min="11771" max="11771" width="17.7109375" customWidth="1"/>
    <col min="11772" max="11772" width="13.85546875" customWidth="1"/>
    <col min="11773" max="11773" width="17.140625" customWidth="1"/>
    <col min="11774" max="11774" width="15.85546875" customWidth="1"/>
    <col min="11775" max="11775" width="17.5703125" customWidth="1"/>
    <col min="12014" max="12014" width="24.7109375" customWidth="1"/>
    <col min="12015" max="12015" width="19.7109375" customWidth="1"/>
    <col min="12016" max="12016" width="11.42578125" customWidth="1"/>
    <col min="12017" max="12017" width="15.42578125" customWidth="1"/>
    <col min="12018" max="12018" width="13.85546875" customWidth="1"/>
    <col min="12019" max="12019" width="11.42578125" customWidth="1"/>
    <col min="12020" max="12020" width="12.140625" customWidth="1"/>
    <col min="12021" max="12021" width="16" customWidth="1"/>
    <col min="12022" max="12022" width="14.5703125" customWidth="1"/>
    <col min="12023" max="12023" width="12.7109375" customWidth="1"/>
    <col min="12024" max="12024" width="14.7109375" customWidth="1"/>
    <col min="12025" max="12025" width="18.28515625" customWidth="1"/>
    <col min="12026" max="12026" width="14.28515625" customWidth="1"/>
    <col min="12027" max="12027" width="17.7109375" customWidth="1"/>
    <col min="12028" max="12028" width="13.85546875" customWidth="1"/>
    <col min="12029" max="12029" width="17.140625" customWidth="1"/>
    <col min="12030" max="12030" width="15.85546875" customWidth="1"/>
    <col min="12031" max="12031" width="17.5703125" customWidth="1"/>
    <col min="12270" max="12270" width="24.7109375" customWidth="1"/>
    <col min="12271" max="12271" width="19.7109375" customWidth="1"/>
    <col min="12272" max="12272" width="11.42578125" customWidth="1"/>
    <col min="12273" max="12273" width="15.42578125" customWidth="1"/>
    <col min="12274" max="12274" width="13.85546875" customWidth="1"/>
    <col min="12275" max="12275" width="11.42578125" customWidth="1"/>
    <col min="12276" max="12276" width="12.140625" customWidth="1"/>
    <col min="12277" max="12277" width="16" customWidth="1"/>
    <col min="12278" max="12278" width="14.5703125" customWidth="1"/>
    <col min="12279" max="12279" width="12.7109375" customWidth="1"/>
    <col min="12280" max="12280" width="14.7109375" customWidth="1"/>
    <col min="12281" max="12281" width="18.28515625" customWidth="1"/>
    <col min="12282" max="12282" width="14.28515625" customWidth="1"/>
    <col min="12283" max="12283" width="17.7109375" customWidth="1"/>
    <col min="12284" max="12284" width="13.85546875" customWidth="1"/>
    <col min="12285" max="12285" width="17.140625" customWidth="1"/>
    <col min="12286" max="12286" width="15.85546875" customWidth="1"/>
    <col min="12287" max="12287" width="17.5703125" customWidth="1"/>
    <col min="12526" max="12526" width="24.7109375" customWidth="1"/>
    <col min="12527" max="12527" width="19.7109375" customWidth="1"/>
    <col min="12528" max="12528" width="11.42578125" customWidth="1"/>
    <col min="12529" max="12529" width="15.42578125" customWidth="1"/>
    <col min="12530" max="12530" width="13.85546875" customWidth="1"/>
    <col min="12531" max="12531" width="11.42578125" customWidth="1"/>
    <col min="12532" max="12532" width="12.140625" customWidth="1"/>
    <col min="12533" max="12533" width="16" customWidth="1"/>
    <col min="12534" max="12534" width="14.5703125" customWidth="1"/>
    <col min="12535" max="12535" width="12.7109375" customWidth="1"/>
    <col min="12536" max="12536" width="14.7109375" customWidth="1"/>
    <col min="12537" max="12537" width="18.28515625" customWidth="1"/>
    <col min="12538" max="12538" width="14.28515625" customWidth="1"/>
    <col min="12539" max="12539" width="17.7109375" customWidth="1"/>
    <col min="12540" max="12540" width="13.85546875" customWidth="1"/>
    <col min="12541" max="12541" width="17.140625" customWidth="1"/>
    <col min="12542" max="12542" width="15.85546875" customWidth="1"/>
    <col min="12543" max="12543" width="17.5703125" customWidth="1"/>
    <col min="12782" max="12782" width="24.7109375" customWidth="1"/>
    <col min="12783" max="12783" width="19.7109375" customWidth="1"/>
    <col min="12784" max="12784" width="11.42578125" customWidth="1"/>
    <col min="12785" max="12785" width="15.42578125" customWidth="1"/>
    <col min="12786" max="12786" width="13.85546875" customWidth="1"/>
    <col min="12787" max="12787" width="11.42578125" customWidth="1"/>
    <col min="12788" max="12788" width="12.140625" customWidth="1"/>
    <col min="12789" max="12789" width="16" customWidth="1"/>
    <col min="12790" max="12790" width="14.5703125" customWidth="1"/>
    <col min="12791" max="12791" width="12.7109375" customWidth="1"/>
    <col min="12792" max="12792" width="14.7109375" customWidth="1"/>
    <col min="12793" max="12793" width="18.28515625" customWidth="1"/>
    <col min="12794" max="12794" width="14.28515625" customWidth="1"/>
    <col min="12795" max="12795" width="17.7109375" customWidth="1"/>
    <col min="12796" max="12796" width="13.85546875" customWidth="1"/>
    <col min="12797" max="12797" width="17.140625" customWidth="1"/>
    <col min="12798" max="12798" width="15.85546875" customWidth="1"/>
    <col min="12799" max="12799" width="17.5703125" customWidth="1"/>
    <col min="13038" max="13038" width="24.7109375" customWidth="1"/>
    <col min="13039" max="13039" width="19.7109375" customWidth="1"/>
    <col min="13040" max="13040" width="11.42578125" customWidth="1"/>
    <col min="13041" max="13041" width="15.42578125" customWidth="1"/>
    <col min="13042" max="13042" width="13.85546875" customWidth="1"/>
    <col min="13043" max="13043" width="11.42578125" customWidth="1"/>
    <col min="13044" max="13044" width="12.140625" customWidth="1"/>
    <col min="13045" max="13045" width="16" customWidth="1"/>
    <col min="13046" max="13046" width="14.5703125" customWidth="1"/>
    <col min="13047" max="13047" width="12.7109375" customWidth="1"/>
    <col min="13048" max="13048" width="14.7109375" customWidth="1"/>
    <col min="13049" max="13049" width="18.28515625" customWidth="1"/>
    <col min="13050" max="13050" width="14.28515625" customWidth="1"/>
    <col min="13051" max="13051" width="17.7109375" customWidth="1"/>
    <col min="13052" max="13052" width="13.85546875" customWidth="1"/>
    <col min="13053" max="13053" width="17.140625" customWidth="1"/>
    <col min="13054" max="13054" width="15.85546875" customWidth="1"/>
    <col min="13055" max="13055" width="17.5703125" customWidth="1"/>
    <col min="13294" max="13294" width="24.7109375" customWidth="1"/>
    <col min="13295" max="13295" width="19.7109375" customWidth="1"/>
    <col min="13296" max="13296" width="11.42578125" customWidth="1"/>
    <col min="13297" max="13297" width="15.42578125" customWidth="1"/>
    <col min="13298" max="13298" width="13.85546875" customWidth="1"/>
    <col min="13299" max="13299" width="11.42578125" customWidth="1"/>
    <col min="13300" max="13300" width="12.140625" customWidth="1"/>
    <col min="13301" max="13301" width="16" customWidth="1"/>
    <col min="13302" max="13302" width="14.5703125" customWidth="1"/>
    <col min="13303" max="13303" width="12.7109375" customWidth="1"/>
    <col min="13304" max="13304" width="14.7109375" customWidth="1"/>
    <col min="13305" max="13305" width="18.28515625" customWidth="1"/>
    <col min="13306" max="13306" width="14.28515625" customWidth="1"/>
    <col min="13307" max="13307" width="17.7109375" customWidth="1"/>
    <col min="13308" max="13308" width="13.85546875" customWidth="1"/>
    <col min="13309" max="13309" width="17.140625" customWidth="1"/>
    <col min="13310" max="13310" width="15.85546875" customWidth="1"/>
    <col min="13311" max="13311" width="17.5703125" customWidth="1"/>
    <col min="13550" max="13550" width="24.7109375" customWidth="1"/>
    <col min="13551" max="13551" width="19.7109375" customWidth="1"/>
    <col min="13552" max="13552" width="11.42578125" customWidth="1"/>
    <col min="13553" max="13553" width="15.42578125" customWidth="1"/>
    <col min="13554" max="13554" width="13.85546875" customWidth="1"/>
    <col min="13555" max="13555" width="11.42578125" customWidth="1"/>
    <col min="13556" max="13556" width="12.140625" customWidth="1"/>
    <col min="13557" max="13557" width="16" customWidth="1"/>
    <col min="13558" max="13558" width="14.5703125" customWidth="1"/>
    <col min="13559" max="13559" width="12.7109375" customWidth="1"/>
    <col min="13560" max="13560" width="14.7109375" customWidth="1"/>
    <col min="13561" max="13561" width="18.28515625" customWidth="1"/>
    <col min="13562" max="13562" width="14.28515625" customWidth="1"/>
    <col min="13563" max="13563" width="17.7109375" customWidth="1"/>
    <col min="13564" max="13564" width="13.85546875" customWidth="1"/>
    <col min="13565" max="13565" width="17.140625" customWidth="1"/>
    <col min="13566" max="13566" width="15.85546875" customWidth="1"/>
    <col min="13567" max="13567" width="17.5703125" customWidth="1"/>
    <col min="13806" max="13806" width="24.7109375" customWidth="1"/>
    <col min="13807" max="13807" width="19.7109375" customWidth="1"/>
    <col min="13808" max="13808" width="11.42578125" customWidth="1"/>
    <col min="13809" max="13809" width="15.42578125" customWidth="1"/>
    <col min="13810" max="13810" width="13.85546875" customWidth="1"/>
    <col min="13811" max="13811" width="11.42578125" customWidth="1"/>
    <col min="13812" max="13812" width="12.140625" customWidth="1"/>
    <col min="13813" max="13813" width="16" customWidth="1"/>
    <col min="13814" max="13814" width="14.5703125" customWidth="1"/>
    <col min="13815" max="13815" width="12.7109375" customWidth="1"/>
    <col min="13816" max="13816" width="14.7109375" customWidth="1"/>
    <col min="13817" max="13817" width="18.28515625" customWidth="1"/>
    <col min="13818" max="13818" width="14.28515625" customWidth="1"/>
    <col min="13819" max="13819" width="17.7109375" customWidth="1"/>
    <col min="13820" max="13820" width="13.85546875" customWidth="1"/>
    <col min="13821" max="13821" width="17.140625" customWidth="1"/>
    <col min="13822" max="13822" width="15.85546875" customWidth="1"/>
    <col min="13823" max="13823" width="17.5703125" customWidth="1"/>
    <col min="14062" max="14062" width="24.7109375" customWidth="1"/>
    <col min="14063" max="14063" width="19.7109375" customWidth="1"/>
    <col min="14064" max="14064" width="11.42578125" customWidth="1"/>
    <col min="14065" max="14065" width="15.42578125" customWidth="1"/>
    <col min="14066" max="14066" width="13.85546875" customWidth="1"/>
    <col min="14067" max="14067" width="11.42578125" customWidth="1"/>
    <col min="14068" max="14068" width="12.140625" customWidth="1"/>
    <col min="14069" max="14069" width="16" customWidth="1"/>
    <col min="14070" max="14070" width="14.5703125" customWidth="1"/>
    <col min="14071" max="14071" width="12.7109375" customWidth="1"/>
    <col min="14072" max="14072" width="14.7109375" customWidth="1"/>
    <col min="14073" max="14073" width="18.28515625" customWidth="1"/>
    <col min="14074" max="14074" width="14.28515625" customWidth="1"/>
    <col min="14075" max="14075" width="17.7109375" customWidth="1"/>
    <col min="14076" max="14076" width="13.85546875" customWidth="1"/>
    <col min="14077" max="14077" width="17.140625" customWidth="1"/>
    <col min="14078" max="14078" width="15.85546875" customWidth="1"/>
    <col min="14079" max="14079" width="17.5703125" customWidth="1"/>
    <col min="14318" max="14318" width="24.7109375" customWidth="1"/>
    <col min="14319" max="14319" width="19.7109375" customWidth="1"/>
    <col min="14320" max="14320" width="11.42578125" customWidth="1"/>
    <col min="14321" max="14321" width="15.42578125" customWidth="1"/>
    <col min="14322" max="14322" width="13.85546875" customWidth="1"/>
    <col min="14323" max="14323" width="11.42578125" customWidth="1"/>
    <col min="14324" max="14324" width="12.140625" customWidth="1"/>
    <col min="14325" max="14325" width="16" customWidth="1"/>
    <col min="14326" max="14326" width="14.5703125" customWidth="1"/>
    <col min="14327" max="14327" width="12.7109375" customWidth="1"/>
    <col min="14328" max="14328" width="14.7109375" customWidth="1"/>
    <col min="14329" max="14329" width="18.28515625" customWidth="1"/>
    <col min="14330" max="14330" width="14.28515625" customWidth="1"/>
    <col min="14331" max="14331" width="17.7109375" customWidth="1"/>
    <col min="14332" max="14332" width="13.85546875" customWidth="1"/>
    <col min="14333" max="14333" width="17.140625" customWidth="1"/>
    <col min="14334" max="14334" width="15.85546875" customWidth="1"/>
    <col min="14335" max="14335" width="17.5703125" customWidth="1"/>
    <col min="14574" max="14574" width="24.7109375" customWidth="1"/>
    <col min="14575" max="14575" width="19.7109375" customWidth="1"/>
    <col min="14576" max="14576" width="11.42578125" customWidth="1"/>
    <col min="14577" max="14577" width="15.42578125" customWidth="1"/>
    <col min="14578" max="14578" width="13.85546875" customWidth="1"/>
    <col min="14579" max="14579" width="11.42578125" customWidth="1"/>
    <col min="14580" max="14580" width="12.140625" customWidth="1"/>
    <col min="14581" max="14581" width="16" customWidth="1"/>
    <col min="14582" max="14582" width="14.5703125" customWidth="1"/>
    <col min="14583" max="14583" width="12.7109375" customWidth="1"/>
    <col min="14584" max="14584" width="14.7109375" customWidth="1"/>
    <col min="14585" max="14585" width="18.28515625" customWidth="1"/>
    <col min="14586" max="14586" width="14.28515625" customWidth="1"/>
    <col min="14587" max="14587" width="17.7109375" customWidth="1"/>
    <col min="14588" max="14588" width="13.85546875" customWidth="1"/>
    <col min="14589" max="14589" width="17.140625" customWidth="1"/>
    <col min="14590" max="14590" width="15.85546875" customWidth="1"/>
    <col min="14591" max="14591" width="17.5703125" customWidth="1"/>
    <col min="14830" max="14830" width="24.7109375" customWidth="1"/>
    <col min="14831" max="14831" width="19.7109375" customWidth="1"/>
    <col min="14832" max="14832" width="11.42578125" customWidth="1"/>
    <col min="14833" max="14833" width="15.42578125" customWidth="1"/>
    <col min="14834" max="14834" width="13.85546875" customWidth="1"/>
    <col min="14835" max="14835" width="11.42578125" customWidth="1"/>
    <col min="14836" max="14836" width="12.140625" customWidth="1"/>
    <col min="14837" max="14837" width="16" customWidth="1"/>
    <col min="14838" max="14838" width="14.5703125" customWidth="1"/>
    <col min="14839" max="14839" width="12.7109375" customWidth="1"/>
    <col min="14840" max="14840" width="14.7109375" customWidth="1"/>
    <col min="14841" max="14841" width="18.28515625" customWidth="1"/>
    <col min="14842" max="14842" width="14.28515625" customWidth="1"/>
    <col min="14843" max="14843" width="17.7109375" customWidth="1"/>
    <col min="14844" max="14844" width="13.85546875" customWidth="1"/>
    <col min="14845" max="14845" width="17.140625" customWidth="1"/>
    <col min="14846" max="14846" width="15.85546875" customWidth="1"/>
    <col min="14847" max="14847" width="17.5703125" customWidth="1"/>
    <col min="15086" max="15086" width="24.7109375" customWidth="1"/>
    <col min="15087" max="15087" width="19.7109375" customWidth="1"/>
    <col min="15088" max="15088" width="11.42578125" customWidth="1"/>
    <col min="15089" max="15089" width="15.42578125" customWidth="1"/>
    <col min="15090" max="15090" width="13.85546875" customWidth="1"/>
    <col min="15091" max="15091" width="11.42578125" customWidth="1"/>
    <col min="15092" max="15092" width="12.140625" customWidth="1"/>
    <col min="15093" max="15093" width="16" customWidth="1"/>
    <col min="15094" max="15094" width="14.5703125" customWidth="1"/>
    <col min="15095" max="15095" width="12.7109375" customWidth="1"/>
    <col min="15096" max="15096" width="14.7109375" customWidth="1"/>
    <col min="15097" max="15097" width="18.28515625" customWidth="1"/>
    <col min="15098" max="15098" width="14.28515625" customWidth="1"/>
    <col min="15099" max="15099" width="17.7109375" customWidth="1"/>
    <col min="15100" max="15100" width="13.85546875" customWidth="1"/>
    <col min="15101" max="15101" width="17.140625" customWidth="1"/>
    <col min="15102" max="15102" width="15.85546875" customWidth="1"/>
    <col min="15103" max="15103" width="17.5703125" customWidth="1"/>
    <col min="15342" max="15342" width="24.7109375" customWidth="1"/>
    <col min="15343" max="15343" width="19.7109375" customWidth="1"/>
    <col min="15344" max="15344" width="11.42578125" customWidth="1"/>
    <col min="15345" max="15345" width="15.42578125" customWidth="1"/>
    <col min="15346" max="15346" width="13.85546875" customWidth="1"/>
    <col min="15347" max="15347" width="11.42578125" customWidth="1"/>
    <col min="15348" max="15348" width="12.140625" customWidth="1"/>
    <col min="15349" max="15349" width="16" customWidth="1"/>
    <col min="15350" max="15350" width="14.5703125" customWidth="1"/>
    <col min="15351" max="15351" width="12.7109375" customWidth="1"/>
    <col min="15352" max="15352" width="14.7109375" customWidth="1"/>
    <col min="15353" max="15353" width="18.28515625" customWidth="1"/>
    <col min="15354" max="15354" width="14.28515625" customWidth="1"/>
    <col min="15355" max="15355" width="17.7109375" customWidth="1"/>
    <col min="15356" max="15356" width="13.85546875" customWidth="1"/>
    <col min="15357" max="15357" width="17.140625" customWidth="1"/>
    <col min="15358" max="15358" width="15.85546875" customWidth="1"/>
    <col min="15359" max="15359" width="17.5703125" customWidth="1"/>
    <col min="15598" max="15598" width="24.7109375" customWidth="1"/>
    <col min="15599" max="15599" width="19.7109375" customWidth="1"/>
    <col min="15600" max="15600" width="11.42578125" customWidth="1"/>
    <col min="15601" max="15601" width="15.42578125" customWidth="1"/>
    <col min="15602" max="15602" width="13.85546875" customWidth="1"/>
    <col min="15603" max="15603" width="11.42578125" customWidth="1"/>
    <col min="15604" max="15604" width="12.140625" customWidth="1"/>
    <col min="15605" max="15605" width="16" customWidth="1"/>
    <col min="15606" max="15606" width="14.5703125" customWidth="1"/>
    <col min="15607" max="15607" width="12.7109375" customWidth="1"/>
    <col min="15608" max="15608" width="14.7109375" customWidth="1"/>
    <col min="15609" max="15609" width="18.28515625" customWidth="1"/>
    <col min="15610" max="15610" width="14.28515625" customWidth="1"/>
    <col min="15611" max="15611" width="17.7109375" customWidth="1"/>
    <col min="15612" max="15612" width="13.85546875" customWidth="1"/>
    <col min="15613" max="15613" width="17.140625" customWidth="1"/>
    <col min="15614" max="15614" width="15.85546875" customWidth="1"/>
    <col min="15615" max="15615" width="17.5703125" customWidth="1"/>
    <col min="15854" max="15854" width="24.7109375" customWidth="1"/>
    <col min="15855" max="15855" width="19.7109375" customWidth="1"/>
    <col min="15856" max="15856" width="11.42578125" customWidth="1"/>
    <col min="15857" max="15857" width="15.42578125" customWidth="1"/>
    <col min="15858" max="15858" width="13.85546875" customWidth="1"/>
    <col min="15859" max="15859" width="11.42578125" customWidth="1"/>
    <col min="15860" max="15860" width="12.140625" customWidth="1"/>
    <col min="15861" max="15861" width="16" customWidth="1"/>
    <col min="15862" max="15862" width="14.5703125" customWidth="1"/>
    <col min="15863" max="15863" width="12.7109375" customWidth="1"/>
    <col min="15864" max="15864" width="14.7109375" customWidth="1"/>
    <col min="15865" max="15865" width="18.28515625" customWidth="1"/>
    <col min="15866" max="15866" width="14.28515625" customWidth="1"/>
    <col min="15867" max="15867" width="17.7109375" customWidth="1"/>
    <col min="15868" max="15868" width="13.85546875" customWidth="1"/>
    <col min="15869" max="15869" width="17.140625" customWidth="1"/>
    <col min="15870" max="15870" width="15.85546875" customWidth="1"/>
    <col min="15871" max="15871" width="17.5703125" customWidth="1"/>
    <col min="16110" max="16110" width="24.7109375" customWidth="1"/>
    <col min="16111" max="16111" width="19.7109375" customWidth="1"/>
    <col min="16112" max="16112" width="11.42578125" customWidth="1"/>
    <col min="16113" max="16113" width="15.42578125" customWidth="1"/>
    <col min="16114" max="16114" width="13.85546875" customWidth="1"/>
    <col min="16115" max="16115" width="11.42578125" customWidth="1"/>
    <col min="16116" max="16116" width="12.140625" customWidth="1"/>
    <col min="16117" max="16117" width="16" customWidth="1"/>
    <col min="16118" max="16118" width="14.5703125" customWidth="1"/>
    <col min="16119" max="16119" width="12.7109375" customWidth="1"/>
    <col min="16120" max="16120" width="14.7109375" customWidth="1"/>
    <col min="16121" max="16121" width="18.28515625" customWidth="1"/>
    <col min="16122" max="16122" width="14.28515625" customWidth="1"/>
    <col min="16123" max="16123" width="17.7109375" customWidth="1"/>
    <col min="16124" max="16124" width="13.85546875" customWidth="1"/>
    <col min="16125" max="16125" width="17.140625" customWidth="1"/>
    <col min="16126" max="16126" width="15.85546875" customWidth="1"/>
    <col min="16127" max="16127" width="17.5703125" customWidth="1"/>
  </cols>
  <sheetData>
    <row r="1" spans="1:21" ht="27.75" customHeight="1" x14ac:dyDescent="0.25">
      <c r="A1" s="325" t="s">
        <v>215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</row>
    <row r="2" spans="1:21" ht="27.75" customHeight="1" x14ac:dyDescent="0.25">
      <c r="B2" s="248" t="s">
        <v>142</v>
      </c>
      <c r="C2" s="248"/>
      <c r="D2" s="248"/>
      <c r="E2" s="248"/>
      <c r="F2" s="248"/>
      <c r="G2" s="248" t="s">
        <v>143</v>
      </c>
      <c r="H2" s="248"/>
      <c r="I2" s="248"/>
      <c r="J2" s="248"/>
      <c r="K2" s="248"/>
      <c r="L2" s="248" t="s">
        <v>144</v>
      </c>
      <c r="M2" s="248"/>
      <c r="N2" s="248"/>
      <c r="O2" s="248"/>
      <c r="P2" s="248"/>
      <c r="Q2" s="248" t="s">
        <v>145</v>
      </c>
      <c r="R2" s="248"/>
      <c r="S2" s="248"/>
      <c r="T2" s="248"/>
      <c r="U2" s="248"/>
    </row>
    <row r="3" spans="1:21" ht="30" customHeight="1" x14ac:dyDescent="0.25">
      <c r="A3" s="253" t="s">
        <v>1</v>
      </c>
      <c r="B3" s="324" t="s">
        <v>209</v>
      </c>
      <c r="C3" s="324" t="s">
        <v>4</v>
      </c>
      <c r="D3" s="323" t="s">
        <v>210</v>
      </c>
      <c r="E3" s="323" t="s">
        <v>216</v>
      </c>
      <c r="F3" s="323" t="s">
        <v>217</v>
      </c>
      <c r="G3" s="324" t="s">
        <v>209</v>
      </c>
      <c r="H3" s="324" t="s">
        <v>4</v>
      </c>
      <c r="I3" s="323" t="s">
        <v>210</v>
      </c>
      <c r="J3" s="323" t="s">
        <v>216</v>
      </c>
      <c r="K3" s="323" t="s">
        <v>217</v>
      </c>
      <c r="L3" s="324" t="s">
        <v>209</v>
      </c>
      <c r="M3" s="324" t="s">
        <v>4</v>
      </c>
      <c r="N3" s="323" t="s">
        <v>210</v>
      </c>
      <c r="O3" s="323" t="s">
        <v>216</v>
      </c>
      <c r="P3" s="323" t="s">
        <v>217</v>
      </c>
      <c r="Q3" s="324" t="s">
        <v>209</v>
      </c>
      <c r="R3" s="324" t="s">
        <v>4</v>
      </c>
      <c r="S3" s="323" t="s">
        <v>210</v>
      </c>
      <c r="T3" s="323" t="s">
        <v>216</v>
      </c>
      <c r="U3" s="323" t="s">
        <v>217</v>
      </c>
    </row>
    <row r="4" spans="1:21" ht="51" customHeight="1" x14ac:dyDescent="0.25">
      <c r="A4" s="253"/>
      <c r="B4" s="324"/>
      <c r="C4" s="324"/>
      <c r="D4" s="323"/>
      <c r="E4" s="323"/>
      <c r="F4" s="323"/>
      <c r="G4" s="324"/>
      <c r="H4" s="324"/>
      <c r="I4" s="323"/>
      <c r="J4" s="323"/>
      <c r="K4" s="323"/>
      <c r="L4" s="324"/>
      <c r="M4" s="324"/>
      <c r="N4" s="323"/>
      <c r="O4" s="323"/>
      <c r="P4" s="323"/>
      <c r="Q4" s="324"/>
      <c r="R4" s="324"/>
      <c r="S4" s="323"/>
      <c r="T4" s="323"/>
      <c r="U4" s="323"/>
    </row>
    <row r="5" spans="1:21" ht="53.25" customHeight="1" x14ac:dyDescent="0.25">
      <c r="A5" s="253"/>
      <c r="B5" s="324"/>
      <c r="C5" s="324"/>
      <c r="D5" s="323"/>
      <c r="E5" s="323"/>
      <c r="F5" s="323"/>
      <c r="G5" s="324"/>
      <c r="H5" s="324"/>
      <c r="I5" s="323"/>
      <c r="J5" s="323"/>
      <c r="K5" s="323"/>
      <c r="L5" s="324"/>
      <c r="M5" s="324"/>
      <c r="N5" s="323"/>
      <c r="O5" s="323"/>
      <c r="P5" s="323"/>
      <c r="Q5" s="324"/>
      <c r="R5" s="324"/>
      <c r="S5" s="323"/>
      <c r="T5" s="323"/>
      <c r="U5" s="323"/>
    </row>
    <row r="6" spans="1:21" ht="15.95" customHeight="1" x14ac:dyDescent="0.25">
      <c r="A6" s="145" t="s">
        <v>156</v>
      </c>
      <c r="B6" s="123">
        <v>1</v>
      </c>
      <c r="C6" s="123">
        <v>360</v>
      </c>
      <c r="D6" s="193">
        <v>1.0101851851851853</v>
      </c>
      <c r="E6" s="193">
        <v>1.0999083409715857E-2</v>
      </c>
      <c r="F6" s="193">
        <v>1.2832263978001834E-2</v>
      </c>
      <c r="G6" s="123">
        <v>1</v>
      </c>
      <c r="H6" s="123">
        <v>360</v>
      </c>
      <c r="I6" s="193">
        <v>0.91666666666666663</v>
      </c>
      <c r="J6" s="193">
        <v>1.8181818181818181E-2</v>
      </c>
      <c r="K6" s="117">
        <v>2.1212121212121213E-2</v>
      </c>
      <c r="L6" s="123">
        <v>1</v>
      </c>
      <c r="M6" s="123">
        <v>360</v>
      </c>
      <c r="N6" s="193">
        <v>1.4712962962962961</v>
      </c>
      <c r="O6" s="193">
        <v>3.02076777847703E-2</v>
      </c>
      <c r="P6" s="117">
        <v>8.1812460667086227E-3</v>
      </c>
      <c r="Q6" s="123">
        <v>1</v>
      </c>
      <c r="R6" s="123">
        <v>360</v>
      </c>
      <c r="S6" s="193">
        <v>0.95</v>
      </c>
      <c r="T6" s="193">
        <v>7.7972709551656916E-3</v>
      </c>
      <c r="U6" s="117">
        <v>5.8479532163742687E-3</v>
      </c>
    </row>
    <row r="7" spans="1:21" ht="15.95" customHeight="1" x14ac:dyDescent="0.25">
      <c r="A7" s="146" t="s">
        <v>34</v>
      </c>
      <c r="B7" s="123">
        <v>1</v>
      </c>
      <c r="C7" s="123">
        <v>220</v>
      </c>
      <c r="D7" s="193">
        <v>0.92272727272727273</v>
      </c>
      <c r="E7" s="193">
        <v>1.3136288998357963E-2</v>
      </c>
      <c r="F7" s="193">
        <v>0</v>
      </c>
      <c r="G7" s="123">
        <v>1</v>
      </c>
      <c r="H7" s="123">
        <v>220</v>
      </c>
      <c r="I7" s="193">
        <v>0.88636363636363635</v>
      </c>
      <c r="J7" s="193">
        <v>0</v>
      </c>
      <c r="K7" s="117">
        <v>0</v>
      </c>
      <c r="L7" s="123">
        <v>1</v>
      </c>
      <c r="M7" s="123">
        <v>220</v>
      </c>
      <c r="N7" s="193">
        <v>1.0469696969696971</v>
      </c>
      <c r="O7" s="193">
        <v>2.3154848046309694E-2</v>
      </c>
      <c r="P7" s="117">
        <v>4.3415340086830675E-3</v>
      </c>
      <c r="Q7" s="123">
        <v>1</v>
      </c>
      <c r="R7" s="123">
        <v>220</v>
      </c>
      <c r="S7" s="193">
        <v>0.97272727272727277</v>
      </c>
      <c r="T7" s="193">
        <v>4.6728971962616819E-3</v>
      </c>
      <c r="U7" s="117">
        <v>2.3364485981308409E-3</v>
      </c>
    </row>
    <row r="8" spans="1:21" ht="15.95" customHeight="1" x14ac:dyDescent="0.25">
      <c r="A8" s="146" t="s">
        <v>119</v>
      </c>
      <c r="B8" s="123">
        <v>2</v>
      </c>
      <c r="C8" s="123">
        <v>320</v>
      </c>
      <c r="D8" s="193">
        <v>1.059375</v>
      </c>
      <c r="E8" s="193">
        <v>1.0816125860373648E-2</v>
      </c>
      <c r="F8" s="193">
        <v>4.9164208456243856E-2</v>
      </c>
      <c r="G8" s="123">
        <v>2</v>
      </c>
      <c r="H8" s="123">
        <v>320</v>
      </c>
      <c r="I8" s="193">
        <v>0.99583333333333335</v>
      </c>
      <c r="J8" s="193">
        <v>1.1506276150627614E-2</v>
      </c>
      <c r="K8" s="117">
        <v>5.3347280334728027E-2</v>
      </c>
      <c r="L8" s="123">
        <v>2</v>
      </c>
      <c r="M8" s="123">
        <v>320</v>
      </c>
      <c r="N8" s="193">
        <v>1.0177083333333334</v>
      </c>
      <c r="O8" s="193">
        <v>6.1412487205731829E-3</v>
      </c>
      <c r="P8" s="117">
        <v>4.9129989764585463E-2</v>
      </c>
      <c r="Q8" s="123">
        <v>2</v>
      </c>
      <c r="R8" s="123">
        <v>320</v>
      </c>
      <c r="S8" s="193">
        <v>1.03125</v>
      </c>
      <c r="T8" s="193">
        <v>6.0606060606060606E-3</v>
      </c>
      <c r="U8" s="117">
        <v>4.9494949494949494E-2</v>
      </c>
    </row>
    <row r="9" spans="1:21" ht="15.95" customHeight="1" x14ac:dyDescent="0.25">
      <c r="A9" s="146" t="s">
        <v>123</v>
      </c>
      <c r="B9" s="123">
        <v>2</v>
      </c>
      <c r="C9" s="123">
        <v>560</v>
      </c>
      <c r="D9" s="193">
        <v>0.66369047619047628</v>
      </c>
      <c r="E9" s="193">
        <v>8.968609865470851E-4</v>
      </c>
      <c r="F9" s="193">
        <v>1.3452914798206277E-2</v>
      </c>
      <c r="G9" s="123">
        <v>2</v>
      </c>
      <c r="H9" s="123">
        <v>560</v>
      </c>
      <c r="I9" s="193">
        <v>0.97976190476190472</v>
      </c>
      <c r="J9" s="193">
        <v>2.9161603888213854E-2</v>
      </c>
      <c r="K9" s="117">
        <v>9.1130012150668297E-3</v>
      </c>
      <c r="L9" s="123">
        <v>2</v>
      </c>
      <c r="M9" s="123">
        <v>560</v>
      </c>
      <c r="N9" s="193">
        <v>0.9470238095238096</v>
      </c>
      <c r="O9" s="193">
        <v>1.1942174732872407E-2</v>
      </c>
      <c r="P9" s="117">
        <v>8.7994971715901951E-3</v>
      </c>
      <c r="Q9" s="123">
        <v>2</v>
      </c>
      <c r="R9" s="123">
        <v>560</v>
      </c>
      <c r="S9" s="193">
        <v>0.71726190476190477</v>
      </c>
      <c r="T9" s="193">
        <v>1.4937759336099584E-2</v>
      </c>
      <c r="U9" s="117">
        <v>9.1286307053941897E-3</v>
      </c>
    </row>
    <row r="10" spans="1:21" ht="15.95" customHeight="1" x14ac:dyDescent="0.25">
      <c r="A10" s="146" t="s">
        <v>127</v>
      </c>
      <c r="B10" s="123">
        <v>1</v>
      </c>
      <c r="C10" s="123">
        <v>160</v>
      </c>
      <c r="D10" s="193">
        <v>0.82708333333333339</v>
      </c>
      <c r="E10" s="193">
        <v>1.0075566750629721E-2</v>
      </c>
      <c r="F10" s="193">
        <v>0</v>
      </c>
      <c r="G10" s="123">
        <v>1</v>
      </c>
      <c r="H10" s="123">
        <v>160</v>
      </c>
      <c r="I10" s="193">
        <v>0.89166666666666661</v>
      </c>
      <c r="J10" s="193">
        <v>9.3457943925233638E-3</v>
      </c>
      <c r="K10" s="117">
        <v>0</v>
      </c>
      <c r="L10" s="123">
        <v>1</v>
      </c>
      <c r="M10" s="123">
        <v>160</v>
      </c>
      <c r="N10" s="193">
        <v>0.8125</v>
      </c>
      <c r="O10" s="193">
        <v>5.1282051282051282E-3</v>
      </c>
      <c r="P10" s="117">
        <v>2.5641025641025641E-3</v>
      </c>
      <c r="Q10" s="123">
        <v>1</v>
      </c>
      <c r="R10" s="123">
        <v>160</v>
      </c>
      <c r="S10" s="193">
        <v>0.68333333333333335</v>
      </c>
      <c r="T10" s="193">
        <v>3.6585365853658541E-2</v>
      </c>
      <c r="U10" s="117">
        <v>3.0487804878048782E-3</v>
      </c>
    </row>
    <row r="11" spans="1:21" ht="15.95" customHeight="1" x14ac:dyDescent="0.25">
      <c r="A11" s="149" t="s">
        <v>83</v>
      </c>
      <c r="B11" s="123">
        <v>1</v>
      </c>
      <c r="C11" s="123">
        <v>80</v>
      </c>
      <c r="D11" s="193">
        <v>1.1958333333333333</v>
      </c>
      <c r="E11" s="193">
        <v>2.0905923344947733E-2</v>
      </c>
      <c r="F11" s="193">
        <v>1.3937282229965155E-2</v>
      </c>
      <c r="G11" s="123">
        <v>1</v>
      </c>
      <c r="H11" s="123">
        <v>80</v>
      </c>
      <c r="I11" s="193">
        <v>1.0249999999999999</v>
      </c>
      <c r="J11" s="193">
        <v>2.4390243902439025E-2</v>
      </c>
      <c r="K11" s="117">
        <v>4.065040650406504E-2</v>
      </c>
      <c r="L11" s="123">
        <v>1</v>
      </c>
      <c r="M11" s="123">
        <v>80</v>
      </c>
      <c r="N11" s="193">
        <v>1.35</v>
      </c>
      <c r="O11" s="193">
        <v>6.1728395061728399E-2</v>
      </c>
      <c r="P11" s="117">
        <v>1.54320987654321E-2</v>
      </c>
      <c r="Q11" s="123">
        <v>1</v>
      </c>
      <c r="R11" s="123">
        <v>80</v>
      </c>
      <c r="S11" s="193">
        <v>1.0291666666666666</v>
      </c>
      <c r="T11" s="193">
        <v>1.2145748987854251E-2</v>
      </c>
      <c r="U11" s="117">
        <v>1.2145748987854251E-2</v>
      </c>
    </row>
    <row r="12" spans="1:21" ht="15.95" customHeight="1" x14ac:dyDescent="0.25">
      <c r="A12" s="145" t="s">
        <v>85</v>
      </c>
      <c r="B12" s="123">
        <v>1</v>
      </c>
      <c r="C12" s="123">
        <v>120</v>
      </c>
      <c r="D12" s="193">
        <v>0.67222222222222228</v>
      </c>
      <c r="E12" s="193">
        <v>8.2644628099173539E-3</v>
      </c>
      <c r="F12" s="193">
        <v>8.2644628099173539E-3</v>
      </c>
      <c r="G12" s="123">
        <v>1</v>
      </c>
      <c r="H12" s="123">
        <v>120</v>
      </c>
      <c r="I12" s="193">
        <v>0.91666666666666663</v>
      </c>
      <c r="J12" s="193">
        <v>0</v>
      </c>
      <c r="K12" s="117">
        <v>1.5151515151515152E-2</v>
      </c>
      <c r="L12" s="123">
        <v>1</v>
      </c>
      <c r="M12" s="123">
        <v>120</v>
      </c>
      <c r="N12" s="193">
        <v>1</v>
      </c>
      <c r="O12" s="193">
        <v>0</v>
      </c>
      <c r="P12" s="117">
        <v>1.6666666666666666E-2</v>
      </c>
      <c r="Q12" s="123">
        <v>1</v>
      </c>
      <c r="R12" s="123">
        <v>120</v>
      </c>
      <c r="S12" s="193">
        <v>1</v>
      </c>
      <c r="T12" s="193">
        <v>0</v>
      </c>
      <c r="U12" s="117">
        <v>1.6666666666666666E-2</v>
      </c>
    </row>
    <row r="13" spans="1:21" ht="15.95" customHeight="1" x14ac:dyDescent="0.25">
      <c r="A13" s="145" t="s">
        <v>23</v>
      </c>
      <c r="B13" s="123">
        <v>1</v>
      </c>
      <c r="C13" s="123">
        <v>120</v>
      </c>
      <c r="D13" s="193">
        <v>0.98333333333333328</v>
      </c>
      <c r="E13" s="193">
        <v>2.8248587570621469E-2</v>
      </c>
      <c r="F13" s="193">
        <v>5.6497175141242938E-3</v>
      </c>
      <c r="G13" s="123">
        <v>1</v>
      </c>
      <c r="H13" s="123">
        <v>120</v>
      </c>
      <c r="I13" s="193">
        <v>0.85555555555555562</v>
      </c>
      <c r="J13" s="193">
        <v>2.922077922077922E-2</v>
      </c>
      <c r="K13" s="117">
        <v>9.74025974025974E-3</v>
      </c>
      <c r="L13" s="123">
        <v>2</v>
      </c>
      <c r="M13" s="123">
        <v>240</v>
      </c>
      <c r="N13" s="193">
        <v>0.80416666666666659</v>
      </c>
      <c r="O13" s="193">
        <v>9.0673575129533682E-2</v>
      </c>
      <c r="P13" s="117">
        <v>4.145077720207254E-2</v>
      </c>
      <c r="Q13" s="123">
        <v>2</v>
      </c>
      <c r="R13" s="123">
        <v>240</v>
      </c>
      <c r="S13" s="193">
        <v>0.75277777777777777</v>
      </c>
      <c r="T13" s="193">
        <v>5.350553505535055E-2</v>
      </c>
      <c r="U13" s="117">
        <v>2.583025830258303E-2</v>
      </c>
    </row>
    <row r="14" spans="1:21" ht="15.95" customHeight="1" x14ac:dyDescent="0.25">
      <c r="A14" s="146" t="s">
        <v>108</v>
      </c>
      <c r="B14" s="123">
        <v>1</v>
      </c>
      <c r="C14" s="123">
        <v>200</v>
      </c>
      <c r="D14" s="193">
        <v>0.9916666666666667</v>
      </c>
      <c r="E14" s="193">
        <v>8.0672268907563016E-2</v>
      </c>
      <c r="F14" s="193">
        <v>0</v>
      </c>
      <c r="G14" s="123">
        <v>1</v>
      </c>
      <c r="H14" s="123">
        <v>200</v>
      </c>
      <c r="I14" s="193">
        <v>0.97</v>
      </c>
      <c r="J14" s="193">
        <v>6.1855670103092786E-2</v>
      </c>
      <c r="K14" s="117">
        <v>3.4364261168384879E-3</v>
      </c>
      <c r="L14" s="123">
        <v>1</v>
      </c>
      <c r="M14" s="123">
        <v>200</v>
      </c>
      <c r="N14" s="193">
        <v>1.135</v>
      </c>
      <c r="O14" s="193">
        <v>4.405286343612335E-2</v>
      </c>
      <c r="P14" s="117">
        <v>1.3215859030837005E-2</v>
      </c>
      <c r="Q14" s="123">
        <v>1</v>
      </c>
      <c r="R14" s="123">
        <v>200</v>
      </c>
      <c r="S14" s="193">
        <v>0.97666666666666668</v>
      </c>
      <c r="T14" s="193">
        <v>2.9010238907849831E-2</v>
      </c>
      <c r="U14" s="117">
        <v>1.5358361774744027E-2</v>
      </c>
    </row>
    <row r="15" spans="1:21" ht="15.95" customHeight="1" x14ac:dyDescent="0.25">
      <c r="A15" s="145" t="s">
        <v>91</v>
      </c>
      <c r="B15" s="123">
        <v>1</v>
      </c>
      <c r="C15" s="123">
        <v>120</v>
      </c>
      <c r="D15" s="193">
        <v>1.3333333333333333</v>
      </c>
      <c r="E15" s="193">
        <v>0</v>
      </c>
      <c r="F15" s="193">
        <v>3.5416666666666666E-2</v>
      </c>
      <c r="G15" s="123">
        <v>1</v>
      </c>
      <c r="H15" s="123">
        <v>120</v>
      </c>
      <c r="I15" s="193">
        <v>0.93333333333333335</v>
      </c>
      <c r="J15" s="193">
        <v>0.15773809523809526</v>
      </c>
      <c r="K15" s="117">
        <v>1.4880952380952382E-2</v>
      </c>
      <c r="L15" s="123">
        <v>1</v>
      </c>
      <c r="M15" s="123">
        <v>120</v>
      </c>
      <c r="N15" s="193">
        <v>0.94699999999999995</v>
      </c>
      <c r="O15" s="193">
        <v>2.0983606557377049E-2</v>
      </c>
      <c r="P15" s="117">
        <v>1.7049180327868851E-2</v>
      </c>
      <c r="Q15" s="123">
        <v>1</v>
      </c>
      <c r="R15" s="123">
        <v>120</v>
      </c>
      <c r="S15" s="193">
        <v>0.95</v>
      </c>
      <c r="T15" s="193">
        <v>3.8930703348040488E-3</v>
      </c>
      <c r="U15" s="117">
        <v>7.007526602647288E-3</v>
      </c>
    </row>
    <row r="16" spans="1:21" ht="15.95" customHeight="1" x14ac:dyDescent="0.25">
      <c r="A16" s="145" t="s">
        <v>94</v>
      </c>
      <c r="B16" s="123">
        <v>10</v>
      </c>
      <c r="C16" s="123">
        <v>2120</v>
      </c>
      <c r="D16" s="193">
        <v>0.83946540880503151</v>
      </c>
      <c r="E16" s="193">
        <v>8.8031466566772798E-3</v>
      </c>
      <c r="F16" s="193">
        <v>9.9269526128488491E-3</v>
      </c>
      <c r="G16" s="123">
        <v>10</v>
      </c>
      <c r="H16" s="123">
        <v>2120</v>
      </c>
      <c r="I16" s="193">
        <v>1.1059748427672955</v>
      </c>
      <c r="J16" s="193">
        <v>3.4119988626670462E-3</v>
      </c>
      <c r="K16" s="117">
        <v>8.9564970145009949E-3</v>
      </c>
      <c r="L16" s="123">
        <v>10</v>
      </c>
      <c r="M16" s="123">
        <v>2120</v>
      </c>
      <c r="N16" s="193">
        <v>1.0529874213836479</v>
      </c>
      <c r="O16" s="193">
        <v>4.6289383305957894E-3</v>
      </c>
      <c r="P16" s="117">
        <v>8.5112737046438691E-3</v>
      </c>
      <c r="Q16" s="123">
        <v>10</v>
      </c>
      <c r="R16" s="123">
        <v>2120</v>
      </c>
      <c r="S16" s="193">
        <v>1.1503267973856208</v>
      </c>
      <c r="T16" s="193">
        <v>1.7045454545454547E-3</v>
      </c>
      <c r="U16" s="117">
        <v>6.9602272727272724E-3</v>
      </c>
    </row>
    <row r="17" spans="1:21" ht="15.95" customHeight="1" x14ac:dyDescent="0.25">
      <c r="A17" s="147" t="s">
        <v>112</v>
      </c>
      <c r="B17" s="123">
        <v>2</v>
      </c>
      <c r="C17" s="123">
        <v>360</v>
      </c>
      <c r="D17" s="193">
        <v>0.5092592592592593</v>
      </c>
      <c r="E17" s="193">
        <v>3.6363636363636359E-3</v>
      </c>
      <c r="F17" s="193">
        <v>5.4545454545454541E-3</v>
      </c>
      <c r="G17" s="123">
        <v>2</v>
      </c>
      <c r="H17" s="123">
        <v>360</v>
      </c>
      <c r="I17" s="193">
        <v>0.57592592592592595</v>
      </c>
      <c r="J17" s="193">
        <v>0</v>
      </c>
      <c r="K17" s="117">
        <v>1.9292604501607715E-2</v>
      </c>
      <c r="L17" s="123">
        <v>2</v>
      </c>
      <c r="M17" s="123">
        <v>360</v>
      </c>
      <c r="N17" s="193">
        <v>0.82407407407407418</v>
      </c>
      <c r="O17" s="193">
        <v>7.9775280898876408E-2</v>
      </c>
      <c r="P17" s="117">
        <v>2.3595505617977526E-2</v>
      </c>
      <c r="Q17" s="123">
        <v>2</v>
      </c>
      <c r="R17" s="123">
        <v>360</v>
      </c>
      <c r="S17" s="193">
        <v>0.73611111111111116</v>
      </c>
      <c r="T17" s="193">
        <v>1.6352201257861635E-2</v>
      </c>
      <c r="U17" s="117">
        <v>3.0188679245283019E-2</v>
      </c>
    </row>
    <row r="18" spans="1:21" ht="15.95" customHeight="1" x14ac:dyDescent="0.25">
      <c r="A18" s="150" t="s">
        <v>7</v>
      </c>
      <c r="B18" s="123">
        <v>3</v>
      </c>
      <c r="C18" s="123">
        <v>560</v>
      </c>
      <c r="D18" s="193">
        <v>0.66845238095238091</v>
      </c>
      <c r="E18" s="193">
        <v>3.5618878005342831E-3</v>
      </c>
      <c r="F18" s="193">
        <v>4.4523597506678546E-3</v>
      </c>
      <c r="G18" s="123">
        <v>2</v>
      </c>
      <c r="H18" s="123">
        <v>340</v>
      </c>
      <c r="I18" s="193">
        <v>1.0509803921568628</v>
      </c>
      <c r="J18" s="193">
        <v>2.2388059701492539E-2</v>
      </c>
      <c r="K18" s="117">
        <v>5.5970149253731349E-3</v>
      </c>
      <c r="L18" s="123">
        <v>3</v>
      </c>
      <c r="M18" s="123">
        <v>560</v>
      </c>
      <c r="N18" s="193">
        <v>1.1035211267605636</v>
      </c>
      <c r="O18" s="193">
        <v>1.1486917677089981E-2</v>
      </c>
      <c r="P18" s="117">
        <v>3.8289725590299932E-3</v>
      </c>
      <c r="Q18" s="123">
        <v>3</v>
      </c>
      <c r="R18" s="123">
        <v>560</v>
      </c>
      <c r="S18" s="193">
        <v>0.9950617283950618</v>
      </c>
      <c r="T18" s="193">
        <v>9.9255583126550851E-3</v>
      </c>
      <c r="U18" s="117">
        <v>3.7220843672456571E-3</v>
      </c>
    </row>
    <row r="19" spans="1:21" ht="15.95" customHeight="1" x14ac:dyDescent="0.25">
      <c r="A19" s="151" t="s">
        <v>40</v>
      </c>
      <c r="B19" s="123">
        <v>2</v>
      </c>
      <c r="C19" s="123">
        <v>560</v>
      </c>
      <c r="D19" s="193">
        <v>1.0821428571428571</v>
      </c>
      <c r="E19" s="193">
        <v>1.5401540154015403E-2</v>
      </c>
      <c r="F19" s="193">
        <v>1.8701870187018702E-2</v>
      </c>
      <c r="G19" s="123">
        <v>2</v>
      </c>
      <c r="H19" s="123">
        <v>560</v>
      </c>
      <c r="I19" s="193">
        <v>1.0571428571428572</v>
      </c>
      <c r="J19" s="193">
        <v>0</v>
      </c>
      <c r="K19" s="117">
        <v>2.8716216216216218E-2</v>
      </c>
      <c r="L19" s="123">
        <v>2</v>
      </c>
      <c r="M19" s="123">
        <v>560</v>
      </c>
      <c r="N19" s="193">
        <v>0.9821428571428571</v>
      </c>
      <c r="O19" s="193">
        <v>6.6666666666666662E-3</v>
      </c>
      <c r="P19" s="117">
        <v>7.3333333333333334E-2</v>
      </c>
      <c r="Q19" s="123">
        <v>2</v>
      </c>
      <c r="R19" s="123">
        <v>560</v>
      </c>
      <c r="S19" s="193">
        <v>0.95714285714285718</v>
      </c>
      <c r="T19" s="193">
        <v>1.2437810945273632E-3</v>
      </c>
      <c r="U19" s="117">
        <v>9.3283582089552244E-2</v>
      </c>
    </row>
    <row r="20" spans="1:21" ht="15.95" customHeight="1" x14ac:dyDescent="0.25">
      <c r="A20" s="146" t="s">
        <v>130</v>
      </c>
      <c r="B20" s="123">
        <v>3</v>
      </c>
      <c r="C20" s="123">
        <v>360</v>
      </c>
      <c r="D20" s="193">
        <v>0.99074074074074081</v>
      </c>
      <c r="E20" s="193">
        <v>2.336448598130841E-2</v>
      </c>
      <c r="F20" s="193">
        <v>6.1682242990654203E-2</v>
      </c>
      <c r="G20" s="123">
        <v>3</v>
      </c>
      <c r="H20" s="123">
        <v>360</v>
      </c>
      <c r="I20" s="193">
        <v>0.95370370370370361</v>
      </c>
      <c r="J20" s="193">
        <v>8.7378640776699032E-3</v>
      </c>
      <c r="K20" s="117">
        <v>8.2524271844660199E-2</v>
      </c>
      <c r="L20" s="123">
        <v>3</v>
      </c>
      <c r="M20" s="123">
        <v>360</v>
      </c>
      <c r="N20" s="193">
        <v>1.1601851851851852</v>
      </c>
      <c r="O20" s="193">
        <v>1.9154030327214685E-2</v>
      </c>
      <c r="P20" s="117">
        <v>5.7462090981644051E-2</v>
      </c>
      <c r="Q20" s="123">
        <v>3</v>
      </c>
      <c r="R20" s="123">
        <v>360</v>
      </c>
      <c r="S20" s="193">
        <v>1.0208333333333335</v>
      </c>
      <c r="T20" s="193">
        <v>1.1224489795918367E-2</v>
      </c>
      <c r="U20" s="117">
        <v>6.0204081632653061E-2</v>
      </c>
    </row>
    <row r="21" spans="1:21" ht="15.95" customHeight="1" x14ac:dyDescent="0.25">
      <c r="A21" s="145" t="s">
        <v>67</v>
      </c>
      <c r="B21" s="123">
        <v>1</v>
      </c>
      <c r="C21" s="123">
        <v>160</v>
      </c>
      <c r="D21" s="193">
        <v>0.7</v>
      </c>
      <c r="E21" s="193">
        <v>0</v>
      </c>
      <c r="F21" s="193">
        <v>0</v>
      </c>
      <c r="G21" s="123">
        <v>1</v>
      </c>
      <c r="H21" s="123">
        <v>160</v>
      </c>
      <c r="I21" s="193">
        <v>0.7</v>
      </c>
      <c r="J21" s="193">
        <v>0</v>
      </c>
      <c r="K21" s="117">
        <v>0</v>
      </c>
      <c r="L21" s="123">
        <v>1</v>
      </c>
      <c r="M21" s="123">
        <v>160</v>
      </c>
      <c r="N21" s="193">
        <v>1</v>
      </c>
      <c r="O21" s="193">
        <v>0</v>
      </c>
      <c r="P21" s="117">
        <v>0</v>
      </c>
      <c r="Q21" s="123">
        <v>1</v>
      </c>
      <c r="R21" s="123">
        <v>160</v>
      </c>
      <c r="S21" s="193">
        <v>1</v>
      </c>
      <c r="T21" s="193">
        <v>0</v>
      </c>
      <c r="U21" s="117">
        <v>0</v>
      </c>
    </row>
    <row r="22" spans="1:21" ht="15.95" customHeight="1" x14ac:dyDescent="0.25">
      <c r="A22" s="146" t="s">
        <v>133</v>
      </c>
      <c r="B22" s="123">
        <v>2</v>
      </c>
      <c r="C22" s="123">
        <v>480</v>
      </c>
      <c r="D22" s="193">
        <v>1.0298611111111111</v>
      </c>
      <c r="E22" s="193">
        <v>1.3486176668914364E-2</v>
      </c>
      <c r="F22" s="193">
        <v>1.2811867835468645E-2</v>
      </c>
      <c r="G22" s="123">
        <v>2</v>
      </c>
      <c r="H22" s="123">
        <v>480</v>
      </c>
      <c r="I22" s="193">
        <v>1.0062500000000001</v>
      </c>
      <c r="J22" s="193">
        <v>1.1732229123533472E-2</v>
      </c>
      <c r="K22" s="117">
        <v>1.725327812284334E-2</v>
      </c>
      <c r="L22" s="123">
        <v>2</v>
      </c>
      <c r="M22" s="123">
        <v>480</v>
      </c>
      <c r="N22" s="193">
        <v>1.0881944444444445</v>
      </c>
      <c r="O22" s="193">
        <v>7.6579451180599865E-3</v>
      </c>
      <c r="P22" s="117">
        <v>1.4677728142948309E-2</v>
      </c>
      <c r="Q22" s="123">
        <v>2</v>
      </c>
      <c r="R22" s="123">
        <v>480</v>
      </c>
      <c r="S22" s="193">
        <v>0.97678571428571437</v>
      </c>
      <c r="T22" s="193">
        <v>1.0968921389396709E-2</v>
      </c>
      <c r="U22" s="117">
        <v>1.8281535648994516E-2</v>
      </c>
    </row>
    <row r="23" spans="1:21" s="26" customFormat="1" ht="15.95" customHeight="1" x14ac:dyDescent="0.25">
      <c r="A23" s="145" t="s">
        <v>74</v>
      </c>
      <c r="B23" s="123">
        <v>1</v>
      </c>
      <c r="C23" s="123">
        <v>480</v>
      </c>
      <c r="D23" s="193">
        <v>0.6694444444444444</v>
      </c>
      <c r="E23" s="193">
        <v>0</v>
      </c>
      <c r="F23" s="193">
        <v>1.6597510373443983E-2</v>
      </c>
      <c r="G23" s="123">
        <v>1</v>
      </c>
      <c r="H23" s="123">
        <v>480</v>
      </c>
      <c r="I23" s="193">
        <v>0.99722222222222223</v>
      </c>
      <c r="J23" s="193">
        <v>0</v>
      </c>
      <c r="K23" s="117">
        <v>1.6713091922005572E-2</v>
      </c>
      <c r="L23" s="123">
        <v>1</v>
      </c>
      <c r="M23" s="123">
        <v>480</v>
      </c>
      <c r="N23" s="193">
        <v>1.0111111111111111</v>
      </c>
      <c r="O23" s="193">
        <v>0</v>
      </c>
      <c r="P23" s="117">
        <v>2.4725274725274728E-2</v>
      </c>
      <c r="Q23" s="123">
        <v>1</v>
      </c>
      <c r="R23" s="123">
        <v>480</v>
      </c>
      <c r="S23" s="193">
        <v>1.0013888888888889</v>
      </c>
      <c r="T23" s="193">
        <v>6.9348127600554776E-4</v>
      </c>
      <c r="U23" s="117">
        <v>2.4965325936199722E-2</v>
      </c>
    </row>
    <row r="24" spans="1:21" ht="15.95" customHeight="1" x14ac:dyDescent="0.25">
      <c r="A24" s="146" t="s">
        <v>47</v>
      </c>
      <c r="B24" s="123">
        <v>1</v>
      </c>
      <c r="C24" s="123">
        <v>120</v>
      </c>
      <c r="D24" s="193">
        <v>1</v>
      </c>
      <c r="E24" s="193">
        <v>0</v>
      </c>
      <c r="F24" s="193">
        <v>1.6666666666666666E-2</v>
      </c>
      <c r="G24" s="123">
        <v>1</v>
      </c>
      <c r="H24" s="123">
        <v>120</v>
      </c>
      <c r="I24" s="193">
        <v>1</v>
      </c>
      <c r="J24" s="193">
        <v>5.5555555555555549E-3</v>
      </c>
      <c r="K24" s="117">
        <v>1.6666666666666666E-2</v>
      </c>
      <c r="L24" s="123">
        <v>1</v>
      </c>
      <c r="M24" s="123">
        <v>120</v>
      </c>
      <c r="N24" s="193">
        <v>1</v>
      </c>
      <c r="O24" s="193">
        <v>0</v>
      </c>
      <c r="P24" s="117">
        <v>0</v>
      </c>
      <c r="Q24" s="123">
        <v>1</v>
      </c>
      <c r="R24" s="123">
        <v>120</v>
      </c>
      <c r="S24" s="193">
        <v>1</v>
      </c>
      <c r="T24" s="193">
        <v>0</v>
      </c>
      <c r="U24" s="117">
        <v>0</v>
      </c>
    </row>
    <row r="25" spans="1:21" ht="15.95" customHeight="1" x14ac:dyDescent="0.25">
      <c r="A25" s="148" t="s">
        <v>29</v>
      </c>
      <c r="B25" s="123">
        <v>1</v>
      </c>
      <c r="C25" s="123">
        <v>160</v>
      </c>
      <c r="D25" s="193">
        <v>1.0145833333333334</v>
      </c>
      <c r="E25" s="193">
        <v>0</v>
      </c>
      <c r="F25" s="193">
        <v>5.5441478439425047E-2</v>
      </c>
      <c r="G25" s="123">
        <v>1</v>
      </c>
      <c r="H25" s="123">
        <v>160</v>
      </c>
      <c r="I25" s="193">
        <v>1.01875</v>
      </c>
      <c r="J25" s="193">
        <v>0</v>
      </c>
      <c r="K25" s="117">
        <v>5.5214723926380369E-2</v>
      </c>
      <c r="L25" s="123">
        <v>1</v>
      </c>
      <c r="M25" s="123">
        <v>160</v>
      </c>
      <c r="N25" s="193">
        <v>1.1041666666666665</v>
      </c>
      <c r="O25" s="193">
        <v>0</v>
      </c>
      <c r="P25" s="117">
        <v>5.6603773584905662E-2</v>
      </c>
      <c r="Q25" s="123">
        <v>1</v>
      </c>
      <c r="R25" s="123">
        <v>160</v>
      </c>
      <c r="S25" s="193">
        <v>1.0229166666666667</v>
      </c>
      <c r="T25" s="193">
        <v>0</v>
      </c>
      <c r="U25" s="117">
        <v>6.1099796334012227E-3</v>
      </c>
    </row>
    <row r="26" spans="1:21" ht="15.95" customHeight="1" x14ac:dyDescent="0.25">
      <c r="A26" s="145" t="s">
        <v>10</v>
      </c>
      <c r="B26" s="123">
        <v>1</v>
      </c>
      <c r="C26" s="123">
        <v>120</v>
      </c>
      <c r="D26" s="193">
        <v>0.97222222222222221</v>
      </c>
      <c r="E26" s="193">
        <v>8.8571428571428579E-2</v>
      </c>
      <c r="F26" s="193">
        <v>1.4285714285714285E-2</v>
      </c>
      <c r="G26" s="123">
        <v>1</v>
      </c>
      <c r="H26" s="123">
        <v>120</v>
      </c>
      <c r="I26" s="193">
        <v>0.7416666666666667</v>
      </c>
      <c r="J26" s="193">
        <v>5.2434456928838954E-2</v>
      </c>
      <c r="K26" s="117">
        <v>1.4981273408239699E-2</v>
      </c>
      <c r="L26" s="123">
        <v>1</v>
      </c>
      <c r="M26" s="123">
        <v>120</v>
      </c>
      <c r="N26" s="193">
        <v>1.4416666666666667</v>
      </c>
      <c r="O26" s="193">
        <v>9.0558766859344886E-2</v>
      </c>
      <c r="P26" s="117">
        <v>9.6339113680154152E-3</v>
      </c>
      <c r="Q26" s="123">
        <v>1</v>
      </c>
      <c r="R26" s="123">
        <v>120</v>
      </c>
      <c r="S26" s="193">
        <v>0.9277777777777777</v>
      </c>
      <c r="T26" s="193">
        <v>5.9880239520958079E-3</v>
      </c>
      <c r="U26" s="117">
        <v>8.9820359281437123E-3</v>
      </c>
    </row>
    <row r="27" spans="1:21" ht="15.95" customHeight="1" x14ac:dyDescent="0.25">
      <c r="A27" s="145" t="s">
        <v>99</v>
      </c>
      <c r="B27" s="123">
        <v>7</v>
      </c>
      <c r="C27" s="123">
        <v>1360</v>
      </c>
      <c r="D27" s="193">
        <v>1.0215686274509803</v>
      </c>
      <c r="E27" s="193">
        <v>1.5595009596928984E-2</v>
      </c>
      <c r="F27" s="193">
        <v>8.8771593090211133E-3</v>
      </c>
      <c r="G27" s="123">
        <v>7</v>
      </c>
      <c r="H27" s="123">
        <v>1360</v>
      </c>
      <c r="I27" s="193">
        <v>1.0122549019607843</v>
      </c>
      <c r="J27" s="193">
        <v>8.9588377723970949E-3</v>
      </c>
      <c r="K27" s="117">
        <v>1.0411622276029056E-2</v>
      </c>
      <c r="L27" s="123">
        <v>7</v>
      </c>
      <c r="M27" s="123">
        <v>1360</v>
      </c>
      <c r="N27" s="193">
        <v>1.1301470588235294</v>
      </c>
      <c r="O27" s="193">
        <v>1.9518542615484712E-2</v>
      </c>
      <c r="P27" s="117">
        <v>5.8555627846454128E-3</v>
      </c>
      <c r="Q27" s="123">
        <v>7</v>
      </c>
      <c r="R27" s="123">
        <v>1360</v>
      </c>
      <c r="S27" s="193">
        <v>1.0330882352941178</v>
      </c>
      <c r="T27" s="193">
        <v>7.1174377224199293E-4</v>
      </c>
      <c r="U27" s="117">
        <v>6.405693950177936E-3</v>
      </c>
    </row>
    <row r="28" spans="1:21" ht="15.95" customHeight="1" x14ac:dyDescent="0.25">
      <c r="A28" s="145" t="s">
        <v>103</v>
      </c>
      <c r="B28" s="123">
        <v>2</v>
      </c>
      <c r="C28" s="123">
        <v>280</v>
      </c>
      <c r="D28" s="193">
        <v>0.95</v>
      </c>
      <c r="E28" s="193">
        <v>6.265664160401003E-3</v>
      </c>
      <c r="F28" s="193">
        <v>4.6365914786967423E-2</v>
      </c>
      <c r="G28" s="123">
        <v>2</v>
      </c>
      <c r="H28" s="123">
        <v>280</v>
      </c>
      <c r="I28" s="193">
        <v>0.98690476190476184</v>
      </c>
      <c r="J28" s="193">
        <v>9.6501809408926411E-3</v>
      </c>
      <c r="K28" s="117">
        <v>4.3425814234016889E-2</v>
      </c>
      <c r="L28" s="123">
        <v>2</v>
      </c>
      <c r="M28" s="123">
        <v>280</v>
      </c>
      <c r="N28" s="193">
        <v>0.96071428571428574</v>
      </c>
      <c r="O28" s="193">
        <v>4.9566294919454771E-3</v>
      </c>
      <c r="P28" s="117">
        <v>5.204460966542751E-2</v>
      </c>
      <c r="Q28" s="123">
        <v>2</v>
      </c>
      <c r="R28" s="123">
        <v>280</v>
      </c>
      <c r="S28" s="193">
        <v>0.89047619047619053</v>
      </c>
      <c r="T28" s="193">
        <v>2.0053475935828877E-2</v>
      </c>
      <c r="U28" s="117">
        <v>5.213903743315508E-2</v>
      </c>
    </row>
    <row r="29" spans="1:21" ht="15.95" customHeight="1" x14ac:dyDescent="0.25">
      <c r="A29" s="149" t="s">
        <v>147</v>
      </c>
      <c r="B29" s="123">
        <v>3</v>
      </c>
      <c r="C29" s="123">
        <v>360</v>
      </c>
      <c r="D29" s="193">
        <v>0.97407407407407409</v>
      </c>
      <c r="E29" s="193">
        <v>4.1825095057034217E-2</v>
      </c>
      <c r="F29" s="193">
        <v>1.4258555133079847E-2</v>
      </c>
      <c r="G29" s="123">
        <v>3</v>
      </c>
      <c r="H29" s="123">
        <v>360</v>
      </c>
      <c r="I29" s="193">
        <v>1.0444444444444445</v>
      </c>
      <c r="J29" s="193">
        <v>8.8652482269503544E-4</v>
      </c>
      <c r="K29" s="117">
        <v>7.9787234042553185E-3</v>
      </c>
      <c r="L29" s="123">
        <v>3</v>
      </c>
      <c r="M29" s="123">
        <v>360</v>
      </c>
      <c r="N29" s="193">
        <v>1.1499999999999999</v>
      </c>
      <c r="O29" s="193">
        <v>2.9790660225442835E-2</v>
      </c>
      <c r="P29" s="117">
        <v>9.6618357487922701E-3</v>
      </c>
      <c r="Q29" s="123">
        <v>3</v>
      </c>
      <c r="R29" s="123">
        <v>360</v>
      </c>
      <c r="S29" s="193">
        <v>1.0898148148148148</v>
      </c>
      <c r="T29" s="193">
        <v>5.9473237043330511E-3</v>
      </c>
      <c r="U29" s="117">
        <v>9.3457943925233638E-3</v>
      </c>
    </row>
    <row r="30" spans="1:21" ht="15.95" customHeight="1" x14ac:dyDescent="0.25">
      <c r="A30" s="146" t="s">
        <v>53</v>
      </c>
      <c r="B30" s="123">
        <v>2</v>
      </c>
      <c r="C30" s="123">
        <v>560</v>
      </c>
      <c r="D30" s="193">
        <v>1.0666666666666667</v>
      </c>
      <c r="E30" s="193">
        <v>4.464285714285714E-3</v>
      </c>
      <c r="F30" s="193">
        <v>1.6741071428571428E-2</v>
      </c>
      <c r="G30" s="123">
        <v>2</v>
      </c>
      <c r="H30" s="123">
        <v>560</v>
      </c>
      <c r="I30" s="193">
        <v>0.83690476190476193</v>
      </c>
      <c r="J30" s="193">
        <v>1.422475106685633E-2</v>
      </c>
      <c r="K30" s="117">
        <v>2.1337126600284494E-2</v>
      </c>
      <c r="L30" s="123">
        <v>2</v>
      </c>
      <c r="M30" s="123">
        <v>560</v>
      </c>
      <c r="N30" s="193">
        <v>1.1464285714285714</v>
      </c>
      <c r="O30" s="193">
        <v>6.2305295950155761E-3</v>
      </c>
      <c r="P30" s="117">
        <v>3.0633437175493251E-2</v>
      </c>
      <c r="Q30" s="123">
        <v>2</v>
      </c>
      <c r="R30" s="123">
        <v>560</v>
      </c>
      <c r="S30" s="193">
        <v>0.82321428571428568</v>
      </c>
      <c r="T30" s="193">
        <v>3.6153289949385397E-3</v>
      </c>
      <c r="U30" s="117">
        <v>3.6876355748373099E-2</v>
      </c>
    </row>
    <row r="31" spans="1:21" ht="15.95" customHeight="1" x14ac:dyDescent="0.25">
      <c r="A31" s="145" t="s">
        <v>14</v>
      </c>
      <c r="B31" s="123">
        <v>4</v>
      </c>
      <c r="C31" s="123">
        <v>1040</v>
      </c>
      <c r="D31" s="193">
        <v>0.95743243243243248</v>
      </c>
      <c r="E31" s="193">
        <v>5.6457304163726185E-3</v>
      </c>
      <c r="F31" s="193">
        <v>2.0465772759350742E-2</v>
      </c>
      <c r="G31" s="123">
        <v>4</v>
      </c>
      <c r="H31" s="123">
        <v>1040</v>
      </c>
      <c r="I31" s="193">
        <v>1.0557432432432434</v>
      </c>
      <c r="J31" s="193">
        <v>9.92E-3</v>
      </c>
      <c r="K31" s="117">
        <v>2.496E-2</v>
      </c>
      <c r="L31" s="123">
        <v>4</v>
      </c>
      <c r="M31" s="123">
        <v>1040</v>
      </c>
      <c r="N31" s="193">
        <v>0.98814102564102568</v>
      </c>
      <c r="O31" s="193">
        <v>1.1028219266947779E-2</v>
      </c>
      <c r="P31" s="117">
        <v>2.4326954265325978E-2</v>
      </c>
      <c r="Q31" s="123">
        <v>4</v>
      </c>
      <c r="R31" s="123">
        <v>1040</v>
      </c>
      <c r="S31" s="193">
        <v>0.97683823529411762</v>
      </c>
      <c r="T31" s="193">
        <v>3.7636432066240123E-3</v>
      </c>
      <c r="U31" s="117">
        <v>2.3334587881068878E-2</v>
      </c>
    </row>
    <row r="32" spans="1:21" ht="15.95" customHeight="1" x14ac:dyDescent="0.25">
      <c r="A32" s="145" t="s">
        <v>148</v>
      </c>
      <c r="B32" s="154"/>
      <c r="C32" s="154"/>
      <c r="D32" s="194"/>
      <c r="E32" s="194"/>
      <c r="F32" s="194"/>
      <c r="G32" s="154"/>
      <c r="H32" s="154"/>
      <c r="I32" s="194"/>
      <c r="J32" s="194"/>
      <c r="K32" s="194"/>
      <c r="L32" s="123">
        <v>1</v>
      </c>
      <c r="M32" s="123">
        <v>200</v>
      </c>
      <c r="N32" s="193">
        <v>1.1524999999999999</v>
      </c>
      <c r="O32" s="193">
        <v>1.084598698481562E-2</v>
      </c>
      <c r="P32" s="117">
        <v>8.6767895878524948E-3</v>
      </c>
      <c r="Q32" s="123">
        <v>1</v>
      </c>
      <c r="R32" s="123">
        <v>200</v>
      </c>
      <c r="S32" s="193">
        <v>1.0983333333333334</v>
      </c>
      <c r="T32" s="193">
        <v>1.0622154779969651E-2</v>
      </c>
      <c r="U32" s="117">
        <v>9.104704097116844E-3</v>
      </c>
    </row>
    <row r="33" spans="1:21" ht="15.95" customHeight="1" x14ac:dyDescent="0.25">
      <c r="A33" s="144"/>
      <c r="B33" s="152">
        <f>SUM(B6:B32)</f>
        <v>57</v>
      </c>
      <c r="C33" s="152">
        <f>SUM(C6:C32)</f>
        <v>11340</v>
      </c>
      <c r="D33" s="192">
        <v>0.90699940933254586</v>
      </c>
      <c r="E33" s="192">
        <v>1.2926964279899712E-2</v>
      </c>
      <c r="F33" s="192">
        <v>1.676923577871121E-2</v>
      </c>
      <c r="G33" s="152">
        <f t="shared" ref="G33:H33" si="0">SUM(G6:G32)</f>
        <v>56</v>
      </c>
      <c r="H33" s="152">
        <f t="shared" si="0"/>
        <v>11120</v>
      </c>
      <c r="I33" s="192">
        <v>0.990843373493976</v>
      </c>
      <c r="J33" s="192">
        <v>1.1308365758754864E-2</v>
      </c>
      <c r="K33" s="192">
        <v>1.8573686770428012E-2</v>
      </c>
      <c r="L33" s="152">
        <f t="shared" ref="L33" si="1">SUM(L6:L32)</f>
        <v>59</v>
      </c>
      <c r="M33" s="152">
        <f t="shared" ref="M33" si="2">SUM(M6:M32)</f>
        <v>11660</v>
      </c>
      <c r="N33" s="192">
        <v>1.0972287047841307</v>
      </c>
      <c r="O33" s="192">
        <v>1.6058277723127644E-2</v>
      </c>
      <c r="P33" s="192">
        <v>1.9434769893387924E-2</v>
      </c>
      <c r="Q33" s="152">
        <f t="shared" ref="Q33:R33" si="3">SUM(Q6:Q32)</f>
        <v>59</v>
      </c>
      <c r="R33" s="152">
        <f t="shared" si="3"/>
        <v>11660</v>
      </c>
      <c r="S33" s="192">
        <v>1.0898274836406903</v>
      </c>
      <c r="T33" s="192">
        <v>6.1681222707423572E-3</v>
      </c>
      <c r="U33" s="192">
        <v>1.8367903930131005E-2</v>
      </c>
    </row>
    <row r="34" spans="1:21" x14ac:dyDescent="0.25">
      <c r="A34" s="102" t="s">
        <v>275</v>
      </c>
    </row>
    <row r="35" spans="1:21" x14ac:dyDescent="0.25">
      <c r="A35" s="102" t="s">
        <v>149</v>
      </c>
    </row>
  </sheetData>
  <mergeCells count="26">
    <mergeCell ref="A1:U1"/>
    <mergeCell ref="U3:U5"/>
    <mergeCell ref="Q3:Q5"/>
    <mergeCell ref="G2:K2"/>
    <mergeCell ref="L2:P2"/>
    <mergeCell ref="Q2:U2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S3:S5"/>
    <mergeCell ref="T3:T5"/>
    <mergeCell ref="B2:F2"/>
    <mergeCell ref="A3:A5"/>
    <mergeCell ref="B3:B5"/>
    <mergeCell ref="C3:C5"/>
    <mergeCell ref="D3:D5"/>
    <mergeCell ref="E3:E5"/>
    <mergeCell ref="F3:F5"/>
    <mergeCell ref="R3:R5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44FA3-8DFE-4ED8-B004-B84932389B8D}">
  <dimension ref="A1:Q23"/>
  <sheetViews>
    <sheetView zoomScale="86" zoomScaleNormal="86" workbookViewId="0">
      <pane xSplit="1" topLeftCell="D1" activePane="topRight" state="frozen"/>
      <selection pane="topRight" activeCell="I25" sqref="I25"/>
    </sheetView>
  </sheetViews>
  <sheetFormatPr defaultRowHeight="15" x14ac:dyDescent="0.25"/>
  <cols>
    <col min="1" max="1" width="27" style="135" customWidth="1"/>
    <col min="2" max="2" width="9.7109375" style="131" customWidth="1"/>
    <col min="3" max="3" width="10.42578125" style="131" customWidth="1"/>
    <col min="4" max="4" width="13.140625" style="126" customWidth="1"/>
    <col min="5" max="5" width="21.140625" style="126" customWidth="1"/>
    <col min="6" max="7" width="9.140625" style="126"/>
    <col min="8" max="8" width="12.140625" style="126" customWidth="1"/>
    <col min="9" max="9" width="18.140625" style="126" customWidth="1"/>
    <col min="10" max="11" width="9.140625" style="126"/>
    <col min="12" max="12" width="12.85546875" style="126" customWidth="1"/>
    <col min="13" max="13" width="19.42578125" style="126" customWidth="1"/>
    <col min="14" max="15" width="9.140625" style="126"/>
    <col min="16" max="16" width="12.5703125" style="126" customWidth="1"/>
    <col min="17" max="17" width="18.42578125" style="126" customWidth="1"/>
    <col min="18" max="16384" width="9.140625" style="126"/>
  </cols>
  <sheetData>
    <row r="1" spans="1:17" ht="27" customHeight="1" x14ac:dyDescent="0.3">
      <c r="A1" s="255" t="s">
        <v>227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27" customHeight="1" x14ac:dyDescent="0.25">
      <c r="A2" s="157"/>
      <c r="B2" s="248" t="s">
        <v>142</v>
      </c>
      <c r="C2" s="248"/>
      <c r="D2" s="248"/>
      <c r="E2" s="248"/>
      <c r="F2" s="248" t="s">
        <v>143</v>
      </c>
      <c r="G2" s="248"/>
      <c r="H2" s="248"/>
      <c r="I2" s="248"/>
      <c r="J2" s="248" t="s">
        <v>144</v>
      </c>
      <c r="K2" s="248"/>
      <c r="L2" s="248"/>
      <c r="M2" s="248"/>
      <c r="N2" s="248" t="s">
        <v>145</v>
      </c>
      <c r="O2" s="248"/>
      <c r="P2" s="248"/>
      <c r="Q2" s="248"/>
    </row>
    <row r="3" spans="1:17" ht="22.5" customHeight="1" x14ac:dyDescent="0.25">
      <c r="A3" s="253" t="s">
        <v>1</v>
      </c>
      <c r="B3" s="254" t="s">
        <v>222</v>
      </c>
      <c r="C3" s="254" t="s">
        <v>185</v>
      </c>
      <c r="D3" s="254" t="s">
        <v>210</v>
      </c>
      <c r="E3" s="254" t="s">
        <v>223</v>
      </c>
      <c r="F3" s="254" t="s">
        <v>222</v>
      </c>
      <c r="G3" s="254" t="s">
        <v>185</v>
      </c>
      <c r="H3" s="254" t="s">
        <v>210</v>
      </c>
      <c r="I3" s="254" t="s">
        <v>223</v>
      </c>
      <c r="J3" s="254" t="s">
        <v>222</v>
      </c>
      <c r="K3" s="254" t="s">
        <v>185</v>
      </c>
      <c r="L3" s="254" t="s">
        <v>210</v>
      </c>
      <c r="M3" s="254" t="s">
        <v>223</v>
      </c>
      <c r="N3" s="254" t="s">
        <v>222</v>
      </c>
      <c r="O3" s="254" t="s">
        <v>185</v>
      </c>
      <c r="P3" s="254" t="s">
        <v>210</v>
      </c>
      <c r="Q3" s="254" t="s">
        <v>223</v>
      </c>
    </row>
    <row r="4" spans="1:17" ht="26.25" customHeight="1" x14ac:dyDescent="0.25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</row>
    <row r="5" spans="1:17" ht="57.75" customHeight="1" x14ac:dyDescent="0.25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</row>
    <row r="6" spans="1:17" ht="15.95" customHeight="1" x14ac:dyDescent="0.25">
      <c r="A6" s="158" t="s">
        <v>34</v>
      </c>
      <c r="B6" s="127">
        <v>1</v>
      </c>
      <c r="C6" s="127">
        <v>240</v>
      </c>
      <c r="D6" s="128">
        <f>281/240</f>
        <v>1.1708333333333334</v>
      </c>
      <c r="E6" s="128">
        <f>283/283</f>
        <v>1</v>
      </c>
      <c r="F6" s="127">
        <v>1</v>
      </c>
      <c r="G6" s="127">
        <v>240</v>
      </c>
      <c r="H6" s="129">
        <f>278/240</f>
        <v>1.1583333333333334</v>
      </c>
      <c r="I6" s="129">
        <f>273/278</f>
        <v>0.98201438848920863</v>
      </c>
      <c r="J6" s="127">
        <v>1</v>
      </c>
      <c r="K6" s="127">
        <v>240</v>
      </c>
      <c r="L6" s="129">
        <f>280/240</f>
        <v>1.1666666666666667</v>
      </c>
      <c r="M6" s="129">
        <f>213/280</f>
        <v>0.76071428571428568</v>
      </c>
      <c r="N6" s="127">
        <v>2</v>
      </c>
      <c r="O6" s="127">
        <v>420</v>
      </c>
      <c r="P6" s="129">
        <f>359/420</f>
        <v>0.85476190476190472</v>
      </c>
      <c r="Q6" s="129">
        <f>290/359</f>
        <v>0.80779944289693595</v>
      </c>
    </row>
    <row r="7" spans="1:17" ht="15.95" customHeight="1" x14ac:dyDescent="0.25">
      <c r="A7" s="146" t="s">
        <v>119</v>
      </c>
      <c r="B7" s="127">
        <v>1</v>
      </c>
      <c r="C7" s="127">
        <v>240</v>
      </c>
      <c r="D7" s="128">
        <f>228/240</f>
        <v>0.95</v>
      </c>
      <c r="E7" s="128">
        <f>37/228</f>
        <v>0.16228070175438597</v>
      </c>
      <c r="F7" s="127">
        <v>1</v>
      </c>
      <c r="G7" s="127">
        <v>240</v>
      </c>
      <c r="H7" s="129">
        <f>229/240</f>
        <v>0.95416666666666672</v>
      </c>
      <c r="I7" s="129">
        <f>47/229</f>
        <v>0.20524017467248909</v>
      </c>
      <c r="J7" s="127">
        <v>2</v>
      </c>
      <c r="K7" s="127">
        <v>360</v>
      </c>
      <c r="L7" s="129">
        <f>363/360</f>
        <v>1.0083333333333333</v>
      </c>
      <c r="M7" s="129">
        <f>111/363</f>
        <v>0.30578512396694213</v>
      </c>
      <c r="N7" s="127">
        <v>2</v>
      </c>
      <c r="O7" s="127">
        <v>360</v>
      </c>
      <c r="P7" s="129">
        <f>391/360</f>
        <v>1.086111111111111</v>
      </c>
      <c r="Q7" s="129">
        <f>132/391</f>
        <v>0.33759590792838873</v>
      </c>
    </row>
    <row r="8" spans="1:17" ht="15.95" customHeight="1" x14ac:dyDescent="0.25">
      <c r="A8" s="146" t="s">
        <v>127</v>
      </c>
      <c r="B8" s="127">
        <v>1</v>
      </c>
      <c r="C8" s="127">
        <v>1020</v>
      </c>
      <c r="D8" s="128">
        <f>1636/1020</f>
        <v>1.6039215686274511</v>
      </c>
      <c r="E8" s="128">
        <f>356/1636</f>
        <v>0.2176039119804401</v>
      </c>
      <c r="F8" s="127">
        <v>1</v>
      </c>
      <c r="G8" s="127">
        <v>1020</v>
      </c>
      <c r="H8" s="130">
        <f>1492/1020</f>
        <v>1.4627450980392156</v>
      </c>
      <c r="I8" s="130">
        <f>819/1492</f>
        <v>0.54892761394101874</v>
      </c>
      <c r="J8" s="127">
        <v>1</v>
      </c>
      <c r="K8" s="127">
        <v>1020</v>
      </c>
      <c r="L8" s="130">
        <f>1449/1020</f>
        <v>1.4205882352941177</v>
      </c>
      <c r="M8" s="130">
        <f>336/1449</f>
        <v>0.2318840579710145</v>
      </c>
      <c r="N8" s="127">
        <v>1</v>
      </c>
      <c r="O8" s="127">
        <v>1020</v>
      </c>
      <c r="P8" s="130">
        <f>1495/1020</f>
        <v>1.4656862745098038</v>
      </c>
      <c r="Q8" s="130">
        <f>156/1495</f>
        <v>0.10434782608695652</v>
      </c>
    </row>
    <row r="9" spans="1:17" s="131" customFormat="1" ht="15.95" customHeight="1" x14ac:dyDescent="0.25">
      <c r="A9" s="149" t="s">
        <v>83</v>
      </c>
      <c r="B9" s="127">
        <v>2</v>
      </c>
      <c r="C9" s="127">
        <v>360</v>
      </c>
      <c r="D9" s="128">
        <f>473/360</f>
        <v>1.3138888888888889</v>
      </c>
      <c r="E9" s="128">
        <f>369/473</f>
        <v>0.78012684989429171</v>
      </c>
      <c r="F9" s="127">
        <v>2</v>
      </c>
      <c r="G9" s="127">
        <v>360</v>
      </c>
      <c r="H9" s="129">
        <f>440/360</f>
        <v>1.2222222222222223</v>
      </c>
      <c r="I9" s="129">
        <f>266/440</f>
        <v>0.6045454545454545</v>
      </c>
      <c r="J9" s="127">
        <v>2</v>
      </c>
      <c r="K9" s="127">
        <v>360</v>
      </c>
      <c r="L9" s="129">
        <f>421/360</f>
        <v>1.1694444444444445</v>
      </c>
      <c r="M9" s="129">
        <f>307/421</f>
        <v>0.72921615201900236</v>
      </c>
      <c r="N9" s="127">
        <v>2</v>
      </c>
      <c r="O9" s="127">
        <v>360</v>
      </c>
      <c r="P9" s="129">
        <f>428/360</f>
        <v>1.1888888888888889</v>
      </c>
      <c r="Q9" s="129">
        <f>301/428</f>
        <v>0.70327102803738317</v>
      </c>
    </row>
    <row r="10" spans="1:17" s="131" customFormat="1" ht="15.95" customHeight="1" x14ac:dyDescent="0.25">
      <c r="A10" s="145" t="s">
        <v>23</v>
      </c>
      <c r="B10" s="127">
        <v>2</v>
      </c>
      <c r="C10" s="127">
        <v>180</v>
      </c>
      <c r="D10" s="128">
        <f>318/180</f>
        <v>1.7666666666666666</v>
      </c>
      <c r="E10" s="128">
        <f>272/318</f>
        <v>0.85534591194968557</v>
      </c>
      <c r="F10" s="127">
        <v>2</v>
      </c>
      <c r="G10" s="127">
        <v>180</v>
      </c>
      <c r="H10" s="130">
        <f>276/180</f>
        <v>1.5333333333333334</v>
      </c>
      <c r="I10" s="130">
        <v>1</v>
      </c>
      <c r="J10" s="127">
        <v>2</v>
      </c>
      <c r="K10" s="127">
        <v>180</v>
      </c>
      <c r="L10" s="130">
        <f>300/180</f>
        <v>1.6666666666666667</v>
      </c>
      <c r="M10" s="130">
        <f>277/300</f>
        <v>0.92333333333333334</v>
      </c>
      <c r="N10" s="127">
        <v>2</v>
      </c>
      <c r="O10" s="127">
        <v>180</v>
      </c>
      <c r="P10" s="130">
        <f>310/180</f>
        <v>1.7222222222222223</v>
      </c>
      <c r="Q10" s="130">
        <f>260/310</f>
        <v>0.83870967741935487</v>
      </c>
    </row>
    <row r="11" spans="1:17" s="131" customFormat="1" ht="15.95" customHeight="1" x14ac:dyDescent="0.25">
      <c r="A11" s="145" t="s">
        <v>94</v>
      </c>
      <c r="B11" s="127">
        <v>1</v>
      </c>
      <c r="C11" s="127">
        <v>210</v>
      </c>
      <c r="D11" s="132">
        <f>281/210</f>
        <v>1.338095238095238</v>
      </c>
      <c r="E11" s="132">
        <f>124/281</f>
        <v>0.44128113879003561</v>
      </c>
      <c r="F11" s="127">
        <v>1</v>
      </c>
      <c r="G11" s="127">
        <v>210</v>
      </c>
      <c r="H11" s="130">
        <f>249/210</f>
        <v>1.1857142857142857</v>
      </c>
      <c r="I11" s="130">
        <v>1</v>
      </c>
      <c r="J11" s="127">
        <v>1</v>
      </c>
      <c r="K11" s="127">
        <v>210</v>
      </c>
      <c r="L11" s="130">
        <f>263/210</f>
        <v>1.2523809523809524</v>
      </c>
      <c r="M11" s="130">
        <f>262/263</f>
        <v>0.99619771863117867</v>
      </c>
      <c r="N11" s="127">
        <v>1</v>
      </c>
      <c r="O11" s="127">
        <v>210</v>
      </c>
      <c r="P11" s="130">
        <f>266/210</f>
        <v>1.2666666666666666</v>
      </c>
      <c r="Q11" s="130">
        <f>120/266</f>
        <v>0.45112781954887216</v>
      </c>
    </row>
    <row r="12" spans="1:17" s="131" customFormat="1" ht="15.95" customHeight="1" x14ac:dyDescent="0.25">
      <c r="A12" s="145" t="s">
        <v>112</v>
      </c>
      <c r="B12" s="127">
        <v>1</v>
      </c>
      <c r="C12" s="127">
        <v>120</v>
      </c>
      <c r="D12" s="132">
        <f>96/120</f>
        <v>0.8</v>
      </c>
      <c r="E12" s="132">
        <f>4/96</f>
        <v>4.1666666666666664E-2</v>
      </c>
      <c r="F12" s="127">
        <v>1</v>
      </c>
      <c r="G12" s="127">
        <v>120</v>
      </c>
      <c r="H12" s="130">
        <f>80/120</f>
        <v>0.66666666666666663</v>
      </c>
      <c r="I12" s="130">
        <f>19/80</f>
        <v>0.23749999999999999</v>
      </c>
      <c r="J12" s="127">
        <v>1</v>
      </c>
      <c r="K12" s="127">
        <v>120</v>
      </c>
      <c r="L12" s="130">
        <f>110/120</f>
        <v>0.91666666666666663</v>
      </c>
      <c r="M12" s="130">
        <f>8/110</f>
        <v>7.2727272727272724E-2</v>
      </c>
      <c r="N12" s="127">
        <v>1</v>
      </c>
      <c r="O12" s="127">
        <v>120</v>
      </c>
      <c r="P12" s="130">
        <f>111/120</f>
        <v>0.92500000000000004</v>
      </c>
      <c r="Q12" s="130">
        <f>12/111</f>
        <v>0.10810810810810811</v>
      </c>
    </row>
    <row r="13" spans="1:17" s="131" customFormat="1" ht="15.95" customHeight="1" x14ac:dyDescent="0.25">
      <c r="A13" s="145" t="s">
        <v>228</v>
      </c>
      <c r="B13" s="127">
        <v>1</v>
      </c>
      <c r="C13" s="127">
        <v>120</v>
      </c>
      <c r="D13" s="128">
        <f>129/120</f>
        <v>1.075</v>
      </c>
      <c r="E13" s="128">
        <f>78/129</f>
        <v>0.60465116279069764</v>
      </c>
      <c r="F13" s="127">
        <v>1</v>
      </c>
      <c r="G13" s="127">
        <v>120</v>
      </c>
      <c r="H13" s="129">
        <f>128/120</f>
        <v>1.0666666666666667</v>
      </c>
      <c r="I13" s="129">
        <f>107/128</f>
        <v>0.8359375</v>
      </c>
      <c r="J13" s="127">
        <v>1</v>
      </c>
      <c r="K13" s="127">
        <v>120</v>
      </c>
      <c r="L13" s="129">
        <f>155/120</f>
        <v>1.2916666666666667</v>
      </c>
      <c r="M13" s="129">
        <f>132/155</f>
        <v>0.85161290322580641</v>
      </c>
      <c r="N13" s="127">
        <v>1</v>
      </c>
      <c r="O13" s="127">
        <v>120</v>
      </c>
      <c r="P13" s="129">
        <f>159/120</f>
        <v>1.325</v>
      </c>
      <c r="Q13" s="129">
        <f>153/159</f>
        <v>0.96226415094339623</v>
      </c>
    </row>
    <row r="14" spans="1:17" s="131" customFormat="1" ht="15.95" customHeight="1" x14ac:dyDescent="0.25">
      <c r="A14" s="146" t="s">
        <v>130</v>
      </c>
      <c r="B14" s="127">
        <v>1</v>
      </c>
      <c r="C14" s="127">
        <v>1020</v>
      </c>
      <c r="D14" s="132">
        <f>1608/1020</f>
        <v>1.5764705882352941</v>
      </c>
      <c r="E14" s="132">
        <f>228/1608</f>
        <v>0.1417910447761194</v>
      </c>
      <c r="F14" s="127">
        <v>1</v>
      </c>
      <c r="G14" s="127">
        <v>1020</v>
      </c>
      <c r="H14" s="130">
        <f>1556/1020</f>
        <v>1.5254901960784313</v>
      </c>
      <c r="I14" s="130">
        <f>215/1556</f>
        <v>0.13817480719794345</v>
      </c>
      <c r="J14" s="127">
        <v>1</v>
      </c>
      <c r="K14" s="127">
        <v>1020</v>
      </c>
      <c r="L14" s="130">
        <f>1662/1020</f>
        <v>1.6294117647058823</v>
      </c>
      <c r="M14" s="130">
        <f>198/1662</f>
        <v>0.11913357400722022</v>
      </c>
      <c r="N14" s="127">
        <v>2</v>
      </c>
      <c r="O14" s="127">
        <v>1140</v>
      </c>
      <c r="P14" s="130">
        <f>1694/1140</f>
        <v>1.4859649122807017</v>
      </c>
      <c r="Q14" s="130">
        <f>42/1694</f>
        <v>2.4793388429752067E-2</v>
      </c>
    </row>
    <row r="15" spans="1:17" s="131" customFormat="1" ht="15.95" customHeight="1" x14ac:dyDescent="0.25">
      <c r="A15" s="146" t="s">
        <v>133</v>
      </c>
      <c r="B15" s="127">
        <v>1</v>
      </c>
      <c r="C15" s="127">
        <v>120</v>
      </c>
      <c r="D15" s="128">
        <f>112/120</f>
        <v>0.93333333333333335</v>
      </c>
      <c r="E15" s="128">
        <f>94/112</f>
        <v>0.8392857142857143</v>
      </c>
      <c r="F15" s="127">
        <v>1</v>
      </c>
      <c r="G15" s="127">
        <v>120</v>
      </c>
      <c r="H15" s="129">
        <f>120/120</f>
        <v>1</v>
      </c>
      <c r="I15" s="129">
        <v>1</v>
      </c>
      <c r="J15" s="127">
        <v>1</v>
      </c>
      <c r="K15" s="127">
        <v>120</v>
      </c>
      <c r="L15" s="129">
        <f>149/120</f>
        <v>1.2416666666666667</v>
      </c>
      <c r="M15" s="129">
        <f>121/149</f>
        <v>0.81208053691275173</v>
      </c>
      <c r="N15" s="127">
        <v>1</v>
      </c>
      <c r="O15" s="127">
        <v>120</v>
      </c>
      <c r="P15" s="129">
        <f>139/120</f>
        <v>1.1583333333333334</v>
      </c>
      <c r="Q15" s="129">
        <f>42/139</f>
        <v>0.30215827338129497</v>
      </c>
    </row>
    <row r="16" spans="1:17" s="131" customFormat="1" ht="15.95" customHeight="1" x14ac:dyDescent="0.25">
      <c r="A16" s="145" t="s">
        <v>26</v>
      </c>
      <c r="B16" s="127">
        <v>1</v>
      </c>
      <c r="C16" s="127">
        <v>120</v>
      </c>
      <c r="D16" s="128">
        <f>269/120</f>
        <v>2.2416666666666667</v>
      </c>
      <c r="E16" s="128">
        <f>147/269</f>
        <v>0.54646840148698883</v>
      </c>
      <c r="F16" s="127">
        <v>1</v>
      </c>
      <c r="G16" s="127">
        <v>120</v>
      </c>
      <c r="H16" s="129">
        <f>251/120</f>
        <v>2.0916666666666668</v>
      </c>
      <c r="I16" s="129">
        <f>99/251</f>
        <v>0.39442231075697209</v>
      </c>
      <c r="J16" s="127">
        <v>1</v>
      </c>
      <c r="K16" s="127">
        <v>120</v>
      </c>
      <c r="L16" s="129">
        <f>223/120</f>
        <v>1.8583333333333334</v>
      </c>
      <c r="M16" s="129">
        <f>44/223</f>
        <v>0.19730941704035873</v>
      </c>
      <c r="N16" s="127">
        <v>1</v>
      </c>
      <c r="O16" s="127">
        <v>120</v>
      </c>
      <c r="P16" s="129">
        <f>182/120</f>
        <v>1.5166666666666666</v>
      </c>
      <c r="Q16" s="129">
        <f>74/182</f>
        <v>0.40659340659340659</v>
      </c>
    </row>
    <row r="17" spans="1:17" s="131" customFormat="1" ht="15.95" customHeight="1" x14ac:dyDescent="0.25">
      <c r="A17" s="145" t="s">
        <v>147</v>
      </c>
      <c r="B17" s="127">
        <v>1</v>
      </c>
      <c r="C17" s="127">
        <v>120</v>
      </c>
      <c r="D17" s="128">
        <f>198/120</f>
        <v>1.65</v>
      </c>
      <c r="E17" s="128">
        <f>175/198</f>
        <v>0.88383838383838387</v>
      </c>
      <c r="F17" s="127">
        <v>1</v>
      </c>
      <c r="G17" s="127">
        <v>120</v>
      </c>
      <c r="H17" s="129">
        <f>195/120</f>
        <v>1.625</v>
      </c>
      <c r="I17" s="129">
        <f>193/195</f>
        <v>0.98974358974358978</v>
      </c>
      <c r="J17" s="127">
        <v>1</v>
      </c>
      <c r="K17" s="127">
        <v>120</v>
      </c>
      <c r="L17" s="129">
        <f>150/120</f>
        <v>1.25</v>
      </c>
      <c r="M17" s="129">
        <f>145/150</f>
        <v>0.96666666666666667</v>
      </c>
      <c r="N17" s="127">
        <v>1</v>
      </c>
      <c r="O17" s="127">
        <v>120</v>
      </c>
      <c r="P17" s="129">
        <f>132/120</f>
        <v>1.1000000000000001</v>
      </c>
      <c r="Q17" s="129">
        <f>120/132</f>
        <v>0.90909090909090906</v>
      </c>
    </row>
    <row r="18" spans="1:17" s="131" customFormat="1" ht="15.95" customHeight="1" x14ac:dyDescent="0.25">
      <c r="A18" s="145" t="s">
        <v>14</v>
      </c>
      <c r="B18" s="127">
        <v>1</v>
      </c>
      <c r="C18" s="127">
        <v>210</v>
      </c>
      <c r="D18" s="128">
        <f>448/210</f>
        <v>2.1333333333333333</v>
      </c>
      <c r="E18" s="128">
        <f>448/448</f>
        <v>1</v>
      </c>
      <c r="F18" s="127">
        <v>1</v>
      </c>
      <c r="G18" s="127">
        <v>210</v>
      </c>
      <c r="H18" s="129">
        <f>448/210</f>
        <v>2.1333333333333333</v>
      </c>
      <c r="I18" s="129">
        <f>448/448</f>
        <v>1</v>
      </c>
      <c r="J18" s="127">
        <v>1</v>
      </c>
      <c r="K18" s="127">
        <v>210</v>
      </c>
      <c r="L18" s="129">
        <f>157/210</f>
        <v>0.74761904761904763</v>
      </c>
      <c r="M18" s="129">
        <v>1</v>
      </c>
      <c r="N18" s="127">
        <v>1</v>
      </c>
      <c r="O18" s="127">
        <v>210</v>
      </c>
      <c r="P18" s="129">
        <f>256/210</f>
        <v>1.2190476190476192</v>
      </c>
      <c r="Q18" s="129">
        <v>1</v>
      </c>
    </row>
    <row r="19" spans="1:17" s="131" customFormat="1" ht="15.95" customHeight="1" x14ac:dyDescent="0.25">
      <c r="A19" s="145" t="s">
        <v>114</v>
      </c>
      <c r="B19" s="127">
        <v>1</v>
      </c>
      <c r="C19" s="127">
        <v>120</v>
      </c>
      <c r="D19" s="128">
        <f>311/120</f>
        <v>2.5916666666666668</v>
      </c>
      <c r="E19" s="128">
        <f>178/311</f>
        <v>0.57234726688102899</v>
      </c>
      <c r="F19" s="127">
        <v>1</v>
      </c>
      <c r="G19" s="127">
        <v>120</v>
      </c>
      <c r="H19" s="129">
        <f>333/120</f>
        <v>2.7749999999999999</v>
      </c>
      <c r="I19" s="129">
        <f>222/333</f>
        <v>0.66666666666666663</v>
      </c>
      <c r="J19" s="127">
        <v>1</v>
      </c>
      <c r="K19" s="127">
        <v>120</v>
      </c>
      <c r="L19" s="129">
        <f>299/120</f>
        <v>2.4916666666666667</v>
      </c>
      <c r="M19" s="129">
        <f>128/229</f>
        <v>0.55895196506550215</v>
      </c>
      <c r="N19" s="127">
        <v>1</v>
      </c>
      <c r="O19" s="127">
        <v>120</v>
      </c>
      <c r="P19" s="129">
        <f>303/120</f>
        <v>2.5249999999999999</v>
      </c>
      <c r="Q19" s="129">
        <f>137/303</f>
        <v>0.45214521452145212</v>
      </c>
    </row>
    <row r="20" spans="1:17" s="131" customFormat="1" ht="15.95" customHeight="1" x14ac:dyDescent="0.3">
      <c r="A20" s="133" t="s">
        <v>258</v>
      </c>
      <c r="B20" s="240">
        <f>SUM(B6:B19)</f>
        <v>16</v>
      </c>
      <c r="C20" s="240">
        <f>SUM(C6:C19)</f>
        <v>4200</v>
      </c>
      <c r="D20" s="241">
        <f>AVERAGE(D6:D19)</f>
        <v>1.5103483059890621</v>
      </c>
      <c r="E20" s="241">
        <f>AVERAGE(E6:E19)</f>
        <v>0.57762051107817414</v>
      </c>
      <c r="F20" s="240">
        <f t="shared" ref="F20:G20" si="0">SUM(F6:F19)</f>
        <v>16</v>
      </c>
      <c r="G20" s="240">
        <f t="shared" si="0"/>
        <v>4200</v>
      </c>
      <c r="H20" s="242">
        <f>AVERAGE(H6:H19)</f>
        <v>1.4571670334800586</v>
      </c>
      <c r="I20" s="242">
        <f>AVERAGE(I6:I19)</f>
        <v>0.6859408932866673</v>
      </c>
      <c r="J20" s="240">
        <f t="shared" ref="J20:K20" si="1">SUM(J6:J19)</f>
        <v>17</v>
      </c>
      <c r="K20" s="240">
        <f t="shared" si="1"/>
        <v>4320</v>
      </c>
      <c r="L20" s="242">
        <f t="shared" ref="L20:M20" si="2">AVERAGE(L6:L19)</f>
        <v>1.3650793650793651</v>
      </c>
      <c r="M20" s="242">
        <f t="shared" si="2"/>
        <v>0.60897235766295243</v>
      </c>
      <c r="N20" s="240">
        <f t="shared" ref="N20:O20" si="3">SUM(N6:N19)</f>
        <v>19</v>
      </c>
      <c r="O20" s="240">
        <f t="shared" si="3"/>
        <v>4620</v>
      </c>
      <c r="P20" s="242">
        <f t="shared" ref="P20:Q20" si="4">AVERAGE(P6:P19)</f>
        <v>1.3456678285349226</v>
      </c>
      <c r="Q20" s="242">
        <f t="shared" si="4"/>
        <v>0.52914322521330071</v>
      </c>
    </row>
    <row r="21" spans="1:17" x14ac:dyDescent="0.25">
      <c r="A21" s="102" t="s">
        <v>275</v>
      </c>
      <c r="B21" s="134"/>
      <c r="C21" s="134"/>
      <c r="D21" s="29"/>
      <c r="E21" s="1"/>
    </row>
    <row r="22" spans="1:17" x14ac:dyDescent="0.25">
      <c r="A22" s="102" t="s">
        <v>149</v>
      </c>
      <c r="B22" s="30"/>
      <c r="C22" s="30"/>
      <c r="D22" s="30"/>
      <c r="E22" s="30"/>
    </row>
    <row r="23" spans="1:17" x14ac:dyDescent="0.25">
      <c r="A23" s="1" t="s">
        <v>276</v>
      </c>
    </row>
  </sheetData>
  <mergeCells count="22">
    <mergeCell ref="Q3:Q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B2:E2"/>
    <mergeCell ref="F2:I2"/>
    <mergeCell ref="J2:M2"/>
    <mergeCell ref="N2:Q2"/>
    <mergeCell ref="A1:Q1"/>
    <mergeCell ref="A3:A5"/>
    <mergeCell ref="B3:B5"/>
    <mergeCell ref="C3:C5"/>
    <mergeCell ref="D3:D5"/>
    <mergeCell ref="E3:E5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8500D-8D91-45E4-80B3-344B9C75B0DB}">
  <dimension ref="A1:M41"/>
  <sheetViews>
    <sheetView zoomScale="80" zoomScaleNormal="80" workbookViewId="0">
      <pane xSplit="1" topLeftCell="B1" activePane="topRight" state="frozen"/>
      <selection pane="topRight" activeCell="B2" sqref="B2:D2"/>
    </sheetView>
  </sheetViews>
  <sheetFormatPr defaultRowHeight="15" x14ac:dyDescent="0.25"/>
  <cols>
    <col min="1" max="1" width="35.5703125" customWidth="1"/>
    <col min="2" max="2" width="12.5703125" customWidth="1"/>
    <col min="3" max="3" width="12.7109375" customWidth="1"/>
    <col min="4" max="4" width="13.28515625" customWidth="1"/>
    <col min="5" max="5" width="10.7109375" customWidth="1"/>
    <col min="6" max="6" width="11.42578125" customWidth="1"/>
    <col min="7" max="7" width="10.42578125" customWidth="1"/>
    <col min="8" max="8" width="10.7109375" customWidth="1"/>
    <col min="9" max="9" width="10.42578125" customWidth="1"/>
    <col min="10" max="10" width="11.42578125" customWidth="1"/>
    <col min="11" max="11" width="10.7109375" customWidth="1"/>
    <col min="12" max="13" width="11.7109375" customWidth="1"/>
  </cols>
  <sheetData>
    <row r="1" spans="1:13" s="78" customFormat="1" ht="20.100000000000001" customHeight="1" x14ac:dyDescent="0.3">
      <c r="A1" s="326" t="s">
        <v>224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3" s="78" customFormat="1" ht="24.95" customHeight="1" x14ac:dyDescent="0.25">
      <c r="A2" s="184"/>
      <c r="B2" s="248" t="s">
        <v>142</v>
      </c>
      <c r="C2" s="248"/>
      <c r="D2" s="248"/>
      <c r="E2" s="248" t="s">
        <v>143</v>
      </c>
      <c r="F2" s="248"/>
      <c r="G2" s="248"/>
      <c r="H2" s="248" t="s">
        <v>144</v>
      </c>
      <c r="I2" s="248"/>
      <c r="J2" s="248"/>
      <c r="K2" s="248" t="s">
        <v>145</v>
      </c>
      <c r="L2" s="248"/>
      <c r="M2" s="248"/>
    </row>
    <row r="3" spans="1:13" ht="21.75" customHeight="1" x14ac:dyDescent="0.25">
      <c r="A3" s="253" t="s">
        <v>1</v>
      </c>
      <c r="B3" s="254" t="s">
        <v>225</v>
      </c>
      <c r="C3" s="254" t="s">
        <v>4</v>
      </c>
      <c r="D3" s="254" t="s">
        <v>226</v>
      </c>
      <c r="E3" s="254" t="s">
        <v>225</v>
      </c>
      <c r="F3" s="254" t="s">
        <v>4</v>
      </c>
      <c r="G3" s="254" t="s">
        <v>226</v>
      </c>
      <c r="H3" s="254" t="s">
        <v>225</v>
      </c>
      <c r="I3" s="254" t="s">
        <v>4</v>
      </c>
      <c r="J3" s="254" t="s">
        <v>226</v>
      </c>
      <c r="K3" s="254" t="s">
        <v>225</v>
      </c>
      <c r="L3" s="254" t="s">
        <v>4</v>
      </c>
      <c r="M3" s="254" t="s">
        <v>226</v>
      </c>
    </row>
    <row r="4" spans="1:13" ht="21.75" customHeight="1" x14ac:dyDescent="0.25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</row>
    <row r="5" spans="1:13" ht="67.5" customHeight="1" x14ac:dyDescent="0.25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</row>
    <row r="6" spans="1:13" ht="24.95" customHeight="1" x14ac:dyDescent="0.25">
      <c r="A6" s="145" t="s">
        <v>156</v>
      </c>
      <c r="B6" s="118">
        <v>1</v>
      </c>
      <c r="C6" s="118">
        <v>1000</v>
      </c>
      <c r="D6" s="136">
        <f>781/1000</f>
        <v>0.78100000000000003</v>
      </c>
      <c r="E6" s="118">
        <v>1</v>
      </c>
      <c r="F6" s="118">
        <v>1000</v>
      </c>
      <c r="G6" s="136">
        <f>1010/1000</f>
        <v>1.01</v>
      </c>
      <c r="H6" s="118">
        <v>1</v>
      </c>
      <c r="I6" s="118">
        <v>1000</v>
      </c>
      <c r="J6" s="137">
        <f>1007/1000</f>
        <v>1.0069999999999999</v>
      </c>
      <c r="K6" s="118">
        <v>1</v>
      </c>
      <c r="L6" s="118">
        <v>1000</v>
      </c>
      <c r="M6" s="137">
        <f>1016/1000</f>
        <v>1.016</v>
      </c>
    </row>
    <row r="7" spans="1:13" ht="24.95" customHeight="1" x14ac:dyDescent="0.25">
      <c r="A7" s="7" t="s">
        <v>34</v>
      </c>
      <c r="B7" s="118">
        <v>1</v>
      </c>
      <c r="C7" s="118">
        <v>1000</v>
      </c>
      <c r="D7" s="136">
        <f>1032/1000</f>
        <v>1.032</v>
      </c>
      <c r="E7" s="118">
        <v>1</v>
      </c>
      <c r="F7" s="118">
        <v>1000</v>
      </c>
      <c r="G7" s="137">
        <f>1041/1000</f>
        <v>1.0409999999999999</v>
      </c>
      <c r="H7" s="118">
        <v>1</v>
      </c>
      <c r="I7" s="118">
        <v>1000</v>
      </c>
      <c r="J7" s="137">
        <f>1071/1000</f>
        <v>1.071</v>
      </c>
      <c r="K7" s="118">
        <v>1</v>
      </c>
      <c r="L7" s="118">
        <v>1000</v>
      </c>
      <c r="M7" s="137">
        <f>1094/1000</f>
        <v>1.0940000000000001</v>
      </c>
    </row>
    <row r="8" spans="1:13" ht="24.95" customHeight="1" x14ac:dyDescent="0.25">
      <c r="A8" s="7" t="s">
        <v>259</v>
      </c>
      <c r="B8" s="116">
        <v>4</v>
      </c>
      <c r="C8" s="116">
        <v>4000</v>
      </c>
      <c r="D8" s="138">
        <f>3950/4000</f>
        <v>0.98750000000000004</v>
      </c>
      <c r="E8" s="116">
        <v>4</v>
      </c>
      <c r="F8" s="116">
        <v>4000</v>
      </c>
      <c r="G8" s="139">
        <f>3998/4000</f>
        <v>0.99950000000000006</v>
      </c>
      <c r="H8" s="116">
        <v>4</v>
      </c>
      <c r="I8" s="116">
        <v>4000</v>
      </c>
      <c r="J8" s="139">
        <f>4011/4000</f>
        <v>1.00275</v>
      </c>
      <c r="K8" s="116">
        <v>4</v>
      </c>
      <c r="L8" s="116">
        <v>4000</v>
      </c>
      <c r="M8" s="139">
        <f>4037/4000</f>
        <v>1.00925</v>
      </c>
    </row>
    <row r="9" spans="1:13" ht="24.95" customHeight="1" x14ac:dyDescent="0.25">
      <c r="A9" s="7" t="s">
        <v>123</v>
      </c>
      <c r="B9" s="118">
        <v>6</v>
      </c>
      <c r="C9" s="118">
        <v>6000</v>
      </c>
      <c r="D9" s="140">
        <f>6342/6000</f>
        <v>1.0569999999999999</v>
      </c>
      <c r="E9" s="118">
        <v>6</v>
      </c>
      <c r="F9" s="118">
        <v>6000</v>
      </c>
      <c r="G9" s="140">
        <f>6250/6000</f>
        <v>1.0416666666666667</v>
      </c>
      <c r="H9" s="118">
        <v>6</v>
      </c>
      <c r="I9" s="118">
        <v>6000</v>
      </c>
      <c r="J9" s="140">
        <f>6232/6000</f>
        <v>1.0386666666666666</v>
      </c>
      <c r="K9" s="118">
        <v>6</v>
      </c>
      <c r="L9" s="118">
        <v>6000</v>
      </c>
      <c r="M9" s="140">
        <f>6130/6000</f>
        <v>1.0216666666666667</v>
      </c>
    </row>
    <row r="10" spans="1:13" ht="24.95" customHeight="1" x14ac:dyDescent="0.25">
      <c r="A10" s="7" t="s">
        <v>230</v>
      </c>
      <c r="B10" s="116">
        <v>1</v>
      </c>
      <c r="C10" s="116">
        <v>1000</v>
      </c>
      <c r="D10" s="138">
        <f>1079/1000</f>
        <v>1.079</v>
      </c>
      <c r="E10" s="116">
        <v>1</v>
      </c>
      <c r="F10" s="116">
        <v>1000</v>
      </c>
      <c r="G10" s="139">
        <f>1001/1000</f>
        <v>1.0009999999999999</v>
      </c>
      <c r="H10" s="116">
        <v>1</v>
      </c>
      <c r="I10" s="116">
        <v>1000</v>
      </c>
      <c r="J10" s="139">
        <f>1006/1000</f>
        <v>1.006</v>
      </c>
      <c r="K10" s="116">
        <v>1</v>
      </c>
      <c r="L10" s="116">
        <v>1000</v>
      </c>
      <c r="M10" s="139">
        <f>1006/1000</f>
        <v>1.006</v>
      </c>
    </row>
    <row r="11" spans="1:13" ht="24.95" customHeight="1" x14ac:dyDescent="0.25">
      <c r="A11" s="159" t="s">
        <v>233</v>
      </c>
      <c r="B11" s="118">
        <v>3</v>
      </c>
      <c r="C11" s="118">
        <v>3000</v>
      </c>
      <c r="D11" s="138">
        <f>2574/3000</f>
        <v>0.85799999999999998</v>
      </c>
      <c r="E11" s="118">
        <v>3</v>
      </c>
      <c r="F11" s="118">
        <v>3000</v>
      </c>
      <c r="G11" s="139">
        <f>2473/3000</f>
        <v>0.82433333333333336</v>
      </c>
      <c r="H11" s="118">
        <v>3</v>
      </c>
      <c r="I11" s="118">
        <v>3000</v>
      </c>
      <c r="J11" s="139">
        <f>2327/3000</f>
        <v>0.77566666666666662</v>
      </c>
      <c r="K11" s="116">
        <v>4</v>
      </c>
      <c r="L11" s="116">
        <v>4000</v>
      </c>
      <c r="M11" s="139">
        <f>2603/4000</f>
        <v>0.65075000000000005</v>
      </c>
    </row>
    <row r="12" spans="1:13" ht="24.95" customHeight="1" x14ac:dyDescent="0.25">
      <c r="A12" s="7" t="s">
        <v>83</v>
      </c>
      <c r="B12" s="118">
        <v>2</v>
      </c>
      <c r="C12" s="118">
        <v>2000</v>
      </c>
      <c r="D12" s="138">
        <f>2090/2000</f>
        <v>1.0449999999999999</v>
      </c>
      <c r="E12" s="118">
        <v>2</v>
      </c>
      <c r="F12" s="118">
        <v>2000</v>
      </c>
      <c r="G12" s="139">
        <f>2160/2000</f>
        <v>1.08</v>
      </c>
      <c r="H12" s="118">
        <v>3</v>
      </c>
      <c r="I12" s="118">
        <v>3000</v>
      </c>
      <c r="J12" s="139">
        <f>2780/3000</f>
        <v>0.92666666666666664</v>
      </c>
      <c r="K12" s="118">
        <v>3</v>
      </c>
      <c r="L12" s="118">
        <v>3000</v>
      </c>
      <c r="M12" s="139">
        <f>2803/3000</f>
        <v>0.93433333333333335</v>
      </c>
    </row>
    <row r="13" spans="1:13" ht="24.95" customHeight="1" x14ac:dyDescent="0.25">
      <c r="A13" s="145" t="s">
        <v>85</v>
      </c>
      <c r="B13" s="118">
        <v>1</v>
      </c>
      <c r="C13" s="118">
        <v>1000</v>
      </c>
      <c r="D13" s="136">
        <f>1063/1000</f>
        <v>1.0629999999999999</v>
      </c>
      <c r="E13" s="118">
        <v>1</v>
      </c>
      <c r="F13" s="118">
        <v>1000</v>
      </c>
      <c r="G13" s="137">
        <f>1097/1000</f>
        <v>1.097</v>
      </c>
      <c r="H13" s="118">
        <v>1</v>
      </c>
      <c r="I13" s="118">
        <v>1000</v>
      </c>
      <c r="J13" s="137">
        <f>1062/1000</f>
        <v>1.0620000000000001</v>
      </c>
      <c r="K13" s="118">
        <v>1</v>
      </c>
      <c r="L13" s="118">
        <v>1000</v>
      </c>
      <c r="M13" s="137">
        <f>1048/1000</f>
        <v>1.048</v>
      </c>
    </row>
    <row r="14" spans="1:13" ht="24.95" customHeight="1" x14ac:dyDescent="0.25">
      <c r="A14" s="145" t="s">
        <v>23</v>
      </c>
      <c r="B14" s="118">
        <v>1</v>
      </c>
      <c r="C14" s="118">
        <v>1000</v>
      </c>
      <c r="D14" s="137">
        <f>973/1000</f>
        <v>0.97299999999999998</v>
      </c>
      <c r="E14" s="118">
        <v>1</v>
      </c>
      <c r="F14" s="118">
        <v>1000</v>
      </c>
      <c r="G14" s="137">
        <f>940/1000</f>
        <v>0.94</v>
      </c>
      <c r="H14" s="118">
        <v>1</v>
      </c>
      <c r="I14" s="118">
        <v>1000</v>
      </c>
      <c r="J14" s="137">
        <f>988/1000</f>
        <v>0.98799999999999999</v>
      </c>
      <c r="K14" s="118">
        <v>1</v>
      </c>
      <c r="L14" s="118">
        <v>1000</v>
      </c>
      <c r="M14" s="137">
        <f>1000/1000</f>
        <v>1</v>
      </c>
    </row>
    <row r="15" spans="1:13" ht="24.95" customHeight="1" x14ac:dyDescent="0.25">
      <c r="A15" s="7" t="s">
        <v>252</v>
      </c>
      <c r="B15" s="118">
        <v>2</v>
      </c>
      <c r="C15" s="118">
        <v>2000</v>
      </c>
      <c r="D15" s="139">
        <f>2219/2000</f>
        <v>1.1094999999999999</v>
      </c>
      <c r="E15" s="118">
        <v>2</v>
      </c>
      <c r="F15" s="118">
        <v>2000</v>
      </c>
      <c r="G15" s="139">
        <f>1915/2000</f>
        <v>0.95750000000000002</v>
      </c>
      <c r="H15" s="118">
        <v>3</v>
      </c>
      <c r="I15" s="118">
        <v>3000</v>
      </c>
      <c r="J15" s="139">
        <f>1139/3000</f>
        <v>0.37966666666666665</v>
      </c>
      <c r="K15" s="118">
        <v>3</v>
      </c>
      <c r="L15" s="118">
        <v>3000</v>
      </c>
      <c r="M15" s="139">
        <f>1578/3000</f>
        <v>0.52600000000000002</v>
      </c>
    </row>
    <row r="16" spans="1:13" ht="24.95" customHeight="1" x14ac:dyDescent="0.25">
      <c r="A16" s="7" t="s">
        <v>108</v>
      </c>
      <c r="B16" s="118">
        <v>1</v>
      </c>
      <c r="C16" s="118">
        <v>1000</v>
      </c>
      <c r="D16" s="139">
        <f>930/1000</f>
        <v>0.93</v>
      </c>
      <c r="E16" s="118">
        <v>1</v>
      </c>
      <c r="F16" s="118">
        <v>1000</v>
      </c>
      <c r="G16" s="139">
        <f>941/1000</f>
        <v>0.94099999999999995</v>
      </c>
      <c r="H16" s="118">
        <v>1</v>
      </c>
      <c r="I16" s="118">
        <v>1000</v>
      </c>
      <c r="J16" s="139">
        <f>930/1000</f>
        <v>0.93</v>
      </c>
      <c r="K16" s="118">
        <v>1</v>
      </c>
      <c r="L16" s="118">
        <v>1000</v>
      </c>
      <c r="M16" s="139">
        <f>954/1000</f>
        <v>0.95399999999999996</v>
      </c>
    </row>
    <row r="17" spans="1:13" ht="24.95" customHeight="1" x14ac:dyDescent="0.25">
      <c r="A17" s="145" t="s">
        <v>260</v>
      </c>
      <c r="B17" s="118">
        <v>4</v>
      </c>
      <c r="C17" s="118">
        <v>4000</v>
      </c>
      <c r="D17" s="139">
        <f>4126/4000</f>
        <v>1.0315000000000001</v>
      </c>
      <c r="E17" s="118">
        <v>4</v>
      </c>
      <c r="F17" s="118">
        <v>4000</v>
      </c>
      <c r="G17" s="139">
        <f>3598/4000</f>
        <v>0.89949999999999997</v>
      </c>
      <c r="H17" s="118">
        <v>5</v>
      </c>
      <c r="I17" s="118">
        <v>5000</v>
      </c>
      <c r="J17" s="139">
        <f>3401/5000</f>
        <v>0.68020000000000003</v>
      </c>
      <c r="K17" s="118">
        <v>5</v>
      </c>
      <c r="L17" s="118">
        <v>5000</v>
      </c>
      <c r="M17" s="139">
        <f>4266/5000</f>
        <v>0.85319999999999996</v>
      </c>
    </row>
    <row r="18" spans="1:13" ht="24.95" customHeight="1" x14ac:dyDescent="0.25">
      <c r="A18" s="7" t="s">
        <v>94</v>
      </c>
      <c r="B18" s="118">
        <v>3</v>
      </c>
      <c r="C18" s="118">
        <v>3000</v>
      </c>
      <c r="D18" s="139">
        <f>3225/3000</f>
        <v>1.075</v>
      </c>
      <c r="E18" s="118">
        <v>3</v>
      </c>
      <c r="F18" s="118">
        <v>3000</v>
      </c>
      <c r="G18" s="139">
        <f>2972/3000</f>
        <v>0.9906666666666667</v>
      </c>
      <c r="H18" s="118">
        <v>3</v>
      </c>
      <c r="I18" s="118">
        <v>3000</v>
      </c>
      <c r="J18" s="139">
        <f>2973/3000</f>
        <v>0.99099999999999999</v>
      </c>
      <c r="K18" s="118">
        <v>3</v>
      </c>
      <c r="L18" s="118">
        <v>3000</v>
      </c>
      <c r="M18" s="139">
        <f>2907/3000</f>
        <v>0.96899999999999997</v>
      </c>
    </row>
    <row r="19" spans="1:13" ht="24.95" customHeight="1" x14ac:dyDescent="0.25">
      <c r="A19" s="7" t="s">
        <v>112</v>
      </c>
      <c r="B19" s="118">
        <v>1</v>
      </c>
      <c r="C19" s="118">
        <v>1000</v>
      </c>
      <c r="D19" s="139">
        <f>873/1000</f>
        <v>0.873</v>
      </c>
      <c r="E19" s="118">
        <v>1</v>
      </c>
      <c r="F19" s="118">
        <v>1000</v>
      </c>
      <c r="G19" s="139">
        <f>952/1000</f>
        <v>0.95199999999999996</v>
      </c>
      <c r="H19" s="118">
        <v>1</v>
      </c>
      <c r="I19" s="118">
        <v>1000</v>
      </c>
      <c r="J19" s="139">
        <f>944/1000</f>
        <v>0.94399999999999995</v>
      </c>
      <c r="K19" s="118">
        <v>1</v>
      </c>
      <c r="L19" s="118">
        <v>1000</v>
      </c>
      <c r="M19" s="139">
        <f>965/1000</f>
        <v>0.96499999999999997</v>
      </c>
    </row>
    <row r="20" spans="1:13" ht="24.95" customHeight="1" x14ac:dyDescent="0.25">
      <c r="A20" s="145" t="s">
        <v>228</v>
      </c>
      <c r="B20" s="118">
        <v>2</v>
      </c>
      <c r="C20" s="118">
        <v>2000</v>
      </c>
      <c r="D20" s="139">
        <f>1773/2000</f>
        <v>0.88649999999999995</v>
      </c>
      <c r="E20" s="118">
        <v>2</v>
      </c>
      <c r="F20" s="118">
        <v>2000</v>
      </c>
      <c r="G20" s="139">
        <f>2016/2000</f>
        <v>1.008</v>
      </c>
      <c r="H20" s="118">
        <v>2</v>
      </c>
      <c r="I20" s="118">
        <v>2000</v>
      </c>
      <c r="J20" s="139">
        <f>1638/2000</f>
        <v>0.81899999999999995</v>
      </c>
      <c r="K20" s="118">
        <v>2</v>
      </c>
      <c r="L20" s="118">
        <v>2000</v>
      </c>
      <c r="M20" s="139">
        <f>1579/2000</f>
        <v>0.78949999999999998</v>
      </c>
    </row>
    <row r="21" spans="1:13" ht="24.95" customHeight="1" x14ac:dyDescent="0.25">
      <c r="A21" s="7" t="s">
        <v>261</v>
      </c>
      <c r="B21" s="118">
        <v>6</v>
      </c>
      <c r="C21" s="118">
        <v>6000</v>
      </c>
      <c r="D21" s="139">
        <f>5651/6000</f>
        <v>0.9418333333333333</v>
      </c>
      <c r="E21" s="118">
        <v>6</v>
      </c>
      <c r="F21" s="118">
        <v>6000</v>
      </c>
      <c r="G21" s="139">
        <f>5304/6000</f>
        <v>0.88400000000000001</v>
      </c>
      <c r="H21" s="118">
        <v>6</v>
      </c>
      <c r="I21" s="118">
        <v>6000</v>
      </c>
      <c r="J21" s="139">
        <f>5552/6000</f>
        <v>0.92533333333333334</v>
      </c>
      <c r="K21" s="118">
        <v>6</v>
      </c>
      <c r="L21" s="118">
        <v>6000</v>
      </c>
      <c r="M21" s="139">
        <f>5910/6000</f>
        <v>0.98499999999999999</v>
      </c>
    </row>
    <row r="22" spans="1:13" ht="24.95" customHeight="1" x14ac:dyDescent="0.25">
      <c r="A22" s="7" t="s">
        <v>133</v>
      </c>
      <c r="B22" s="118">
        <v>3</v>
      </c>
      <c r="C22" s="118">
        <v>3000</v>
      </c>
      <c r="D22" s="139">
        <f>3038/3000</f>
        <v>1.0126666666666666</v>
      </c>
      <c r="E22" s="118">
        <v>3</v>
      </c>
      <c r="F22" s="118">
        <v>3000</v>
      </c>
      <c r="G22" s="139">
        <f>3116/3000</f>
        <v>1.0386666666666666</v>
      </c>
      <c r="H22" s="118">
        <v>3</v>
      </c>
      <c r="I22" s="118">
        <v>3000</v>
      </c>
      <c r="J22" s="139">
        <f>3144/3000</f>
        <v>1.048</v>
      </c>
      <c r="K22" s="118">
        <v>3</v>
      </c>
      <c r="L22" s="118">
        <v>3000</v>
      </c>
      <c r="M22" s="139">
        <f>3130/3000</f>
        <v>1.0433333333333332</v>
      </c>
    </row>
    <row r="23" spans="1:13" ht="24.95" customHeight="1" x14ac:dyDescent="0.25">
      <c r="A23" s="20" t="s">
        <v>74</v>
      </c>
      <c r="B23" s="118">
        <v>1</v>
      </c>
      <c r="C23" s="118">
        <v>1000</v>
      </c>
      <c r="D23" s="139">
        <f>734/1000</f>
        <v>0.73399999999999999</v>
      </c>
      <c r="E23" s="118">
        <v>1</v>
      </c>
      <c r="F23" s="118">
        <v>1000</v>
      </c>
      <c r="G23" s="139">
        <f>806/1000</f>
        <v>0.80600000000000005</v>
      </c>
      <c r="H23" s="118">
        <v>1</v>
      </c>
      <c r="I23" s="118">
        <v>1000</v>
      </c>
      <c r="J23" s="139">
        <f>1060/1000</f>
        <v>1.06</v>
      </c>
      <c r="K23" s="118">
        <v>1</v>
      </c>
      <c r="L23" s="118">
        <v>1000</v>
      </c>
      <c r="M23" s="139">
        <f>867/1000</f>
        <v>0.86699999999999999</v>
      </c>
    </row>
    <row r="24" spans="1:13" ht="24.95" customHeight="1" x14ac:dyDescent="0.25">
      <c r="A24" s="20" t="s">
        <v>26</v>
      </c>
      <c r="B24" s="160"/>
      <c r="C24" s="160"/>
      <c r="D24" s="161"/>
      <c r="E24" s="118">
        <v>1</v>
      </c>
      <c r="F24" s="118">
        <v>1000</v>
      </c>
      <c r="G24" s="139">
        <f>59/1000</f>
        <v>5.8999999999999997E-2</v>
      </c>
      <c r="H24" s="118">
        <v>1</v>
      </c>
      <c r="I24" s="118">
        <v>1000</v>
      </c>
      <c r="J24" s="139">
        <f>223/1000</f>
        <v>0.223</v>
      </c>
      <c r="K24" s="118">
        <v>1</v>
      </c>
      <c r="L24" s="118">
        <v>1000</v>
      </c>
      <c r="M24" s="139">
        <f>445/1000</f>
        <v>0.44500000000000001</v>
      </c>
    </row>
    <row r="25" spans="1:13" ht="24.95" customHeight="1" x14ac:dyDescent="0.25">
      <c r="A25" s="145" t="s">
        <v>29</v>
      </c>
      <c r="B25" s="118">
        <v>2</v>
      </c>
      <c r="C25" s="118">
        <v>2000</v>
      </c>
      <c r="D25" s="139">
        <f>1568/2000</f>
        <v>0.78400000000000003</v>
      </c>
      <c r="E25" s="118">
        <v>2</v>
      </c>
      <c r="F25" s="118">
        <v>2000</v>
      </c>
      <c r="G25" s="139">
        <f>1707/2000</f>
        <v>0.85350000000000004</v>
      </c>
      <c r="H25" s="118">
        <v>2</v>
      </c>
      <c r="I25" s="118">
        <v>2000</v>
      </c>
      <c r="J25" s="139">
        <f>1684/2000</f>
        <v>0.84199999999999997</v>
      </c>
      <c r="K25" s="118">
        <v>2</v>
      </c>
      <c r="L25" s="118">
        <v>2000</v>
      </c>
      <c r="M25" s="139">
        <f>1647/2000</f>
        <v>0.82350000000000001</v>
      </c>
    </row>
    <row r="26" spans="1:13" ht="24.95" customHeight="1" x14ac:dyDescent="0.25">
      <c r="A26" s="7" t="s">
        <v>229</v>
      </c>
      <c r="B26" s="118">
        <v>1</v>
      </c>
      <c r="C26" s="118">
        <v>1000</v>
      </c>
      <c r="D26" s="139">
        <f>785/1000</f>
        <v>0.78500000000000003</v>
      </c>
      <c r="E26" s="118">
        <v>1</v>
      </c>
      <c r="F26" s="118">
        <v>1000</v>
      </c>
      <c r="G26" s="139">
        <f>755/1000</f>
        <v>0.755</v>
      </c>
      <c r="H26" s="118">
        <v>1</v>
      </c>
      <c r="I26" s="118">
        <v>1000</v>
      </c>
      <c r="J26" s="139">
        <f>750/1000</f>
        <v>0.75</v>
      </c>
      <c r="K26" s="118">
        <v>1</v>
      </c>
      <c r="L26" s="118">
        <v>1000</v>
      </c>
      <c r="M26" s="139">
        <f>745/1000</f>
        <v>0.745</v>
      </c>
    </row>
    <row r="27" spans="1:13" ht="24.95" customHeight="1" x14ac:dyDescent="0.25">
      <c r="A27" s="7" t="s">
        <v>262</v>
      </c>
      <c r="B27" s="118">
        <v>1</v>
      </c>
      <c r="C27" s="118">
        <v>1000</v>
      </c>
      <c r="D27" s="139">
        <f>1013/1000</f>
        <v>1.0129999999999999</v>
      </c>
      <c r="E27" s="118">
        <v>1</v>
      </c>
      <c r="F27" s="118">
        <v>1000</v>
      </c>
      <c r="G27" s="139">
        <f>1003/1000</f>
        <v>1.0029999999999999</v>
      </c>
      <c r="H27" s="118">
        <v>3</v>
      </c>
      <c r="I27" s="118">
        <v>3000</v>
      </c>
      <c r="J27" s="139">
        <f>1912/3000</f>
        <v>0.63733333333333331</v>
      </c>
      <c r="K27" s="118">
        <v>4</v>
      </c>
      <c r="L27" s="118">
        <v>4000</v>
      </c>
      <c r="M27" s="139">
        <f>2578/4000</f>
        <v>0.64449999999999996</v>
      </c>
    </row>
    <row r="28" spans="1:13" ht="24.95" customHeight="1" x14ac:dyDescent="0.25">
      <c r="A28" s="7" t="s">
        <v>231</v>
      </c>
      <c r="B28" s="118">
        <v>4</v>
      </c>
      <c r="C28" s="118">
        <v>4000</v>
      </c>
      <c r="D28" s="140">
        <f>4194/4000</f>
        <v>1.0485</v>
      </c>
      <c r="E28" s="118">
        <v>4</v>
      </c>
      <c r="F28" s="118">
        <v>4000</v>
      </c>
      <c r="G28" s="140">
        <f>3891/4000</f>
        <v>0.97275</v>
      </c>
      <c r="H28" s="118">
        <v>4</v>
      </c>
      <c r="I28" s="118">
        <v>4000</v>
      </c>
      <c r="J28" s="140">
        <f>3978/4000</f>
        <v>0.99450000000000005</v>
      </c>
      <c r="K28" s="118">
        <v>4</v>
      </c>
      <c r="L28" s="118">
        <v>4000</v>
      </c>
      <c r="M28" s="140">
        <f>3819/4000</f>
        <v>0.95474999999999999</v>
      </c>
    </row>
    <row r="29" spans="1:13" ht="24.95" customHeight="1" x14ac:dyDescent="0.25">
      <c r="A29" s="20" t="s">
        <v>147</v>
      </c>
      <c r="B29" s="118">
        <v>2</v>
      </c>
      <c r="C29" s="118">
        <v>2000</v>
      </c>
      <c r="D29" s="139">
        <f>1780/2000</f>
        <v>0.89</v>
      </c>
      <c r="E29" s="118">
        <v>2</v>
      </c>
      <c r="F29" s="118">
        <v>2000</v>
      </c>
      <c r="G29" s="139">
        <f>1775/2000</f>
        <v>0.88749999999999996</v>
      </c>
      <c r="H29" s="118">
        <v>2</v>
      </c>
      <c r="I29" s="118">
        <v>2000</v>
      </c>
      <c r="J29" s="139">
        <f>1990/2000</f>
        <v>0.995</v>
      </c>
      <c r="K29" s="118">
        <v>2</v>
      </c>
      <c r="L29" s="118">
        <v>2000</v>
      </c>
      <c r="M29" s="139">
        <f>1801/2000</f>
        <v>0.90049999999999997</v>
      </c>
    </row>
    <row r="30" spans="1:13" ht="24.95" customHeight="1" x14ac:dyDescent="0.25">
      <c r="A30" s="7" t="s">
        <v>53</v>
      </c>
      <c r="B30" s="118">
        <v>3</v>
      </c>
      <c r="C30" s="118">
        <v>3000</v>
      </c>
      <c r="D30" s="139">
        <f>3673/3000</f>
        <v>1.2243333333333333</v>
      </c>
      <c r="E30" s="118">
        <v>3</v>
      </c>
      <c r="F30" s="118">
        <v>3000</v>
      </c>
      <c r="G30" s="139">
        <f>3609/3000</f>
        <v>1.2030000000000001</v>
      </c>
      <c r="H30" s="118">
        <v>2</v>
      </c>
      <c r="I30" s="118">
        <v>2000</v>
      </c>
      <c r="J30" s="139">
        <f>2686/2000</f>
        <v>1.343</v>
      </c>
      <c r="K30" s="118">
        <v>3</v>
      </c>
      <c r="L30" s="118">
        <v>3000</v>
      </c>
      <c r="M30" s="139">
        <f>3953/3000</f>
        <v>1.3176666666666668</v>
      </c>
    </row>
    <row r="31" spans="1:13" ht="24.95" customHeight="1" x14ac:dyDescent="0.25">
      <c r="A31" s="145" t="s">
        <v>263</v>
      </c>
      <c r="B31" s="118">
        <v>1</v>
      </c>
      <c r="C31" s="118">
        <v>1000</v>
      </c>
      <c r="D31" s="139">
        <f>1044/1000</f>
        <v>1.044</v>
      </c>
      <c r="E31" s="118">
        <v>1</v>
      </c>
      <c r="F31" s="118">
        <v>1000</v>
      </c>
      <c r="G31" s="139">
        <f>845/1000</f>
        <v>0.84499999999999997</v>
      </c>
      <c r="H31" s="118">
        <v>1</v>
      </c>
      <c r="I31" s="118">
        <v>1000</v>
      </c>
      <c r="J31" s="139">
        <f>990/1000</f>
        <v>0.99</v>
      </c>
      <c r="K31" s="118">
        <v>1</v>
      </c>
      <c r="L31" s="118">
        <v>1000</v>
      </c>
      <c r="M31" s="139">
        <f>984/1000</f>
        <v>0.98399999999999999</v>
      </c>
    </row>
    <row r="32" spans="1:13" ht="24.95" customHeight="1" x14ac:dyDescent="0.25">
      <c r="A32" s="7" t="s">
        <v>148</v>
      </c>
      <c r="B32" s="118">
        <v>1</v>
      </c>
      <c r="C32" s="118">
        <v>1000</v>
      </c>
      <c r="D32" s="139">
        <f>930/1000</f>
        <v>0.93</v>
      </c>
      <c r="E32" s="118">
        <v>1</v>
      </c>
      <c r="F32" s="118">
        <v>1000</v>
      </c>
      <c r="G32" s="139">
        <f>895/1000</f>
        <v>0.89500000000000002</v>
      </c>
      <c r="H32" s="118">
        <v>1</v>
      </c>
      <c r="I32" s="118">
        <v>1000</v>
      </c>
      <c r="J32" s="139">
        <f>846/1000</f>
        <v>0.84599999999999997</v>
      </c>
      <c r="K32" s="118">
        <v>1</v>
      </c>
      <c r="L32" s="118">
        <v>1000</v>
      </c>
      <c r="M32" s="139">
        <f>884/1000</f>
        <v>0.88400000000000001</v>
      </c>
    </row>
    <row r="33" spans="1:13" ht="24.95" customHeight="1" x14ac:dyDescent="0.25">
      <c r="A33" s="119" t="s">
        <v>232</v>
      </c>
      <c r="B33" s="141">
        <f>SUM(B6:B32)</f>
        <v>58</v>
      </c>
      <c r="C33" s="141">
        <f>SUM(C6:C32)</f>
        <v>58000</v>
      </c>
      <c r="D33" s="142">
        <f>AVERAGE(D6:D32)</f>
        <v>0.9687820512820513</v>
      </c>
      <c r="E33" s="141">
        <f>SUM(E6:E32)</f>
        <v>59</v>
      </c>
      <c r="F33" s="141">
        <f t="shared" ref="F33" si="0">SUM(F6:F32)</f>
        <v>59000</v>
      </c>
      <c r="G33" s="142">
        <f>AVERAGE(G6:G32)</f>
        <v>0.92539197530864203</v>
      </c>
      <c r="H33" s="141">
        <f t="shared" ref="H33:I33" si="1">SUM(H6:H32)</f>
        <v>63</v>
      </c>
      <c r="I33" s="141">
        <f t="shared" si="1"/>
        <v>63000</v>
      </c>
      <c r="J33" s="142">
        <f>AVERAGE(J6:J32)</f>
        <v>0.89910308641975278</v>
      </c>
      <c r="K33" s="141">
        <f t="shared" ref="K33:L33" si="2">SUM(K6:K32)</f>
        <v>66</v>
      </c>
      <c r="L33" s="141">
        <f t="shared" si="2"/>
        <v>66000</v>
      </c>
      <c r="M33" s="142">
        <f>AVERAGE(M6:M32)</f>
        <v>0.90485000000000015</v>
      </c>
    </row>
    <row r="34" spans="1:13" x14ac:dyDescent="0.25">
      <c r="A34" s="102" t="s">
        <v>275</v>
      </c>
      <c r="B34" s="28"/>
      <c r="C34" s="29"/>
      <c r="D34" s="1"/>
      <c r="E34" s="1"/>
    </row>
    <row r="35" spans="1:13" x14ac:dyDescent="0.25">
      <c r="A35" s="102" t="s">
        <v>149</v>
      </c>
      <c r="B35" s="143"/>
      <c r="C35" s="143"/>
      <c r="D35" s="143"/>
      <c r="E35" s="1"/>
    </row>
    <row r="36" spans="1:13" x14ac:dyDescent="0.25">
      <c r="A36" s="1" t="s">
        <v>264</v>
      </c>
      <c r="B36" s="1"/>
      <c r="C36" s="1"/>
      <c r="D36" s="1"/>
      <c r="E36" s="1"/>
    </row>
    <row r="37" spans="1:13" x14ac:dyDescent="0.25">
      <c r="A37" s="1" t="s">
        <v>265</v>
      </c>
      <c r="B37" s="1"/>
      <c r="C37" s="1"/>
      <c r="D37" s="1"/>
      <c r="E37" s="1"/>
    </row>
    <row r="38" spans="1:13" x14ac:dyDescent="0.25">
      <c r="A38" t="s">
        <v>266</v>
      </c>
    </row>
    <row r="39" spans="1:13" x14ac:dyDescent="0.25">
      <c r="A39" t="s">
        <v>267</v>
      </c>
    </row>
    <row r="40" spans="1:13" x14ac:dyDescent="0.25">
      <c r="A40" t="s">
        <v>268</v>
      </c>
    </row>
    <row r="41" spans="1:13" x14ac:dyDescent="0.25">
      <c r="A41" t="s">
        <v>269</v>
      </c>
    </row>
  </sheetData>
  <mergeCells count="18">
    <mergeCell ref="A3:A5"/>
    <mergeCell ref="B3:B5"/>
    <mergeCell ref="C3:C5"/>
    <mergeCell ref="D3:D5"/>
    <mergeCell ref="E3:E5"/>
    <mergeCell ref="B2:D2"/>
    <mergeCell ref="E2:G2"/>
    <mergeCell ref="H2:J2"/>
    <mergeCell ref="K2:M2"/>
    <mergeCell ref="A1:M1"/>
    <mergeCell ref="L3:L5"/>
    <mergeCell ref="M3:M5"/>
    <mergeCell ref="F3:F5"/>
    <mergeCell ref="G3:G5"/>
    <mergeCell ref="H3:H5"/>
    <mergeCell ref="I3:I5"/>
    <mergeCell ref="J3:J5"/>
    <mergeCell ref="K3:K5"/>
  </mergeCells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9FB1-4A4C-4688-B251-F1C8A54CC4B6}">
  <dimension ref="A1:U41"/>
  <sheetViews>
    <sheetView topLeftCell="H1" zoomScale="90" zoomScaleNormal="90" workbookViewId="0">
      <selection activeCell="F3" sqref="F3:F5"/>
    </sheetView>
  </sheetViews>
  <sheetFormatPr defaultRowHeight="15" x14ac:dyDescent="0.25"/>
  <cols>
    <col min="1" max="1" width="32.140625" customWidth="1"/>
    <col min="2" max="2" width="14" customWidth="1"/>
    <col min="3" max="3" width="13.5703125" customWidth="1"/>
    <col min="4" max="4" width="16.42578125" customWidth="1"/>
    <col min="5" max="5" width="21" customWidth="1"/>
    <col min="6" max="6" width="18.42578125" customWidth="1"/>
    <col min="7" max="7" width="10" customWidth="1"/>
    <col min="8" max="8" width="15.140625" customWidth="1"/>
    <col min="9" max="9" width="14.42578125" customWidth="1"/>
    <col min="10" max="10" width="17.7109375" customWidth="1"/>
    <col min="11" max="11" width="18.5703125" customWidth="1"/>
    <col min="13" max="13" width="11.42578125" customWidth="1"/>
    <col min="14" max="14" width="12.85546875" customWidth="1"/>
    <col min="15" max="15" width="16.28515625" customWidth="1"/>
    <col min="16" max="16" width="19.28515625" customWidth="1"/>
    <col min="18" max="18" width="13.28515625" customWidth="1"/>
    <col min="19" max="19" width="12" customWidth="1"/>
    <col min="20" max="20" width="13.42578125" customWidth="1"/>
    <col min="21" max="21" width="12.5703125" customWidth="1"/>
  </cols>
  <sheetData>
    <row r="1" spans="1:21" ht="27.75" customHeight="1" x14ac:dyDescent="0.25">
      <c r="A1" s="329" t="s">
        <v>270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27.75" customHeight="1" x14ac:dyDescent="0.25">
      <c r="B2" s="246" t="s">
        <v>142</v>
      </c>
      <c r="C2" s="247"/>
      <c r="D2" s="247"/>
      <c r="E2" s="247"/>
      <c r="F2" s="258"/>
      <c r="G2" s="246" t="s">
        <v>143</v>
      </c>
      <c r="H2" s="247"/>
      <c r="I2" s="247"/>
      <c r="J2" s="247"/>
      <c r="K2" s="258"/>
      <c r="L2" s="246" t="s">
        <v>144</v>
      </c>
      <c r="M2" s="247"/>
      <c r="N2" s="247"/>
      <c r="O2" s="247"/>
      <c r="P2" s="258"/>
      <c r="Q2" s="246" t="s">
        <v>145</v>
      </c>
      <c r="R2" s="247"/>
      <c r="S2" s="247"/>
      <c r="T2" s="247"/>
      <c r="U2" s="258"/>
    </row>
    <row r="3" spans="1:21" ht="15.75" customHeight="1" x14ac:dyDescent="0.25">
      <c r="A3" s="253" t="s">
        <v>1</v>
      </c>
      <c r="B3" s="254" t="s">
        <v>194</v>
      </c>
      <c r="C3" s="254" t="s">
        <v>271</v>
      </c>
      <c r="D3" s="254" t="s">
        <v>272</v>
      </c>
      <c r="E3" s="254" t="s">
        <v>273</v>
      </c>
      <c r="F3" s="254" t="s">
        <v>274</v>
      </c>
      <c r="G3" s="254" t="s">
        <v>194</v>
      </c>
      <c r="H3" s="254" t="s">
        <v>271</v>
      </c>
      <c r="I3" s="254" t="s">
        <v>272</v>
      </c>
      <c r="J3" s="254" t="s">
        <v>273</v>
      </c>
      <c r="K3" s="254" t="s">
        <v>274</v>
      </c>
      <c r="L3" s="254" t="s">
        <v>194</v>
      </c>
      <c r="M3" s="254" t="s">
        <v>271</v>
      </c>
      <c r="N3" s="254" t="s">
        <v>272</v>
      </c>
      <c r="O3" s="254" t="s">
        <v>273</v>
      </c>
      <c r="P3" s="254" t="s">
        <v>274</v>
      </c>
      <c r="Q3" s="254" t="s">
        <v>194</v>
      </c>
      <c r="R3" s="254" t="s">
        <v>271</v>
      </c>
      <c r="S3" s="254" t="s">
        <v>272</v>
      </c>
      <c r="T3" s="254" t="s">
        <v>273</v>
      </c>
      <c r="U3" s="254" t="s">
        <v>274</v>
      </c>
    </row>
    <row r="4" spans="1:21" ht="24.95" customHeight="1" x14ac:dyDescent="0.25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1" ht="58.5" customHeight="1" x14ac:dyDescent="0.25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</row>
    <row r="6" spans="1:21" ht="24.95" customHeight="1" x14ac:dyDescent="0.25">
      <c r="A6" s="146" t="s">
        <v>34</v>
      </c>
      <c r="B6" s="118">
        <v>2</v>
      </c>
      <c r="C6" s="185">
        <v>120</v>
      </c>
      <c r="D6" s="210">
        <v>0.84444444444444444</v>
      </c>
      <c r="E6" s="211">
        <v>0.50328947368421051</v>
      </c>
      <c r="F6" s="196">
        <v>1</v>
      </c>
      <c r="G6" s="118">
        <v>2</v>
      </c>
      <c r="H6" s="118">
        <v>120</v>
      </c>
      <c r="I6" s="210">
        <v>0.87222222222222223</v>
      </c>
      <c r="J6" s="210">
        <v>0.52547770700636942</v>
      </c>
      <c r="K6" s="196">
        <v>1</v>
      </c>
      <c r="L6" s="118">
        <v>2</v>
      </c>
      <c r="M6" s="118">
        <v>120</v>
      </c>
      <c r="N6" s="210">
        <v>0.85277777777777775</v>
      </c>
      <c r="O6" s="211">
        <v>0.5439739413680782</v>
      </c>
      <c r="P6" s="196">
        <v>0.89250814332247552</v>
      </c>
      <c r="Q6" s="118">
        <v>2</v>
      </c>
      <c r="R6" s="118">
        <v>120</v>
      </c>
      <c r="S6" s="210">
        <v>0.81666666666666665</v>
      </c>
      <c r="T6" s="211">
        <v>0.53061224489795922</v>
      </c>
      <c r="U6" s="196">
        <v>1</v>
      </c>
    </row>
    <row r="7" spans="1:21" ht="24.95" customHeight="1" x14ac:dyDescent="0.25">
      <c r="A7" s="146" t="s">
        <v>119</v>
      </c>
      <c r="B7" s="118">
        <v>6</v>
      </c>
      <c r="C7" s="185">
        <v>320</v>
      </c>
      <c r="D7" s="210">
        <v>0.69687500000000002</v>
      </c>
      <c r="E7" s="211">
        <v>0.8131539611360239</v>
      </c>
      <c r="F7" s="196">
        <v>0.68609865470852016</v>
      </c>
      <c r="G7" s="118">
        <v>6</v>
      </c>
      <c r="H7" s="118">
        <v>320</v>
      </c>
      <c r="I7" s="210">
        <v>0.91979166666666656</v>
      </c>
      <c r="J7" s="210">
        <v>0.63986409966024915</v>
      </c>
      <c r="K7" s="196">
        <v>0.65232163080407701</v>
      </c>
      <c r="L7" s="118">
        <v>6</v>
      </c>
      <c r="M7" s="118">
        <v>320</v>
      </c>
      <c r="N7" s="210">
        <v>0.80625000000000002</v>
      </c>
      <c r="O7" s="211">
        <v>0.67183462532299743</v>
      </c>
      <c r="P7" s="196">
        <v>0.73772609819121449</v>
      </c>
      <c r="Q7" s="118">
        <v>6</v>
      </c>
      <c r="R7" s="118">
        <v>320</v>
      </c>
      <c r="S7" s="210">
        <v>0.80520833333333341</v>
      </c>
      <c r="T7" s="211">
        <v>0.68564036222509706</v>
      </c>
      <c r="U7" s="196">
        <v>0.73091849935316944</v>
      </c>
    </row>
    <row r="8" spans="1:21" ht="24.95" customHeight="1" x14ac:dyDescent="0.25">
      <c r="A8" s="146" t="s">
        <v>123</v>
      </c>
      <c r="B8" s="118">
        <v>3</v>
      </c>
      <c r="C8" s="185">
        <v>160</v>
      </c>
      <c r="D8" s="210">
        <v>0.89583333333333337</v>
      </c>
      <c r="E8" s="211">
        <v>0.23023255813953489</v>
      </c>
      <c r="F8" s="196">
        <v>0.82790697674418601</v>
      </c>
      <c r="G8" s="118">
        <v>3</v>
      </c>
      <c r="H8" s="118">
        <v>160</v>
      </c>
      <c r="I8" s="210">
        <v>0.96666666666666656</v>
      </c>
      <c r="J8" s="210">
        <v>0.21120689655172414</v>
      </c>
      <c r="K8" s="196">
        <v>0.75</v>
      </c>
      <c r="L8" s="118">
        <v>3</v>
      </c>
      <c r="M8" s="118">
        <v>160</v>
      </c>
      <c r="N8" s="210">
        <v>0.92500000000000004</v>
      </c>
      <c r="O8" s="211">
        <v>0.22297297297297297</v>
      </c>
      <c r="P8" s="196">
        <v>0.79504504504504503</v>
      </c>
      <c r="Q8" s="118">
        <v>3</v>
      </c>
      <c r="R8" s="118">
        <v>160</v>
      </c>
      <c r="S8" s="210">
        <v>0.9375</v>
      </c>
      <c r="T8" s="211">
        <v>0.21111111111111111</v>
      </c>
      <c r="U8" s="196">
        <v>0.78666666666666663</v>
      </c>
    </row>
    <row r="9" spans="1:21" ht="24.95" customHeight="1" x14ac:dyDescent="0.25">
      <c r="A9" s="145" t="s">
        <v>19</v>
      </c>
      <c r="B9" s="118">
        <v>3</v>
      </c>
      <c r="C9" s="185">
        <v>120</v>
      </c>
      <c r="D9" s="210">
        <v>0.32222222222222219</v>
      </c>
      <c r="E9" s="211">
        <v>1</v>
      </c>
      <c r="F9" s="196">
        <v>0.67241379310344829</v>
      </c>
      <c r="G9" s="118">
        <v>3</v>
      </c>
      <c r="H9" s="118">
        <v>120</v>
      </c>
      <c r="I9" s="210">
        <v>0.625</v>
      </c>
      <c r="J9" s="210">
        <v>0.88</v>
      </c>
      <c r="K9" s="196">
        <v>0.20444444444444446</v>
      </c>
      <c r="L9" s="118">
        <v>3</v>
      </c>
      <c r="M9" s="118">
        <v>120</v>
      </c>
      <c r="N9" s="210">
        <v>0.67222222222222228</v>
      </c>
      <c r="O9" s="211">
        <v>1</v>
      </c>
      <c r="P9" s="196">
        <v>0.42975206611570244</v>
      </c>
      <c r="Q9" s="118">
        <v>3</v>
      </c>
      <c r="R9" s="118">
        <v>120</v>
      </c>
      <c r="S9" s="210">
        <v>0.70277777777777772</v>
      </c>
      <c r="T9" s="211">
        <v>1</v>
      </c>
      <c r="U9" s="196">
        <v>0.49407114624505927</v>
      </c>
    </row>
    <row r="10" spans="1:21" ht="24.95" customHeight="1" x14ac:dyDescent="0.25">
      <c r="A10" s="146" t="s">
        <v>127</v>
      </c>
      <c r="B10" s="118">
        <v>6</v>
      </c>
      <c r="C10" s="185">
        <v>400</v>
      </c>
      <c r="D10" s="210">
        <v>0.38</v>
      </c>
      <c r="E10" s="211">
        <v>0.38377192982456143</v>
      </c>
      <c r="F10" s="196">
        <v>1</v>
      </c>
      <c r="G10" s="118">
        <v>6</v>
      </c>
      <c r="H10" s="118">
        <v>400</v>
      </c>
      <c r="I10" s="210">
        <v>0.4425</v>
      </c>
      <c r="J10" s="210">
        <v>0.44821092278719399</v>
      </c>
      <c r="K10" s="196">
        <v>1</v>
      </c>
      <c r="L10" s="118">
        <v>6</v>
      </c>
      <c r="M10" s="118">
        <v>400</v>
      </c>
      <c r="N10" s="210">
        <v>0.33083333333333337</v>
      </c>
      <c r="O10" s="211">
        <v>0.55163727959697728</v>
      </c>
      <c r="P10" s="196">
        <v>1</v>
      </c>
      <c r="Q10" s="118">
        <v>5.333333333333333</v>
      </c>
      <c r="R10" s="118">
        <v>346.66666666666669</v>
      </c>
      <c r="S10" s="210">
        <v>0.35288461538461535</v>
      </c>
      <c r="T10" s="211">
        <v>0.50953678474114439</v>
      </c>
      <c r="U10" s="196">
        <v>1</v>
      </c>
    </row>
    <row r="11" spans="1:21" ht="24.95" customHeight="1" x14ac:dyDescent="0.25">
      <c r="A11" s="149" t="s">
        <v>83</v>
      </c>
      <c r="B11" s="118">
        <v>2</v>
      </c>
      <c r="C11" s="185">
        <v>120</v>
      </c>
      <c r="D11" s="210">
        <v>0.69444444444444442</v>
      </c>
      <c r="E11" s="211">
        <v>0.26</v>
      </c>
      <c r="F11" s="196">
        <v>0.93200000000000016</v>
      </c>
      <c r="G11" s="118">
        <v>2</v>
      </c>
      <c r="H11" s="118">
        <v>120</v>
      </c>
      <c r="I11" s="210">
        <v>0.83333333333333337</v>
      </c>
      <c r="J11" s="210">
        <v>0.28666666666666668</v>
      </c>
      <c r="K11" s="196">
        <v>0.92</v>
      </c>
      <c r="L11" s="118">
        <v>2</v>
      </c>
      <c r="M11" s="118">
        <v>120</v>
      </c>
      <c r="N11" s="210">
        <v>0.88888888888888895</v>
      </c>
      <c r="O11" s="211">
        <v>0.30625000000000002</v>
      </c>
      <c r="P11" s="196">
        <v>0.94687499999999991</v>
      </c>
      <c r="Q11" s="118">
        <v>1.6666666666666667</v>
      </c>
      <c r="R11" s="118">
        <v>93.333333333333329</v>
      </c>
      <c r="S11" s="210">
        <v>0.69285714285714295</v>
      </c>
      <c r="T11" s="211">
        <v>0.31958762886597936</v>
      </c>
      <c r="U11" s="196">
        <v>1</v>
      </c>
    </row>
    <row r="12" spans="1:21" ht="24.95" customHeight="1" x14ac:dyDescent="0.25">
      <c r="A12" s="145" t="s">
        <v>85</v>
      </c>
      <c r="B12" s="118">
        <v>5</v>
      </c>
      <c r="C12" s="185">
        <v>280</v>
      </c>
      <c r="D12" s="210">
        <v>1.055952380952381</v>
      </c>
      <c r="E12" s="211">
        <v>0.30890642615558062</v>
      </c>
      <c r="F12" s="196">
        <v>0.93799323562570447</v>
      </c>
      <c r="G12" s="118">
        <v>5</v>
      </c>
      <c r="H12" s="118">
        <v>280</v>
      </c>
      <c r="I12" s="210">
        <v>1.444047619047619</v>
      </c>
      <c r="J12" s="210">
        <v>0.23248145094806266</v>
      </c>
      <c r="K12" s="196">
        <v>0.69084913437757622</v>
      </c>
      <c r="L12" s="118">
        <v>5</v>
      </c>
      <c r="M12" s="118">
        <v>280</v>
      </c>
      <c r="N12" s="210">
        <v>1.2749999999999999</v>
      </c>
      <c r="O12" s="211">
        <v>0.26237161531279179</v>
      </c>
      <c r="P12" s="196">
        <v>0.79738562091503273</v>
      </c>
      <c r="Q12" s="118">
        <v>5</v>
      </c>
      <c r="R12" s="118">
        <v>280</v>
      </c>
      <c r="S12" s="210">
        <v>1.4892857142857143</v>
      </c>
      <c r="T12" s="211">
        <v>0.21262989608313348</v>
      </c>
      <c r="U12" s="196">
        <v>0.67785771382893689</v>
      </c>
    </row>
    <row r="13" spans="1:21" ht="24.95" customHeight="1" x14ac:dyDescent="0.25">
      <c r="A13" s="145" t="s">
        <v>23</v>
      </c>
      <c r="B13" s="118">
        <v>1</v>
      </c>
      <c r="C13" s="185">
        <v>80</v>
      </c>
      <c r="D13" s="210">
        <v>0.98750000000000004</v>
      </c>
      <c r="E13" s="211">
        <v>0.17721518987341772</v>
      </c>
      <c r="F13" s="196">
        <v>1</v>
      </c>
      <c r="G13" s="118">
        <v>1</v>
      </c>
      <c r="H13" s="118">
        <v>80</v>
      </c>
      <c r="I13" s="210">
        <v>0.94583333333333341</v>
      </c>
      <c r="J13" s="210">
        <v>0.25550660792951541</v>
      </c>
      <c r="K13" s="196">
        <v>1</v>
      </c>
      <c r="L13" s="118">
        <v>1</v>
      </c>
      <c r="M13" s="118">
        <v>80</v>
      </c>
      <c r="N13" s="210">
        <v>0.89166666666666661</v>
      </c>
      <c r="O13" s="211">
        <v>0.13551401869158877</v>
      </c>
      <c r="P13" s="196">
        <v>1</v>
      </c>
      <c r="Q13" s="118">
        <v>1</v>
      </c>
      <c r="R13" s="118">
        <v>80</v>
      </c>
      <c r="S13" s="210">
        <v>0.88749999999999996</v>
      </c>
      <c r="T13" s="211">
        <v>0.22535211267605634</v>
      </c>
      <c r="U13" s="196">
        <v>1</v>
      </c>
    </row>
    <row r="14" spans="1:21" ht="24.95" customHeight="1" x14ac:dyDescent="0.25">
      <c r="A14" s="145" t="s">
        <v>88</v>
      </c>
      <c r="B14" s="118">
        <v>1</v>
      </c>
      <c r="C14" s="185">
        <v>80</v>
      </c>
      <c r="D14" s="210">
        <v>0.50416666666666665</v>
      </c>
      <c r="E14" s="211">
        <v>0.82644628099173556</v>
      </c>
      <c r="F14" s="196">
        <v>1</v>
      </c>
      <c r="G14" s="118">
        <v>1</v>
      </c>
      <c r="H14" s="118">
        <v>80</v>
      </c>
      <c r="I14" s="210">
        <v>0.67500000000000004</v>
      </c>
      <c r="J14" s="210">
        <v>0.58024691358024694</v>
      </c>
      <c r="K14" s="196">
        <v>1.3518518518518519</v>
      </c>
      <c r="L14" s="118">
        <v>1</v>
      </c>
      <c r="M14" s="118">
        <v>80</v>
      </c>
      <c r="N14" s="210">
        <v>0.74583333333333335</v>
      </c>
      <c r="O14" s="211">
        <v>0.51955307262569828</v>
      </c>
      <c r="P14" s="196">
        <v>1</v>
      </c>
      <c r="Q14" s="118">
        <v>1</v>
      </c>
      <c r="R14" s="118">
        <v>80</v>
      </c>
      <c r="S14" s="210">
        <v>0.89166666666666661</v>
      </c>
      <c r="T14" s="211">
        <v>0.42523364485981308</v>
      </c>
      <c r="U14" s="196">
        <v>1</v>
      </c>
    </row>
    <row r="15" spans="1:21" ht="24.95" customHeight="1" x14ac:dyDescent="0.25">
      <c r="A15" s="146" t="s">
        <v>108</v>
      </c>
      <c r="B15" s="118">
        <v>1</v>
      </c>
      <c r="C15" s="185">
        <v>40</v>
      </c>
      <c r="D15" s="210">
        <v>0.6166666666666667</v>
      </c>
      <c r="E15" s="211">
        <v>0.64864864864864868</v>
      </c>
      <c r="F15" s="196">
        <v>0.67567567567567566</v>
      </c>
      <c r="G15" s="118">
        <v>1</v>
      </c>
      <c r="H15" s="118">
        <v>40</v>
      </c>
      <c r="I15" s="210">
        <v>0.69166666666666665</v>
      </c>
      <c r="J15" s="210">
        <v>0.86746987951807231</v>
      </c>
      <c r="K15" s="196">
        <v>1</v>
      </c>
      <c r="L15" s="118">
        <v>1</v>
      </c>
      <c r="M15" s="118">
        <v>40</v>
      </c>
      <c r="N15" s="210">
        <v>0.72499999999999998</v>
      </c>
      <c r="O15" s="211">
        <v>0.4942528735632184</v>
      </c>
      <c r="P15" s="196">
        <v>1</v>
      </c>
      <c r="Q15" s="118">
        <v>1</v>
      </c>
      <c r="R15" s="118">
        <v>40</v>
      </c>
      <c r="S15" s="210">
        <v>0.7</v>
      </c>
      <c r="T15" s="211">
        <v>0.2857142857142857</v>
      </c>
      <c r="U15" s="196">
        <v>1</v>
      </c>
    </row>
    <row r="16" spans="1:21" ht="24.95" customHeight="1" x14ac:dyDescent="0.25">
      <c r="A16" s="145" t="s">
        <v>91</v>
      </c>
      <c r="B16" s="118">
        <v>3.6666666666666665</v>
      </c>
      <c r="C16" s="185">
        <v>186.66666666666666</v>
      </c>
      <c r="D16" s="210">
        <v>0.49285714285714288</v>
      </c>
      <c r="E16" s="211">
        <v>0.46376811594202899</v>
      </c>
      <c r="F16" s="196">
        <v>1</v>
      </c>
      <c r="G16" s="118">
        <v>4</v>
      </c>
      <c r="H16" s="118">
        <v>200</v>
      </c>
      <c r="I16" s="210">
        <v>0.73166666666666669</v>
      </c>
      <c r="J16" s="210">
        <v>0.30751708428246016</v>
      </c>
      <c r="K16" s="196">
        <v>1.0455580865603644</v>
      </c>
      <c r="L16" s="118">
        <v>4</v>
      </c>
      <c r="M16" s="118">
        <v>200</v>
      </c>
      <c r="N16" s="210">
        <v>0.90500000000000003</v>
      </c>
      <c r="O16" s="211">
        <v>0.2541436464088398</v>
      </c>
      <c r="P16" s="196">
        <v>0.84530386740331487</v>
      </c>
      <c r="Q16" s="118">
        <v>4</v>
      </c>
      <c r="R16" s="118">
        <v>200</v>
      </c>
      <c r="S16" s="210">
        <v>0.59166666666666667</v>
      </c>
      <c r="T16" s="211">
        <v>0.4</v>
      </c>
      <c r="U16" s="196">
        <v>1</v>
      </c>
    </row>
    <row r="17" spans="1:21" ht="24.95" customHeight="1" x14ac:dyDescent="0.25">
      <c r="A17" s="145" t="s">
        <v>94</v>
      </c>
      <c r="B17" s="118">
        <v>8</v>
      </c>
      <c r="C17" s="185">
        <v>360</v>
      </c>
      <c r="D17" s="210">
        <v>0.46018518518518514</v>
      </c>
      <c r="E17" s="211">
        <v>0.75050301810865194</v>
      </c>
      <c r="F17" s="196">
        <v>0.54527162977867205</v>
      </c>
      <c r="G17" s="118">
        <v>8</v>
      </c>
      <c r="H17" s="118">
        <v>360</v>
      </c>
      <c r="I17" s="210">
        <v>0.61481481481481481</v>
      </c>
      <c r="J17" s="210">
        <v>0.66566265060240959</v>
      </c>
      <c r="K17" s="196">
        <v>0.54819277108433728</v>
      </c>
      <c r="L17" s="118">
        <v>8</v>
      </c>
      <c r="M17" s="118">
        <v>360</v>
      </c>
      <c r="N17" s="210">
        <v>0.77222222222222225</v>
      </c>
      <c r="O17" s="211">
        <v>0.52038369304556353</v>
      </c>
      <c r="P17" s="196">
        <v>0.46522781774580341</v>
      </c>
      <c r="Q17" s="118">
        <v>7.333333333333333</v>
      </c>
      <c r="R17" s="118">
        <v>333.33333333333331</v>
      </c>
      <c r="S17" s="210">
        <v>0.755</v>
      </c>
      <c r="T17" s="211">
        <v>0.57218543046357617</v>
      </c>
      <c r="U17" s="196">
        <v>0.51788079470198678</v>
      </c>
    </row>
    <row r="18" spans="1:21" ht="24.95" customHeight="1" x14ac:dyDescent="0.25">
      <c r="A18" s="147" t="s">
        <v>112</v>
      </c>
      <c r="B18" s="118">
        <v>1</v>
      </c>
      <c r="C18" s="185">
        <v>80</v>
      </c>
      <c r="D18" s="210">
        <v>1.0083333333333333</v>
      </c>
      <c r="E18" s="211">
        <v>0.11570247933884298</v>
      </c>
      <c r="F18" s="196">
        <v>0.66115702479338845</v>
      </c>
      <c r="G18" s="118">
        <v>1</v>
      </c>
      <c r="H18" s="118">
        <v>80</v>
      </c>
      <c r="I18" s="210">
        <v>1</v>
      </c>
      <c r="J18" s="210">
        <v>0.17499999999999999</v>
      </c>
      <c r="K18" s="196">
        <v>1</v>
      </c>
      <c r="L18" s="118">
        <v>1</v>
      </c>
      <c r="M18" s="118">
        <v>80</v>
      </c>
      <c r="N18" s="210">
        <v>1</v>
      </c>
      <c r="O18" s="211">
        <v>0.17499999999999999</v>
      </c>
      <c r="P18" s="196">
        <v>1</v>
      </c>
      <c r="Q18" s="118">
        <v>1</v>
      </c>
      <c r="R18" s="118">
        <v>80</v>
      </c>
      <c r="S18" s="210">
        <v>1.0041666666666667</v>
      </c>
      <c r="T18" s="211">
        <v>0.17427385892116182</v>
      </c>
      <c r="U18" s="196">
        <v>0.99585062240663902</v>
      </c>
    </row>
    <row r="19" spans="1:21" ht="24.95" customHeight="1" x14ac:dyDescent="0.25">
      <c r="A19" s="150" t="s">
        <v>7</v>
      </c>
      <c r="B19" s="118">
        <v>3</v>
      </c>
      <c r="C19" s="185">
        <v>240</v>
      </c>
      <c r="D19" s="210">
        <v>0.63194444444444442</v>
      </c>
      <c r="E19" s="211">
        <v>0.89230769230769236</v>
      </c>
      <c r="F19" s="196">
        <v>1</v>
      </c>
      <c r="G19" s="118">
        <v>3</v>
      </c>
      <c r="H19" s="118">
        <v>240</v>
      </c>
      <c r="I19" s="210">
        <v>0.71944444444444444</v>
      </c>
      <c r="J19" s="211">
        <v>1</v>
      </c>
      <c r="K19" s="196">
        <v>1</v>
      </c>
      <c r="L19" s="118">
        <v>3</v>
      </c>
      <c r="M19" s="118">
        <v>240</v>
      </c>
      <c r="N19" s="210">
        <v>0.65416666666666667</v>
      </c>
      <c r="O19" s="211">
        <v>1</v>
      </c>
      <c r="P19" s="196">
        <v>1</v>
      </c>
      <c r="Q19" s="118">
        <v>3</v>
      </c>
      <c r="R19" s="118">
        <v>240</v>
      </c>
      <c r="S19" s="210">
        <v>0.59861111111111109</v>
      </c>
      <c r="T19" s="211">
        <v>0.9675174013921114</v>
      </c>
      <c r="U19" s="196">
        <v>1</v>
      </c>
    </row>
    <row r="20" spans="1:21" ht="24.95" customHeight="1" x14ac:dyDescent="0.25">
      <c r="A20" s="151" t="s">
        <v>40</v>
      </c>
      <c r="B20" s="118">
        <v>2</v>
      </c>
      <c r="C20" s="185">
        <v>120</v>
      </c>
      <c r="D20" s="210">
        <v>0.31944444444444448</v>
      </c>
      <c r="E20" s="211">
        <v>0.42608695652173911</v>
      </c>
      <c r="F20" s="196">
        <v>1</v>
      </c>
      <c r="G20" s="118">
        <v>2</v>
      </c>
      <c r="H20" s="118">
        <v>120</v>
      </c>
      <c r="I20" s="210">
        <v>0.55833333333333335</v>
      </c>
      <c r="J20" s="210">
        <v>0.35820895522388058</v>
      </c>
      <c r="K20" s="196">
        <v>0.55223880597014929</v>
      </c>
      <c r="L20" s="118">
        <v>2</v>
      </c>
      <c r="M20" s="118">
        <v>120</v>
      </c>
      <c r="N20" s="210">
        <v>0.64722222222222225</v>
      </c>
      <c r="O20" s="211">
        <v>0.14592274678111589</v>
      </c>
      <c r="P20" s="196">
        <v>0.82403433476394849</v>
      </c>
      <c r="Q20" s="118">
        <v>2</v>
      </c>
      <c r="R20" s="118">
        <v>120</v>
      </c>
      <c r="S20" s="210">
        <v>0.64444444444444438</v>
      </c>
      <c r="T20" s="211">
        <v>0.11637931034482758</v>
      </c>
      <c r="U20" s="196">
        <v>0.81896551724137934</v>
      </c>
    </row>
    <row r="21" spans="1:21" ht="24.95" customHeight="1" x14ac:dyDescent="0.25">
      <c r="A21" s="146" t="s">
        <v>130</v>
      </c>
      <c r="B21" s="118">
        <v>11</v>
      </c>
      <c r="C21" s="185">
        <v>440</v>
      </c>
      <c r="D21" s="210">
        <v>0.58181818181818179</v>
      </c>
      <c r="E21" s="211">
        <v>0.47526041666666669</v>
      </c>
      <c r="F21" s="196">
        <v>1</v>
      </c>
      <c r="G21" s="118">
        <v>11</v>
      </c>
      <c r="H21" s="118">
        <v>440</v>
      </c>
      <c r="I21" s="210">
        <v>0.78333333333333333</v>
      </c>
      <c r="J21" s="210">
        <v>0.37234042553191488</v>
      </c>
      <c r="K21" s="196">
        <v>1</v>
      </c>
      <c r="L21" s="118">
        <v>11</v>
      </c>
      <c r="M21" s="118">
        <v>440</v>
      </c>
      <c r="N21" s="210">
        <v>0.76515151515151525</v>
      </c>
      <c r="O21" s="211">
        <v>0.39900990099009903</v>
      </c>
      <c r="P21" s="196">
        <v>1</v>
      </c>
      <c r="Q21" s="118">
        <v>10.333333333333334</v>
      </c>
      <c r="R21" s="118">
        <v>413.33333333333331</v>
      </c>
      <c r="S21" s="210">
        <v>0.70725806451612905</v>
      </c>
      <c r="T21" s="211">
        <v>0.45496009122006842</v>
      </c>
      <c r="U21" s="196">
        <v>1</v>
      </c>
    </row>
    <row r="22" spans="1:21" ht="24.95" customHeight="1" x14ac:dyDescent="0.25">
      <c r="A22" s="145" t="s">
        <v>67</v>
      </c>
      <c r="B22" s="118">
        <v>2</v>
      </c>
      <c r="C22" s="185">
        <v>120</v>
      </c>
      <c r="D22" s="210">
        <v>1.3694444444444445</v>
      </c>
      <c r="E22" s="211">
        <v>0.84381338742393508</v>
      </c>
      <c r="F22" s="196">
        <v>0.68356997971602429</v>
      </c>
      <c r="G22" s="118">
        <v>2</v>
      </c>
      <c r="H22" s="118">
        <v>120</v>
      </c>
      <c r="I22" s="210">
        <v>1.3611111111111112</v>
      </c>
      <c r="J22" s="210">
        <v>0.81020408163265301</v>
      </c>
      <c r="K22" s="196">
        <v>0.80612244897959173</v>
      </c>
      <c r="L22" s="118">
        <v>2</v>
      </c>
      <c r="M22" s="118">
        <v>120</v>
      </c>
      <c r="N22" s="210">
        <v>1.2944444444444445</v>
      </c>
      <c r="O22" s="211">
        <v>0.80686695278969955</v>
      </c>
      <c r="P22" s="196">
        <v>0.80257510729613735</v>
      </c>
      <c r="Q22" s="118">
        <v>2</v>
      </c>
      <c r="R22" s="118">
        <v>120</v>
      </c>
      <c r="S22" s="210">
        <v>1.0527777777777778</v>
      </c>
      <c r="T22" s="211">
        <v>0.91556728232189977</v>
      </c>
      <c r="U22" s="196">
        <v>0.94986807387862804</v>
      </c>
    </row>
    <row r="23" spans="1:21" ht="24.95" customHeight="1" x14ac:dyDescent="0.25">
      <c r="A23" s="146" t="s">
        <v>133</v>
      </c>
      <c r="B23" s="118">
        <v>1</v>
      </c>
      <c r="C23" s="185">
        <v>40</v>
      </c>
      <c r="D23" s="210">
        <v>1.0249999999999999</v>
      </c>
      <c r="E23" s="211">
        <v>0.53658536585365857</v>
      </c>
      <c r="F23" s="196">
        <v>0.97560975609756095</v>
      </c>
      <c r="G23" s="118">
        <v>1</v>
      </c>
      <c r="H23" s="118">
        <v>40</v>
      </c>
      <c r="I23" s="210">
        <v>1.0333333333333334</v>
      </c>
      <c r="J23" s="210">
        <v>0.532258064516129</v>
      </c>
      <c r="K23" s="196">
        <v>0.97580645161290325</v>
      </c>
      <c r="L23" s="118">
        <v>1</v>
      </c>
      <c r="M23" s="118">
        <v>40</v>
      </c>
      <c r="N23" s="210">
        <v>1.25</v>
      </c>
      <c r="O23" s="211">
        <v>0.48</v>
      </c>
      <c r="P23" s="196">
        <v>0.80666666666666675</v>
      </c>
      <c r="Q23" s="118">
        <v>1</v>
      </c>
      <c r="R23" s="118">
        <v>40</v>
      </c>
      <c r="S23" s="210">
        <v>1.05</v>
      </c>
      <c r="T23" s="211">
        <v>0.59523809523809523</v>
      </c>
      <c r="U23" s="196">
        <v>0.95238095238095233</v>
      </c>
    </row>
    <row r="24" spans="1:21" ht="24.95" customHeight="1" x14ac:dyDescent="0.25">
      <c r="A24" s="145" t="s">
        <v>74</v>
      </c>
      <c r="B24" s="118">
        <v>6</v>
      </c>
      <c r="C24" s="185">
        <v>240</v>
      </c>
      <c r="D24" s="210">
        <v>0.58333333333333337</v>
      </c>
      <c r="E24" s="211">
        <v>0.74523809523809526</v>
      </c>
      <c r="F24" s="196">
        <v>0.85238095238095235</v>
      </c>
      <c r="G24" s="118">
        <v>6</v>
      </c>
      <c r="H24" s="118">
        <v>240</v>
      </c>
      <c r="I24" s="210">
        <v>0.83611111111111103</v>
      </c>
      <c r="J24" s="210">
        <v>0.96013289036544847</v>
      </c>
      <c r="K24" s="196">
        <v>0.92192691029900331</v>
      </c>
      <c r="L24" s="118">
        <v>6</v>
      </c>
      <c r="M24" s="118">
        <v>240</v>
      </c>
      <c r="N24" s="210">
        <v>0.8027777777777777</v>
      </c>
      <c r="O24" s="211">
        <v>0.86678200692041518</v>
      </c>
      <c r="P24" s="196">
        <v>0.93771626297577859</v>
      </c>
      <c r="Q24" s="118">
        <v>6</v>
      </c>
      <c r="R24" s="118">
        <v>240</v>
      </c>
      <c r="S24" s="210">
        <v>0.81111111111111112</v>
      </c>
      <c r="T24" s="211">
        <v>0.81849315068493156</v>
      </c>
      <c r="U24" s="196">
        <v>1</v>
      </c>
    </row>
    <row r="25" spans="1:21" ht="24.95" customHeight="1" x14ac:dyDescent="0.25">
      <c r="A25" s="145" t="s">
        <v>26</v>
      </c>
      <c r="B25" s="118">
        <v>1</v>
      </c>
      <c r="C25" s="185">
        <v>40</v>
      </c>
      <c r="D25" s="210">
        <v>1.1166666666666667</v>
      </c>
      <c r="E25" s="211">
        <v>0.28358208955223879</v>
      </c>
      <c r="F25" s="196">
        <v>0.67164179104477617</v>
      </c>
      <c r="G25" s="118">
        <v>1</v>
      </c>
      <c r="H25" s="118">
        <v>40</v>
      </c>
      <c r="I25" s="210">
        <v>0.99166666666666659</v>
      </c>
      <c r="J25" s="210">
        <v>0.22689075630252101</v>
      </c>
      <c r="K25" s="196">
        <v>1</v>
      </c>
      <c r="L25" s="118">
        <v>1</v>
      </c>
      <c r="M25" s="118">
        <v>40</v>
      </c>
      <c r="N25" s="210">
        <v>0.99166666666666659</v>
      </c>
      <c r="O25" s="211">
        <v>0.31932773109243695</v>
      </c>
      <c r="P25" s="196">
        <v>1</v>
      </c>
      <c r="Q25" s="118">
        <v>1</v>
      </c>
      <c r="R25" s="118">
        <v>40</v>
      </c>
      <c r="S25" s="210">
        <v>0.91666666666666663</v>
      </c>
      <c r="T25" s="211">
        <v>0.40909090909090912</v>
      </c>
      <c r="U25" s="196">
        <v>1</v>
      </c>
    </row>
    <row r="26" spans="1:21" ht="24.95" customHeight="1" x14ac:dyDescent="0.25">
      <c r="A26" s="146" t="s">
        <v>47</v>
      </c>
      <c r="B26" s="118">
        <v>2</v>
      </c>
      <c r="C26" s="185">
        <v>120</v>
      </c>
      <c r="D26" s="210">
        <v>0.76388888888888895</v>
      </c>
      <c r="E26" s="211">
        <v>1</v>
      </c>
      <c r="F26" s="196">
        <v>1</v>
      </c>
      <c r="G26" s="118">
        <v>2</v>
      </c>
      <c r="H26" s="118">
        <v>120</v>
      </c>
      <c r="I26" s="210">
        <v>0.97777777777777775</v>
      </c>
      <c r="J26" s="210">
        <v>1</v>
      </c>
      <c r="K26" s="196">
        <v>0.99715909090909094</v>
      </c>
      <c r="L26" s="118">
        <v>2</v>
      </c>
      <c r="M26" s="118">
        <v>120</v>
      </c>
      <c r="N26" s="210">
        <v>1</v>
      </c>
      <c r="O26" s="211">
        <v>1</v>
      </c>
      <c r="P26" s="196">
        <v>1</v>
      </c>
      <c r="Q26" s="118">
        <v>2</v>
      </c>
      <c r="R26" s="118">
        <v>120</v>
      </c>
      <c r="S26" s="210">
        <v>1</v>
      </c>
      <c r="T26" s="211">
        <v>1</v>
      </c>
      <c r="U26" s="196">
        <v>1</v>
      </c>
    </row>
    <row r="27" spans="1:21" ht="24.95" customHeight="1" x14ac:dyDescent="0.25">
      <c r="A27" s="148" t="s">
        <v>29</v>
      </c>
      <c r="B27" s="118">
        <v>2</v>
      </c>
      <c r="C27" s="185">
        <v>160</v>
      </c>
      <c r="D27" s="210">
        <v>0.92500000000000004</v>
      </c>
      <c r="E27" s="211">
        <v>1</v>
      </c>
      <c r="F27" s="196">
        <v>0.80855855855855863</v>
      </c>
      <c r="G27" s="118">
        <v>2</v>
      </c>
      <c r="H27" s="118">
        <v>160</v>
      </c>
      <c r="I27" s="210">
        <v>1.01875</v>
      </c>
      <c r="J27" s="210">
        <v>1</v>
      </c>
      <c r="K27" s="196">
        <v>0.703476482617587</v>
      </c>
      <c r="L27" s="118">
        <v>2</v>
      </c>
      <c r="M27" s="118">
        <v>160</v>
      </c>
      <c r="N27" s="210">
        <v>1.0062500000000001</v>
      </c>
      <c r="O27" s="211">
        <v>0.97929606625258803</v>
      </c>
      <c r="P27" s="196">
        <v>0.65631469979296064</v>
      </c>
      <c r="Q27" s="118">
        <v>2</v>
      </c>
      <c r="R27" s="118">
        <v>160</v>
      </c>
      <c r="S27" s="210">
        <v>1.0062500000000001</v>
      </c>
      <c r="T27" s="211">
        <v>1</v>
      </c>
      <c r="U27" s="196">
        <v>0.61697722567287783</v>
      </c>
    </row>
    <row r="28" spans="1:21" ht="24.95" customHeight="1" x14ac:dyDescent="0.25">
      <c r="A28" s="146" t="s">
        <v>136</v>
      </c>
      <c r="B28" s="118">
        <v>1</v>
      </c>
      <c r="C28" s="185">
        <v>80</v>
      </c>
      <c r="D28" s="210">
        <v>1</v>
      </c>
      <c r="E28" s="211">
        <v>1</v>
      </c>
      <c r="F28" s="196">
        <v>0.92083333333333339</v>
      </c>
      <c r="G28" s="118">
        <v>1</v>
      </c>
      <c r="H28" s="118">
        <v>80</v>
      </c>
      <c r="I28" s="210">
        <v>1</v>
      </c>
      <c r="J28" s="210">
        <v>1</v>
      </c>
      <c r="K28" s="196">
        <v>0.66666666666666674</v>
      </c>
      <c r="L28" s="118">
        <v>1</v>
      </c>
      <c r="M28" s="118">
        <v>80</v>
      </c>
      <c r="N28" s="210">
        <v>0.94166666666666665</v>
      </c>
      <c r="O28" s="211">
        <v>1</v>
      </c>
      <c r="P28" s="196">
        <v>0.69469026548672574</v>
      </c>
      <c r="Q28" s="118">
        <v>1</v>
      </c>
      <c r="R28" s="118">
        <v>80</v>
      </c>
      <c r="S28" s="210">
        <v>0.98333333333333339</v>
      </c>
      <c r="T28" s="211">
        <v>1</v>
      </c>
      <c r="U28" s="196">
        <v>0</v>
      </c>
    </row>
    <row r="29" spans="1:21" ht="24.95" customHeight="1" x14ac:dyDescent="0.25">
      <c r="A29" s="145" t="s">
        <v>99</v>
      </c>
      <c r="B29" s="118">
        <v>2</v>
      </c>
      <c r="C29" s="185">
        <v>80</v>
      </c>
      <c r="D29" s="210">
        <v>0.32083333333333336</v>
      </c>
      <c r="E29" s="211">
        <v>0.97402597402597402</v>
      </c>
      <c r="F29" s="196">
        <v>1</v>
      </c>
      <c r="G29" s="118">
        <v>2</v>
      </c>
      <c r="H29" s="118">
        <v>80</v>
      </c>
      <c r="I29" s="210">
        <v>0.48749999999999999</v>
      </c>
      <c r="J29" s="210">
        <v>0.63247863247863245</v>
      </c>
      <c r="K29" s="196">
        <v>1</v>
      </c>
      <c r="L29" s="118">
        <v>2</v>
      </c>
      <c r="M29" s="118">
        <v>80</v>
      </c>
      <c r="N29" s="210">
        <v>0.70416666666666672</v>
      </c>
      <c r="O29" s="211">
        <v>0.51479289940828399</v>
      </c>
      <c r="P29" s="196">
        <v>1</v>
      </c>
      <c r="Q29" s="118">
        <v>2</v>
      </c>
      <c r="R29" s="118">
        <v>80</v>
      </c>
      <c r="S29" s="210">
        <v>0.45416666666666672</v>
      </c>
      <c r="T29" s="211">
        <v>0.66972477064220182</v>
      </c>
      <c r="U29" s="196">
        <v>1</v>
      </c>
    </row>
    <row r="30" spans="1:21" ht="24.95" customHeight="1" x14ac:dyDescent="0.25">
      <c r="A30" s="145" t="s">
        <v>103</v>
      </c>
      <c r="B30" s="118">
        <v>6</v>
      </c>
      <c r="C30" s="185">
        <v>400</v>
      </c>
      <c r="D30" s="210">
        <v>0.86</v>
      </c>
      <c r="E30" s="211">
        <v>0.39728682170542634</v>
      </c>
      <c r="F30" s="196">
        <v>0.99903100775193809</v>
      </c>
      <c r="G30" s="118">
        <v>6</v>
      </c>
      <c r="H30" s="118">
        <v>400</v>
      </c>
      <c r="I30" s="210">
        <v>1.0933333333333333</v>
      </c>
      <c r="J30" s="210">
        <v>0.30030487804878048</v>
      </c>
      <c r="K30" s="196">
        <v>0.78506097560975607</v>
      </c>
      <c r="L30" s="118">
        <v>6</v>
      </c>
      <c r="M30" s="118">
        <v>400</v>
      </c>
      <c r="N30" s="210">
        <v>0.92166666666666675</v>
      </c>
      <c r="O30" s="211">
        <v>0.4294755877034358</v>
      </c>
      <c r="P30" s="196">
        <v>0.98734177215189867</v>
      </c>
      <c r="Q30" s="118">
        <v>5.666666666666667</v>
      </c>
      <c r="R30" s="118">
        <v>386.66666666666669</v>
      </c>
      <c r="S30" s="210">
        <v>0.76120689655172402</v>
      </c>
      <c r="T30" s="211">
        <v>0.43148357870894677</v>
      </c>
      <c r="U30" s="196">
        <v>1</v>
      </c>
    </row>
    <row r="31" spans="1:21" ht="24.95" customHeight="1" x14ac:dyDescent="0.25">
      <c r="A31" s="149" t="s">
        <v>147</v>
      </c>
      <c r="B31" s="118">
        <v>1</v>
      </c>
      <c r="C31" s="185">
        <v>80</v>
      </c>
      <c r="D31" s="210">
        <v>0.9</v>
      </c>
      <c r="E31" s="211">
        <v>0.57407407407407407</v>
      </c>
      <c r="F31" s="196">
        <v>6.4814814814814825E-2</v>
      </c>
      <c r="G31" s="118">
        <v>1</v>
      </c>
      <c r="H31" s="118">
        <v>80</v>
      </c>
      <c r="I31" s="210">
        <v>0.90833333333333344</v>
      </c>
      <c r="J31" s="210">
        <v>0.65596330275229353</v>
      </c>
      <c r="K31" s="196">
        <v>0.24311926605504589</v>
      </c>
      <c r="L31" s="118">
        <v>1</v>
      </c>
      <c r="M31" s="118">
        <v>80</v>
      </c>
      <c r="N31" s="210">
        <v>1</v>
      </c>
      <c r="O31" s="211">
        <v>0.45833333333333331</v>
      </c>
      <c r="P31" s="196">
        <v>0.25</v>
      </c>
      <c r="Q31" s="118">
        <v>1</v>
      </c>
      <c r="R31" s="118">
        <v>80</v>
      </c>
      <c r="S31" s="210">
        <v>1</v>
      </c>
      <c r="T31" s="211">
        <v>0.57499999999999996</v>
      </c>
      <c r="U31" s="196">
        <v>0.26666666666666666</v>
      </c>
    </row>
    <row r="32" spans="1:21" ht="24.95" customHeight="1" x14ac:dyDescent="0.25">
      <c r="A32" s="146" t="s">
        <v>53</v>
      </c>
      <c r="B32" s="118">
        <v>1</v>
      </c>
      <c r="C32" s="185">
        <v>40</v>
      </c>
      <c r="D32" s="210">
        <v>0.52500000000000002</v>
      </c>
      <c r="E32" s="211">
        <v>0</v>
      </c>
      <c r="F32" s="196">
        <v>1</v>
      </c>
      <c r="G32" s="118">
        <v>1</v>
      </c>
      <c r="H32" s="118">
        <v>40</v>
      </c>
      <c r="I32" s="210">
        <v>0</v>
      </c>
      <c r="J32" s="210">
        <v>0</v>
      </c>
      <c r="K32" s="196">
        <v>0</v>
      </c>
      <c r="L32" s="118">
        <v>1</v>
      </c>
      <c r="M32" s="118">
        <v>40</v>
      </c>
      <c r="N32" s="210">
        <v>1.2749999999999999</v>
      </c>
      <c r="O32" s="211">
        <v>0.45751633986928103</v>
      </c>
      <c r="P32" s="196">
        <v>0.78431372549019607</v>
      </c>
      <c r="Q32" s="118">
        <v>0.66666666666666663</v>
      </c>
      <c r="R32" s="118">
        <v>26.666666666666668</v>
      </c>
      <c r="S32" s="210">
        <v>1.125</v>
      </c>
      <c r="T32" s="211">
        <v>0.77777777777777779</v>
      </c>
      <c r="U32" s="196">
        <v>0.88888888888888895</v>
      </c>
    </row>
    <row r="33" spans="1:21" ht="24.95" customHeight="1" x14ac:dyDescent="0.25">
      <c r="A33" s="145" t="s">
        <v>14</v>
      </c>
      <c r="B33" s="118">
        <v>1</v>
      </c>
      <c r="C33" s="185">
        <v>80</v>
      </c>
      <c r="D33" s="210">
        <v>0.89583333333333337</v>
      </c>
      <c r="E33" s="211">
        <v>0.79069767441860461</v>
      </c>
      <c r="F33" s="196">
        <v>1</v>
      </c>
      <c r="G33" s="118">
        <v>1</v>
      </c>
      <c r="H33" s="118">
        <v>80</v>
      </c>
      <c r="I33" s="210">
        <v>0.92083333333333339</v>
      </c>
      <c r="J33" s="210">
        <v>0.76923076923076927</v>
      </c>
      <c r="K33" s="196">
        <v>1</v>
      </c>
      <c r="L33" s="118">
        <v>1</v>
      </c>
      <c r="M33" s="118">
        <v>80</v>
      </c>
      <c r="N33" s="210">
        <v>0.97499999999999998</v>
      </c>
      <c r="O33" s="211">
        <v>0.72222222222222221</v>
      </c>
      <c r="P33" s="196">
        <v>1</v>
      </c>
      <c r="Q33" s="118">
        <v>1</v>
      </c>
      <c r="R33" s="118">
        <v>80</v>
      </c>
      <c r="S33" s="210">
        <v>0.95416666666666661</v>
      </c>
      <c r="T33" s="211">
        <v>0.72489082969432317</v>
      </c>
      <c r="U33" s="196">
        <v>1</v>
      </c>
    </row>
    <row r="34" spans="1:21" ht="24.95" customHeight="1" x14ac:dyDescent="0.25">
      <c r="A34" s="146" t="s">
        <v>114</v>
      </c>
      <c r="B34" s="118">
        <v>1</v>
      </c>
      <c r="C34" s="185">
        <v>80</v>
      </c>
      <c r="D34" s="210">
        <v>1</v>
      </c>
      <c r="E34" s="211">
        <v>0.23333333333333334</v>
      </c>
      <c r="F34" s="196">
        <v>0.77500000000000002</v>
      </c>
      <c r="G34" s="118">
        <v>1</v>
      </c>
      <c r="H34" s="118">
        <v>80</v>
      </c>
      <c r="I34" s="210">
        <v>1</v>
      </c>
      <c r="J34" s="210">
        <v>0.2</v>
      </c>
      <c r="K34" s="196">
        <v>0.81666666666666665</v>
      </c>
      <c r="L34" s="118">
        <v>1</v>
      </c>
      <c r="M34" s="118">
        <v>80</v>
      </c>
      <c r="N34" s="210">
        <v>1</v>
      </c>
      <c r="O34" s="211">
        <v>0.1875</v>
      </c>
      <c r="P34" s="196">
        <v>0.85833333333333339</v>
      </c>
      <c r="Q34" s="118">
        <v>1</v>
      </c>
      <c r="R34" s="118">
        <v>80</v>
      </c>
      <c r="S34" s="210">
        <v>1</v>
      </c>
      <c r="T34" s="211">
        <v>0.16250000000000001</v>
      </c>
      <c r="U34" s="196">
        <v>0.80416666666666659</v>
      </c>
    </row>
    <row r="35" spans="1:21" ht="24.95" customHeight="1" x14ac:dyDescent="0.25">
      <c r="A35" s="145" t="s">
        <v>148</v>
      </c>
      <c r="B35" s="118">
        <v>2</v>
      </c>
      <c r="C35" s="185">
        <v>80</v>
      </c>
      <c r="D35" s="210">
        <v>0.58333333333333326</v>
      </c>
      <c r="E35" s="211">
        <v>0.6785714285714286</v>
      </c>
      <c r="F35" s="196">
        <v>0.9</v>
      </c>
      <c r="G35" s="118">
        <v>2</v>
      </c>
      <c r="H35" s="118">
        <v>80</v>
      </c>
      <c r="I35" s="210">
        <v>0.8125</v>
      </c>
      <c r="J35" s="210">
        <v>0.30769230769230771</v>
      </c>
      <c r="K35" s="196">
        <v>0.8</v>
      </c>
      <c r="L35" s="118">
        <v>2</v>
      </c>
      <c r="M35" s="118">
        <v>80</v>
      </c>
      <c r="N35" s="210">
        <v>0.83750000000000002</v>
      </c>
      <c r="O35" s="211">
        <v>0.32835820895522388</v>
      </c>
      <c r="P35" s="196">
        <v>0.68656716417910446</v>
      </c>
      <c r="Q35" s="118">
        <v>2</v>
      </c>
      <c r="R35" s="118">
        <v>80</v>
      </c>
      <c r="S35" s="210">
        <v>0.82499999999999996</v>
      </c>
      <c r="T35" s="211">
        <v>0.36868686868686867</v>
      </c>
      <c r="U35" s="196">
        <v>0.83333333333333337</v>
      </c>
    </row>
    <row r="36" spans="1:21" ht="24.95" customHeight="1" x14ac:dyDescent="0.25">
      <c r="A36" s="144" t="s">
        <v>232</v>
      </c>
      <c r="B36" s="152">
        <v>87.666666666666657</v>
      </c>
      <c r="C36" s="212">
        <f>SUM(C6:C35)</f>
        <v>4786.666666666667</v>
      </c>
      <c r="D36" s="192">
        <v>0.69700557103064065</v>
      </c>
      <c r="E36" s="192">
        <v>0.5807773004296134</v>
      </c>
      <c r="F36" s="192">
        <v>0.93895494055350182</v>
      </c>
      <c r="G36" s="152">
        <v>88</v>
      </c>
      <c r="H36" s="152">
        <v>4800</v>
      </c>
      <c r="I36" s="192">
        <v>0.84840277777777784</v>
      </c>
      <c r="J36" s="192">
        <v>0.53654743390357695</v>
      </c>
      <c r="K36" s="192">
        <v>0.87173610542686419</v>
      </c>
      <c r="L36" s="212">
        <v>88</v>
      </c>
      <c r="M36" s="212">
        <v>4800</v>
      </c>
      <c r="N36" s="192">
        <v>0.8396527777777778</v>
      </c>
      <c r="O36" s="192">
        <v>0.53213133735836571</v>
      </c>
      <c r="P36" s="192">
        <v>0.88263998015052514</v>
      </c>
      <c r="Q36" s="212">
        <v>85.000000000000014</v>
      </c>
      <c r="R36" s="212">
        <v>4640.0000000000009</v>
      </c>
      <c r="S36" s="192">
        <v>0.80826149425287364</v>
      </c>
      <c r="T36" s="192">
        <v>0.54821793618345038</v>
      </c>
      <c r="U36" s="192">
        <v>0.91636298995644827</v>
      </c>
    </row>
    <row r="37" spans="1:21" x14ac:dyDescent="0.25">
      <c r="A37" s="102" t="s">
        <v>275</v>
      </c>
      <c r="B37" s="28"/>
      <c r="C37" s="29"/>
      <c r="D37" s="1"/>
      <c r="E37" s="1"/>
      <c r="F37" s="1"/>
      <c r="G37" s="1"/>
    </row>
    <row r="38" spans="1:21" x14ac:dyDescent="0.25">
      <c r="A38" s="102" t="s">
        <v>149</v>
      </c>
      <c r="B38" s="328"/>
      <c r="C38" s="328"/>
      <c r="D38" s="328"/>
      <c r="E38" s="328"/>
      <c r="F38" s="328"/>
      <c r="G38" s="186"/>
    </row>
    <row r="39" spans="1:21" x14ac:dyDescent="0.25">
      <c r="A39" s="1" t="s">
        <v>276</v>
      </c>
      <c r="B39" s="1"/>
      <c r="C39" s="1"/>
      <c r="D39" s="1"/>
      <c r="E39" s="1"/>
      <c r="F39" s="1"/>
      <c r="G39" s="1"/>
    </row>
    <row r="40" spans="1:21" x14ac:dyDescent="0.25">
      <c r="B40" s="1"/>
      <c r="C40" s="1"/>
      <c r="D40" s="1"/>
      <c r="E40" s="1"/>
      <c r="F40" s="1"/>
      <c r="G40" s="1"/>
    </row>
    <row r="41" spans="1:21" x14ac:dyDescent="0.25">
      <c r="B41" s="1"/>
      <c r="C41" s="1"/>
      <c r="D41" s="1"/>
      <c r="E41" s="1"/>
      <c r="F41" s="1"/>
      <c r="G41" s="1"/>
    </row>
  </sheetData>
  <mergeCells count="27">
    <mergeCell ref="A1:U1"/>
    <mergeCell ref="L2:P2"/>
    <mergeCell ref="Q2:U2"/>
    <mergeCell ref="Q3:Q5"/>
    <mergeCell ref="R3:R5"/>
    <mergeCell ref="S3:S5"/>
    <mergeCell ref="T3:T5"/>
    <mergeCell ref="U3:U5"/>
    <mergeCell ref="L3:L5"/>
    <mergeCell ref="M3:M5"/>
    <mergeCell ref="N3:N5"/>
    <mergeCell ref="O3:O5"/>
    <mergeCell ref="P3:P5"/>
    <mergeCell ref="J3:J5"/>
    <mergeCell ref="K3:K5"/>
    <mergeCell ref="G2:K2"/>
    <mergeCell ref="A3:A5"/>
    <mergeCell ref="B3:B5"/>
    <mergeCell ref="C3:C5"/>
    <mergeCell ref="D3:D5"/>
    <mergeCell ref="E3:E5"/>
    <mergeCell ref="G3:G5"/>
    <mergeCell ref="H3:H5"/>
    <mergeCell ref="I3:I5"/>
    <mergeCell ref="B38:F38"/>
    <mergeCell ref="B2:F2"/>
    <mergeCell ref="F3:F5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1246-5AF9-439B-B48B-991C22673E35}">
  <dimension ref="A1:Q112"/>
  <sheetViews>
    <sheetView zoomScale="90" zoomScaleNormal="90" workbookViewId="0">
      <selection activeCell="B2" sqref="B2:E2"/>
    </sheetView>
  </sheetViews>
  <sheetFormatPr defaultRowHeight="15" x14ac:dyDescent="0.25"/>
  <cols>
    <col min="1" max="1" width="35.140625" customWidth="1"/>
    <col min="2" max="2" width="13" customWidth="1"/>
    <col min="3" max="3" width="15.5703125" customWidth="1"/>
    <col min="4" max="4" width="12.85546875" customWidth="1"/>
    <col min="5" max="5" width="16.7109375" customWidth="1"/>
    <col min="7" max="7" width="11.7109375" customWidth="1"/>
    <col min="8" max="8" width="12.42578125" customWidth="1"/>
    <col min="9" max="9" width="13.140625" customWidth="1"/>
    <col min="11" max="11" width="12" customWidth="1"/>
    <col min="12" max="12" width="13" customWidth="1"/>
    <col min="13" max="13" width="13.85546875" customWidth="1"/>
    <col min="15" max="15" width="12.140625" customWidth="1"/>
    <col min="16" max="16" width="13.42578125" customWidth="1"/>
    <col min="17" max="17" width="13.7109375" customWidth="1"/>
  </cols>
  <sheetData>
    <row r="1" spans="1:17" ht="27.75" customHeight="1" x14ac:dyDescent="0.25">
      <c r="A1" s="329" t="s">
        <v>278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27.75" customHeight="1" x14ac:dyDescent="0.25">
      <c r="B2" s="246" t="s">
        <v>142</v>
      </c>
      <c r="C2" s="247"/>
      <c r="D2" s="247"/>
      <c r="E2" s="247"/>
      <c r="F2" s="246" t="s">
        <v>143</v>
      </c>
      <c r="G2" s="247"/>
      <c r="H2" s="247"/>
      <c r="I2" s="247"/>
      <c r="J2" s="246" t="s">
        <v>144</v>
      </c>
      <c r="K2" s="247"/>
      <c r="L2" s="247"/>
      <c r="M2" s="247"/>
      <c r="N2" s="248" t="s">
        <v>145</v>
      </c>
      <c r="O2" s="248"/>
      <c r="P2" s="248"/>
      <c r="Q2" s="248"/>
    </row>
    <row r="3" spans="1:17" ht="24.95" customHeight="1" x14ac:dyDescent="0.25">
      <c r="A3" s="253" t="s">
        <v>1</v>
      </c>
      <c r="B3" s="254" t="s">
        <v>194</v>
      </c>
      <c r="C3" s="254" t="s">
        <v>277</v>
      </c>
      <c r="D3" s="254" t="s">
        <v>272</v>
      </c>
      <c r="E3" s="254" t="s">
        <v>273</v>
      </c>
      <c r="F3" s="254" t="s">
        <v>194</v>
      </c>
      <c r="G3" s="254" t="s">
        <v>277</v>
      </c>
      <c r="H3" s="254" t="s">
        <v>272</v>
      </c>
      <c r="I3" s="254" t="s">
        <v>273</v>
      </c>
      <c r="J3" s="254" t="s">
        <v>194</v>
      </c>
      <c r="K3" s="254" t="s">
        <v>277</v>
      </c>
      <c r="L3" s="254" t="s">
        <v>272</v>
      </c>
      <c r="M3" s="254" t="s">
        <v>273</v>
      </c>
      <c r="N3" s="254" t="s">
        <v>194</v>
      </c>
      <c r="O3" s="254" t="s">
        <v>277</v>
      </c>
      <c r="P3" s="254" t="s">
        <v>272</v>
      </c>
      <c r="Q3" s="254" t="s">
        <v>273</v>
      </c>
    </row>
    <row r="4" spans="1:17" ht="24.95" customHeight="1" x14ac:dyDescent="0.25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</row>
    <row r="5" spans="1:17" ht="50.25" customHeight="1" x14ac:dyDescent="0.25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</row>
    <row r="6" spans="1:17" ht="24.95" customHeight="1" x14ac:dyDescent="0.25">
      <c r="A6" s="146" t="s">
        <v>34</v>
      </c>
      <c r="B6" s="118">
        <v>2</v>
      </c>
      <c r="C6" s="185">
        <v>210</v>
      </c>
      <c r="D6" s="196">
        <v>1.8126984126984127</v>
      </c>
      <c r="E6" s="196">
        <v>7.1803852889667244E-2</v>
      </c>
      <c r="F6" s="118">
        <v>2</v>
      </c>
      <c r="G6" s="118">
        <v>210</v>
      </c>
      <c r="H6" s="196">
        <v>1.8476190476190477</v>
      </c>
      <c r="I6" s="196">
        <v>6.2714776632302405E-2</v>
      </c>
      <c r="J6" s="118">
        <v>2</v>
      </c>
      <c r="K6" s="118">
        <v>210</v>
      </c>
      <c r="L6" s="196">
        <v>1.8714285714285714</v>
      </c>
      <c r="M6" s="196">
        <v>6.7854113655640369E-2</v>
      </c>
      <c r="N6" s="118">
        <v>2</v>
      </c>
      <c r="O6" s="118">
        <v>210</v>
      </c>
      <c r="P6" s="196">
        <v>1.7968253968253967</v>
      </c>
      <c r="Q6" s="196">
        <v>4.9469964664310952E-2</v>
      </c>
    </row>
    <row r="7" spans="1:17" ht="24.95" customHeight="1" x14ac:dyDescent="0.25">
      <c r="A7" s="146" t="s">
        <v>119</v>
      </c>
      <c r="B7" s="118">
        <v>6</v>
      </c>
      <c r="C7" s="185">
        <v>480</v>
      </c>
      <c r="D7" s="196">
        <v>2.1569444444444441</v>
      </c>
      <c r="E7" s="196">
        <v>0.11912427559562137</v>
      </c>
      <c r="F7" s="118">
        <v>6</v>
      </c>
      <c r="G7" s="118">
        <v>480</v>
      </c>
      <c r="H7" s="196">
        <v>2.6152777777777776</v>
      </c>
      <c r="I7" s="196">
        <v>9.745087626128518E-2</v>
      </c>
      <c r="J7" s="118">
        <v>6</v>
      </c>
      <c r="K7" s="118">
        <v>480</v>
      </c>
      <c r="L7" s="196">
        <v>3.5944444444444441</v>
      </c>
      <c r="M7" s="196">
        <v>7.2063369397217927E-2</v>
      </c>
      <c r="N7" s="118">
        <v>6</v>
      </c>
      <c r="O7" s="118">
        <v>480</v>
      </c>
      <c r="P7" s="196">
        <v>4.2930555555555552</v>
      </c>
      <c r="Q7" s="196">
        <v>6.0659980588806214E-2</v>
      </c>
    </row>
    <row r="8" spans="1:17" ht="24.95" customHeight="1" x14ac:dyDescent="0.25">
      <c r="A8" s="146" t="s">
        <v>123</v>
      </c>
      <c r="B8" s="118">
        <v>3</v>
      </c>
      <c r="C8" s="185">
        <v>240</v>
      </c>
      <c r="D8" s="196">
        <v>3.1138888888888889</v>
      </c>
      <c r="E8" s="196">
        <v>7.6271186440677971E-2</v>
      </c>
      <c r="F8" s="118">
        <v>3</v>
      </c>
      <c r="G8" s="118">
        <v>240</v>
      </c>
      <c r="H8" s="196">
        <v>3.1930555555555555</v>
      </c>
      <c r="I8" s="196">
        <v>7.43801652892562E-2</v>
      </c>
      <c r="J8" s="118">
        <v>3</v>
      </c>
      <c r="K8" s="118">
        <v>240</v>
      </c>
      <c r="L8" s="196">
        <v>3.2708333333333335</v>
      </c>
      <c r="M8" s="196">
        <v>7.5159235668789806E-2</v>
      </c>
      <c r="N8" s="118">
        <v>3</v>
      </c>
      <c r="O8" s="118">
        <v>240</v>
      </c>
      <c r="P8" s="196">
        <v>3.3458333333333332</v>
      </c>
      <c r="Q8" s="196">
        <v>6.351183063511831E-2</v>
      </c>
    </row>
    <row r="9" spans="1:17" ht="24.95" customHeight="1" x14ac:dyDescent="0.25">
      <c r="A9" s="145" t="s">
        <v>19</v>
      </c>
      <c r="B9" s="118">
        <v>3</v>
      </c>
      <c r="C9" s="185">
        <v>180</v>
      </c>
      <c r="D9" s="196">
        <v>1.2296296296296296</v>
      </c>
      <c r="E9" s="196">
        <v>0.16716867469879518</v>
      </c>
      <c r="F9" s="118">
        <v>3</v>
      </c>
      <c r="G9" s="118">
        <v>180</v>
      </c>
      <c r="H9" s="196">
        <v>1.7870370370370372</v>
      </c>
      <c r="I9" s="196">
        <v>0.12331606217616581</v>
      </c>
      <c r="J9" s="118">
        <v>3</v>
      </c>
      <c r="K9" s="118">
        <v>180</v>
      </c>
      <c r="L9" s="196">
        <v>1.7388888888888889</v>
      </c>
      <c r="M9" s="196">
        <v>0.13951011714589989</v>
      </c>
      <c r="N9" s="118">
        <v>3</v>
      </c>
      <c r="O9" s="118">
        <v>180</v>
      </c>
      <c r="P9" s="196">
        <v>2.1425925925925928</v>
      </c>
      <c r="Q9" s="196">
        <v>0.12100259291270528</v>
      </c>
    </row>
    <row r="10" spans="1:17" ht="24.95" customHeight="1" x14ac:dyDescent="0.25">
      <c r="A10" s="146" t="s">
        <v>127</v>
      </c>
      <c r="B10" s="118">
        <v>6</v>
      </c>
      <c r="C10" s="185">
        <v>600</v>
      </c>
      <c r="D10" s="196">
        <v>1.6261111111111111</v>
      </c>
      <c r="E10" s="196">
        <v>0.10522719508028698</v>
      </c>
      <c r="F10" s="118">
        <v>6</v>
      </c>
      <c r="G10" s="118">
        <v>600</v>
      </c>
      <c r="H10" s="196">
        <v>1.9244444444444446</v>
      </c>
      <c r="I10" s="196">
        <v>0.10969976905311778</v>
      </c>
      <c r="J10" s="118">
        <v>6</v>
      </c>
      <c r="K10" s="118">
        <v>600</v>
      </c>
      <c r="L10" s="196">
        <v>1.8111111111111113</v>
      </c>
      <c r="M10" s="196">
        <v>0.10582822085889571</v>
      </c>
      <c r="N10" s="118">
        <v>5.333333333333333</v>
      </c>
      <c r="O10" s="118">
        <v>520</v>
      </c>
      <c r="P10" s="196">
        <v>2.0339743589743593</v>
      </c>
      <c r="Q10" s="196">
        <v>9.1396155058304437E-2</v>
      </c>
    </row>
    <row r="11" spans="1:17" ht="24.95" customHeight="1" x14ac:dyDescent="0.25">
      <c r="A11" s="149" t="s">
        <v>83</v>
      </c>
      <c r="B11" s="118">
        <v>2</v>
      </c>
      <c r="C11" s="185">
        <v>180</v>
      </c>
      <c r="D11" s="196">
        <v>1.8222222222222222</v>
      </c>
      <c r="E11" s="196">
        <v>3.4552845528455285E-2</v>
      </c>
      <c r="F11" s="118">
        <v>2</v>
      </c>
      <c r="G11" s="118">
        <v>180</v>
      </c>
      <c r="H11" s="196">
        <v>1.3888888888888888</v>
      </c>
      <c r="I11" s="196">
        <v>5.1999999999999998E-2</v>
      </c>
      <c r="J11" s="118">
        <v>2</v>
      </c>
      <c r="K11" s="118">
        <v>180</v>
      </c>
      <c r="L11" s="196">
        <v>2.2296296296296294</v>
      </c>
      <c r="M11" s="196">
        <v>5.8139534883720929E-2</v>
      </c>
      <c r="N11" s="118">
        <v>1.6666666666666667</v>
      </c>
      <c r="O11" s="118">
        <v>140</v>
      </c>
      <c r="P11" s="196">
        <v>1.1833333333333333</v>
      </c>
      <c r="Q11" s="196">
        <v>7.6458752515090544E-2</v>
      </c>
    </row>
    <row r="12" spans="1:17" ht="24.95" customHeight="1" x14ac:dyDescent="0.25">
      <c r="A12" s="145" t="s">
        <v>85</v>
      </c>
      <c r="B12" s="118">
        <v>5</v>
      </c>
      <c r="C12" s="185">
        <v>420</v>
      </c>
      <c r="D12" s="196">
        <v>2.31984126984127</v>
      </c>
      <c r="E12" s="196">
        <v>8.8949709202873761E-2</v>
      </c>
      <c r="F12" s="118">
        <v>5</v>
      </c>
      <c r="G12" s="118">
        <v>420</v>
      </c>
      <c r="H12" s="196">
        <v>3.0015873015873016</v>
      </c>
      <c r="I12" s="196">
        <v>6.9275515600211529E-2</v>
      </c>
      <c r="J12" s="118">
        <v>5</v>
      </c>
      <c r="K12" s="118">
        <v>420</v>
      </c>
      <c r="L12" s="196">
        <v>3.3666666666666667</v>
      </c>
      <c r="M12" s="196">
        <v>6.341348420556342E-2</v>
      </c>
      <c r="N12" s="118">
        <v>5</v>
      </c>
      <c r="O12" s="118">
        <v>420</v>
      </c>
      <c r="P12" s="196">
        <v>3.8698412698412699</v>
      </c>
      <c r="Q12" s="196">
        <v>5.3527481542247742E-2</v>
      </c>
    </row>
    <row r="13" spans="1:17" ht="24.95" customHeight="1" x14ac:dyDescent="0.25">
      <c r="A13" s="145" t="s">
        <v>23</v>
      </c>
      <c r="B13" s="118">
        <v>1</v>
      </c>
      <c r="C13" s="185">
        <v>120</v>
      </c>
      <c r="D13" s="196">
        <v>1.65</v>
      </c>
      <c r="E13" s="196">
        <v>0.10437710437710437</v>
      </c>
      <c r="F13" s="118">
        <v>1</v>
      </c>
      <c r="G13" s="118">
        <v>120</v>
      </c>
      <c r="H13" s="196">
        <v>1.5666666666666667</v>
      </c>
      <c r="I13" s="196">
        <v>7.9787234042553196E-2</v>
      </c>
      <c r="J13" s="118">
        <v>1</v>
      </c>
      <c r="K13" s="118">
        <v>120</v>
      </c>
      <c r="L13" s="196">
        <v>1.6138888888888887</v>
      </c>
      <c r="M13" s="196">
        <v>6.8846815834767636E-2</v>
      </c>
      <c r="N13" s="118">
        <v>1</v>
      </c>
      <c r="O13" s="118">
        <v>120</v>
      </c>
      <c r="P13" s="196">
        <v>1.6916666666666667</v>
      </c>
      <c r="Q13" s="196">
        <v>5.7471264367816091E-2</v>
      </c>
    </row>
    <row r="14" spans="1:17" ht="24.95" customHeight="1" x14ac:dyDescent="0.25">
      <c r="A14" s="145" t="s">
        <v>88</v>
      </c>
      <c r="B14" s="118">
        <v>1</v>
      </c>
      <c r="C14" s="185">
        <v>120</v>
      </c>
      <c r="D14" s="196">
        <v>0.64722222222222225</v>
      </c>
      <c r="E14" s="196">
        <v>0.24034334763948498</v>
      </c>
      <c r="F14" s="118">
        <v>1</v>
      </c>
      <c r="G14" s="118">
        <v>120</v>
      </c>
      <c r="H14" s="196">
        <v>1.0194444444444444</v>
      </c>
      <c r="I14" s="196">
        <v>0.14168937329700274</v>
      </c>
      <c r="J14" s="118">
        <v>1</v>
      </c>
      <c r="K14" s="118">
        <v>120</v>
      </c>
      <c r="L14" s="196">
        <v>1.5138888888888888</v>
      </c>
      <c r="M14" s="196">
        <v>9.7247706422018354E-2</v>
      </c>
      <c r="N14" s="118">
        <v>1</v>
      </c>
      <c r="O14" s="118">
        <v>120</v>
      </c>
      <c r="P14" s="196">
        <v>1.0666666666666667</v>
      </c>
      <c r="Q14" s="196">
        <v>0.140625</v>
      </c>
    </row>
    <row r="15" spans="1:17" ht="24.95" customHeight="1" x14ac:dyDescent="0.25">
      <c r="A15" s="146" t="s">
        <v>108</v>
      </c>
      <c r="B15" s="118">
        <v>1</v>
      </c>
      <c r="C15" s="185">
        <v>60</v>
      </c>
      <c r="D15" s="196">
        <v>1.1666666666666667</v>
      </c>
      <c r="E15" s="196">
        <v>3.8095238095238099E-2</v>
      </c>
      <c r="F15" s="118">
        <v>1</v>
      </c>
      <c r="G15" s="118">
        <v>60</v>
      </c>
      <c r="H15" s="196">
        <v>1.1777777777777778</v>
      </c>
      <c r="I15" s="196">
        <v>5.6603773584905662E-2</v>
      </c>
      <c r="J15" s="118">
        <v>1</v>
      </c>
      <c r="K15" s="118">
        <v>60</v>
      </c>
      <c r="L15" s="196">
        <v>1.2888888888888888</v>
      </c>
      <c r="M15" s="196">
        <v>3.4482758620689655E-2</v>
      </c>
      <c r="N15" s="118">
        <v>1</v>
      </c>
      <c r="O15" s="118">
        <v>60</v>
      </c>
      <c r="P15" s="196">
        <v>1.3</v>
      </c>
      <c r="Q15" s="196">
        <v>1.282051282051282E-2</v>
      </c>
    </row>
    <row r="16" spans="1:17" ht="24.95" customHeight="1" x14ac:dyDescent="0.25">
      <c r="A16" s="145" t="s">
        <v>91</v>
      </c>
      <c r="B16" s="118">
        <v>3.6666666666666665</v>
      </c>
      <c r="C16" s="185">
        <v>280</v>
      </c>
      <c r="D16" s="196">
        <v>0.96071428571428574</v>
      </c>
      <c r="E16" s="196">
        <v>0.1697645600991326</v>
      </c>
      <c r="F16" s="118">
        <v>4</v>
      </c>
      <c r="G16" s="118">
        <v>300</v>
      </c>
      <c r="H16" s="196">
        <v>1.6677777777777778</v>
      </c>
      <c r="I16" s="196">
        <v>0.12325116588940706</v>
      </c>
      <c r="J16" s="118">
        <v>4</v>
      </c>
      <c r="K16" s="118">
        <v>300</v>
      </c>
      <c r="L16" s="196">
        <v>3.9266666666666667</v>
      </c>
      <c r="M16" s="196">
        <v>6.1686474250141482E-2</v>
      </c>
      <c r="N16" s="118">
        <v>4</v>
      </c>
      <c r="O16" s="118">
        <v>300</v>
      </c>
      <c r="P16" s="196">
        <v>1.5422222222222224</v>
      </c>
      <c r="Q16" s="196">
        <v>0.13832853025936601</v>
      </c>
    </row>
    <row r="17" spans="1:17" ht="24.95" customHeight="1" x14ac:dyDescent="0.25">
      <c r="A17" s="145" t="s">
        <v>94</v>
      </c>
      <c r="B17" s="118">
        <v>8</v>
      </c>
      <c r="C17" s="185">
        <v>570</v>
      </c>
      <c r="D17" s="196">
        <v>1.0976608187134502</v>
      </c>
      <c r="E17" s="196">
        <v>0.18060735215769846</v>
      </c>
      <c r="F17" s="118">
        <v>8</v>
      </c>
      <c r="G17" s="118">
        <v>570</v>
      </c>
      <c r="H17" s="196">
        <v>1.6690058479532164</v>
      </c>
      <c r="I17" s="196">
        <v>0.13700070077084794</v>
      </c>
      <c r="J17" s="118">
        <v>8</v>
      </c>
      <c r="K17" s="118">
        <v>570</v>
      </c>
      <c r="L17" s="196">
        <v>1.7625730994152047</v>
      </c>
      <c r="M17" s="196">
        <v>0.12740544127405443</v>
      </c>
      <c r="N17" s="118">
        <v>7.333333333333333</v>
      </c>
      <c r="O17" s="118">
        <v>530</v>
      </c>
      <c r="P17" s="196">
        <v>1.2377358490566037</v>
      </c>
      <c r="Q17" s="196">
        <v>0.18597560975609756</v>
      </c>
    </row>
    <row r="18" spans="1:17" ht="24.95" customHeight="1" x14ac:dyDescent="0.25">
      <c r="A18" s="147" t="s">
        <v>112</v>
      </c>
      <c r="B18" s="118">
        <v>1</v>
      </c>
      <c r="C18" s="185">
        <v>120</v>
      </c>
      <c r="D18" s="196">
        <v>2.6</v>
      </c>
      <c r="E18" s="196">
        <v>3.0982905982905984E-2</v>
      </c>
      <c r="F18" s="118">
        <v>1</v>
      </c>
      <c r="G18" s="118">
        <v>120</v>
      </c>
      <c r="H18" s="196">
        <v>2.6</v>
      </c>
      <c r="I18" s="196">
        <v>4.807692307692308E-2</v>
      </c>
      <c r="J18" s="118">
        <v>1</v>
      </c>
      <c r="K18" s="118">
        <v>120</v>
      </c>
      <c r="L18" s="196">
        <v>2.5805555555555557</v>
      </c>
      <c r="M18" s="196">
        <v>4.843918191603875E-2</v>
      </c>
      <c r="N18" s="118">
        <v>1</v>
      </c>
      <c r="O18" s="118">
        <v>120</v>
      </c>
      <c r="P18" s="196">
        <v>2.536111111111111</v>
      </c>
      <c r="Q18" s="196">
        <v>6.2431544359255201E-2</v>
      </c>
    </row>
    <row r="19" spans="1:17" ht="24.95" customHeight="1" x14ac:dyDescent="0.25">
      <c r="A19" s="150" t="s">
        <v>7</v>
      </c>
      <c r="B19" s="118">
        <v>3</v>
      </c>
      <c r="C19" s="185">
        <v>360</v>
      </c>
      <c r="D19" s="196">
        <v>1.9185185185185185</v>
      </c>
      <c r="E19" s="196">
        <v>9.3146718146718141E-2</v>
      </c>
      <c r="F19" s="118">
        <v>3</v>
      </c>
      <c r="G19" s="118">
        <v>360</v>
      </c>
      <c r="H19" s="196">
        <v>2.3379629629629628</v>
      </c>
      <c r="I19" s="196">
        <v>7.6435643564356434E-2</v>
      </c>
      <c r="J19" s="118">
        <v>3</v>
      </c>
      <c r="K19" s="118">
        <v>360</v>
      </c>
      <c r="L19" s="196">
        <v>2.0638888888888891</v>
      </c>
      <c r="M19" s="196">
        <v>6.8640646029609689E-2</v>
      </c>
      <c r="N19" s="118">
        <v>3</v>
      </c>
      <c r="O19" s="118">
        <v>360</v>
      </c>
      <c r="P19" s="196">
        <v>2.0666666666666669</v>
      </c>
      <c r="Q19" s="196">
        <v>7.1236559139784952E-2</v>
      </c>
    </row>
    <row r="20" spans="1:17" ht="24.95" customHeight="1" x14ac:dyDescent="0.25">
      <c r="A20" s="151" t="s">
        <v>40</v>
      </c>
      <c r="B20" s="118">
        <v>2</v>
      </c>
      <c r="C20" s="185">
        <v>180</v>
      </c>
      <c r="D20" s="196">
        <v>1.1759259259259258</v>
      </c>
      <c r="E20" s="196">
        <v>2.3622047244094488E-2</v>
      </c>
      <c r="F20" s="118">
        <v>2</v>
      </c>
      <c r="G20" s="118">
        <v>180</v>
      </c>
      <c r="H20" s="196">
        <v>1.4759259259259261</v>
      </c>
      <c r="I20" s="196">
        <v>7.1518193224592227E-2</v>
      </c>
      <c r="J20" s="118">
        <v>2</v>
      </c>
      <c r="K20" s="118">
        <v>180</v>
      </c>
      <c r="L20" s="196">
        <v>1.5722222222222222</v>
      </c>
      <c r="M20" s="196">
        <v>9.5406360424028266E-2</v>
      </c>
      <c r="N20" s="118">
        <v>2</v>
      </c>
      <c r="O20" s="118">
        <v>180</v>
      </c>
      <c r="P20" s="196">
        <v>1.464814814814815</v>
      </c>
      <c r="Q20" s="196">
        <v>6.0682680151706699E-2</v>
      </c>
    </row>
    <row r="21" spans="1:17" ht="24.95" customHeight="1" x14ac:dyDescent="0.25">
      <c r="A21" s="146" t="s">
        <v>130</v>
      </c>
      <c r="B21" s="118">
        <v>11</v>
      </c>
      <c r="C21" s="185">
        <v>690</v>
      </c>
      <c r="D21" s="196">
        <v>1.6661835748792271</v>
      </c>
      <c r="E21" s="196">
        <v>0.17019425920556683</v>
      </c>
      <c r="F21" s="118">
        <v>11</v>
      </c>
      <c r="G21" s="118">
        <v>690</v>
      </c>
      <c r="H21" s="196">
        <v>1.7985507246376811</v>
      </c>
      <c r="I21" s="196">
        <v>0.19178082191780821</v>
      </c>
      <c r="J21" s="118">
        <v>11</v>
      </c>
      <c r="K21" s="118">
        <v>690</v>
      </c>
      <c r="L21" s="196">
        <v>1.6594202898550725</v>
      </c>
      <c r="M21" s="196">
        <v>0.19155749636098982</v>
      </c>
      <c r="N21" s="118">
        <v>10.333333333333334</v>
      </c>
      <c r="O21" s="118">
        <v>650</v>
      </c>
      <c r="P21" s="196">
        <v>1.5266666666666666</v>
      </c>
      <c r="Q21" s="196">
        <v>0.23916694659052737</v>
      </c>
    </row>
    <row r="22" spans="1:17" ht="24.95" customHeight="1" x14ac:dyDescent="0.25">
      <c r="A22" s="145" t="s">
        <v>67</v>
      </c>
      <c r="B22" s="118">
        <v>2</v>
      </c>
      <c r="C22" s="185">
        <v>210</v>
      </c>
      <c r="D22" s="196">
        <v>1.588888888888889</v>
      </c>
      <c r="E22" s="196">
        <v>3.3966033966033968E-2</v>
      </c>
      <c r="F22" s="118">
        <v>2</v>
      </c>
      <c r="G22" s="118">
        <v>210</v>
      </c>
      <c r="H22" s="196">
        <v>1.6095238095238096</v>
      </c>
      <c r="I22" s="196">
        <v>4.4378698224852069E-2</v>
      </c>
      <c r="J22" s="118">
        <v>2</v>
      </c>
      <c r="K22" s="118">
        <v>210</v>
      </c>
      <c r="L22" s="196">
        <v>1.592063492063492</v>
      </c>
      <c r="M22" s="196">
        <v>4.3868394815553338E-2</v>
      </c>
      <c r="N22" s="118">
        <v>2</v>
      </c>
      <c r="O22" s="118">
        <v>210</v>
      </c>
      <c r="P22" s="196">
        <v>1.2333333333333334</v>
      </c>
      <c r="Q22" s="196">
        <v>6.8211068211068204E-2</v>
      </c>
    </row>
    <row r="23" spans="1:17" ht="24.95" customHeight="1" x14ac:dyDescent="0.25">
      <c r="A23" s="146" t="s">
        <v>133</v>
      </c>
      <c r="B23" s="118">
        <v>1</v>
      </c>
      <c r="C23" s="185">
        <v>60</v>
      </c>
      <c r="D23" s="196">
        <v>3.1555555555555559</v>
      </c>
      <c r="E23" s="196">
        <v>0.27992957746478875</v>
      </c>
      <c r="F23" s="118">
        <v>1</v>
      </c>
      <c r="G23" s="118">
        <v>60</v>
      </c>
      <c r="H23" s="196">
        <v>4.3777777777777782</v>
      </c>
      <c r="I23" s="196">
        <v>0.20177664974619289</v>
      </c>
      <c r="J23" s="118">
        <v>1</v>
      </c>
      <c r="K23" s="118">
        <v>60</v>
      </c>
      <c r="L23" s="196">
        <v>6.2333333333333334</v>
      </c>
      <c r="M23" s="196">
        <v>0.14349376114081996</v>
      </c>
      <c r="N23" s="118">
        <v>1</v>
      </c>
      <c r="O23" s="118">
        <v>60</v>
      </c>
      <c r="P23" s="196">
        <v>7.2222222222222223</v>
      </c>
      <c r="Q23" s="196">
        <v>0.12461538461538461</v>
      </c>
    </row>
    <row r="24" spans="1:17" ht="24.95" customHeight="1" x14ac:dyDescent="0.25">
      <c r="A24" s="145" t="s">
        <v>74</v>
      </c>
      <c r="B24" s="118">
        <v>6</v>
      </c>
      <c r="C24" s="185">
        <v>390</v>
      </c>
      <c r="D24" s="196">
        <v>0.86495726495726488</v>
      </c>
      <c r="E24" s="196">
        <v>0.1225296442687747</v>
      </c>
      <c r="F24" s="118">
        <v>6</v>
      </c>
      <c r="G24" s="118">
        <v>390</v>
      </c>
      <c r="H24" s="196">
        <v>1.2290598290598289</v>
      </c>
      <c r="I24" s="196">
        <v>0.15090403337969402</v>
      </c>
      <c r="J24" s="118">
        <v>6</v>
      </c>
      <c r="K24" s="118">
        <v>390</v>
      </c>
      <c r="L24" s="196">
        <v>2.6102564102564103</v>
      </c>
      <c r="M24" s="196">
        <v>6.3523248199083171E-2</v>
      </c>
      <c r="N24" s="118">
        <v>6</v>
      </c>
      <c r="O24" s="118">
        <v>390</v>
      </c>
      <c r="P24" s="196">
        <v>4.494017094017094</v>
      </c>
      <c r="Q24" s="196">
        <v>6.4092810954735638E-2</v>
      </c>
    </row>
    <row r="25" spans="1:17" ht="24.95" customHeight="1" x14ac:dyDescent="0.25">
      <c r="A25" s="145" t="s">
        <v>26</v>
      </c>
      <c r="B25" s="118">
        <v>1</v>
      </c>
      <c r="C25" s="185">
        <v>60</v>
      </c>
      <c r="D25" s="196">
        <v>3.2833333333333332</v>
      </c>
      <c r="E25" s="196">
        <v>6.9373942470389166E-2</v>
      </c>
      <c r="F25" s="118">
        <v>1</v>
      </c>
      <c r="G25" s="118">
        <v>60</v>
      </c>
      <c r="H25" s="196">
        <v>3.5</v>
      </c>
      <c r="I25" s="196">
        <v>4.9206349206349205E-2</v>
      </c>
      <c r="J25" s="118">
        <v>1</v>
      </c>
      <c r="K25" s="118">
        <v>60</v>
      </c>
      <c r="L25" s="196">
        <v>3.3555555555555556</v>
      </c>
      <c r="M25" s="196">
        <v>6.1258278145695365E-2</v>
      </c>
      <c r="N25" s="118">
        <v>1</v>
      </c>
      <c r="O25" s="118">
        <v>60</v>
      </c>
      <c r="P25" s="196">
        <v>3.3833333333333333</v>
      </c>
      <c r="Q25" s="196">
        <v>6.4039408866995079E-2</v>
      </c>
    </row>
    <row r="26" spans="1:17" ht="24.95" customHeight="1" x14ac:dyDescent="0.25">
      <c r="A26" s="146" t="s">
        <v>47</v>
      </c>
      <c r="B26" s="118">
        <v>2</v>
      </c>
      <c r="C26" s="185">
        <v>210</v>
      </c>
      <c r="D26" s="196">
        <v>1.2444444444444445</v>
      </c>
      <c r="E26" s="196">
        <v>4.5918367346938778E-2</v>
      </c>
      <c r="F26" s="118">
        <v>2</v>
      </c>
      <c r="G26" s="118">
        <v>210</v>
      </c>
      <c r="H26" s="196">
        <v>1.2492063492063492</v>
      </c>
      <c r="I26" s="196">
        <v>6.480304955527319E-2</v>
      </c>
      <c r="J26" s="118">
        <v>2</v>
      </c>
      <c r="K26" s="118">
        <v>210</v>
      </c>
      <c r="L26" s="196">
        <v>1.2619047619047619</v>
      </c>
      <c r="M26" s="196">
        <v>6.4150943396226415E-2</v>
      </c>
      <c r="N26" s="118">
        <v>2</v>
      </c>
      <c r="O26" s="118">
        <v>210</v>
      </c>
      <c r="P26" s="196">
        <v>1.2936507936507937</v>
      </c>
      <c r="Q26" s="196">
        <v>6.2576687116564417E-2</v>
      </c>
    </row>
    <row r="27" spans="1:17" ht="24.95" customHeight="1" x14ac:dyDescent="0.25">
      <c r="A27" s="148" t="s">
        <v>29</v>
      </c>
      <c r="B27" s="118">
        <v>2</v>
      </c>
      <c r="C27" s="185">
        <v>240</v>
      </c>
      <c r="D27" s="196">
        <v>1.3444444444444446</v>
      </c>
      <c r="E27" s="196">
        <v>0.14566115702479338</v>
      </c>
      <c r="F27" s="118">
        <v>2</v>
      </c>
      <c r="G27" s="118">
        <v>240</v>
      </c>
      <c r="H27" s="196">
        <v>1.375</v>
      </c>
      <c r="I27" s="196">
        <v>0.14141414141414141</v>
      </c>
      <c r="J27" s="118">
        <v>2</v>
      </c>
      <c r="K27" s="118">
        <v>240</v>
      </c>
      <c r="L27" s="196">
        <v>1.3263888888888888</v>
      </c>
      <c r="M27" s="196">
        <v>0.14450261780104712</v>
      </c>
      <c r="N27" s="118">
        <v>2</v>
      </c>
      <c r="O27" s="118">
        <v>240</v>
      </c>
      <c r="P27" s="196">
        <v>1.375</v>
      </c>
      <c r="Q27" s="196">
        <v>0.1393939393939394</v>
      </c>
    </row>
    <row r="28" spans="1:17" ht="24.95" customHeight="1" x14ac:dyDescent="0.25">
      <c r="A28" s="146" t="s">
        <v>136</v>
      </c>
      <c r="B28" s="118">
        <v>1</v>
      </c>
      <c r="C28" s="185">
        <v>120</v>
      </c>
      <c r="D28" s="196">
        <v>2.4972222222222222</v>
      </c>
      <c r="E28" s="196">
        <v>6.5628476084538381E-2</v>
      </c>
      <c r="F28" s="118">
        <v>1</v>
      </c>
      <c r="G28" s="118">
        <v>120</v>
      </c>
      <c r="H28" s="196">
        <v>2.4055555555555559</v>
      </c>
      <c r="I28" s="196">
        <v>6.5819861431870672E-2</v>
      </c>
      <c r="J28" s="118">
        <v>1</v>
      </c>
      <c r="K28" s="118">
        <v>120</v>
      </c>
      <c r="L28" s="196">
        <v>2.2805555555555559</v>
      </c>
      <c r="M28" s="196">
        <v>6.9427527405602929E-2</v>
      </c>
      <c r="N28" s="118">
        <v>1</v>
      </c>
      <c r="O28" s="118">
        <v>120</v>
      </c>
      <c r="P28" s="196">
        <v>2.0805555555555553</v>
      </c>
      <c r="Q28" s="196">
        <v>5.0734312416555405E-2</v>
      </c>
    </row>
    <row r="29" spans="1:17" ht="24.95" customHeight="1" x14ac:dyDescent="0.25">
      <c r="A29" s="145" t="s">
        <v>99</v>
      </c>
      <c r="B29" s="118">
        <v>2</v>
      </c>
      <c r="C29" s="185">
        <v>120</v>
      </c>
      <c r="D29" s="196">
        <v>1.65</v>
      </c>
      <c r="E29" s="196">
        <v>0.19191919191919191</v>
      </c>
      <c r="F29" s="118">
        <v>2</v>
      </c>
      <c r="G29" s="118">
        <v>120</v>
      </c>
      <c r="H29" s="196">
        <v>2.4777777777777774</v>
      </c>
      <c r="I29" s="196">
        <v>7.73542600896861E-2</v>
      </c>
      <c r="J29" s="118">
        <v>2</v>
      </c>
      <c r="K29" s="118">
        <v>120</v>
      </c>
      <c r="L29" s="196">
        <v>3.0805555555555557</v>
      </c>
      <c r="M29" s="196">
        <v>0.1073038773669973</v>
      </c>
      <c r="N29" s="118">
        <v>2</v>
      </c>
      <c r="O29" s="118">
        <v>120</v>
      </c>
      <c r="P29" s="196">
        <v>2.8055555555555558</v>
      </c>
      <c r="Q29" s="196">
        <v>9.9009900990099015E-2</v>
      </c>
    </row>
    <row r="30" spans="1:17" ht="24.95" customHeight="1" x14ac:dyDescent="0.25">
      <c r="A30" s="145" t="s">
        <v>103</v>
      </c>
      <c r="B30" s="118">
        <v>6</v>
      </c>
      <c r="C30" s="185">
        <v>600</v>
      </c>
      <c r="D30" s="196">
        <v>1.2505555555555556</v>
      </c>
      <c r="E30" s="196">
        <v>0.14882274544646823</v>
      </c>
      <c r="F30" s="118">
        <v>6</v>
      </c>
      <c r="G30" s="118">
        <v>600</v>
      </c>
      <c r="H30" s="196">
        <v>1.7622222222222221</v>
      </c>
      <c r="I30" s="196">
        <v>0.12011349306431274</v>
      </c>
      <c r="J30" s="118">
        <v>6</v>
      </c>
      <c r="K30" s="118">
        <v>600</v>
      </c>
      <c r="L30" s="196">
        <v>1.8</v>
      </c>
      <c r="M30" s="196">
        <v>0.11234567901234568</v>
      </c>
      <c r="N30" s="118">
        <v>5.666666666666667</v>
      </c>
      <c r="O30" s="118">
        <v>580</v>
      </c>
      <c r="P30" s="196">
        <v>1.2793103448275862</v>
      </c>
      <c r="Q30" s="196">
        <v>0.16217430368373764</v>
      </c>
    </row>
    <row r="31" spans="1:17" ht="24.95" customHeight="1" x14ac:dyDescent="0.25">
      <c r="A31" s="149" t="s">
        <v>147</v>
      </c>
      <c r="B31" s="118">
        <v>1</v>
      </c>
      <c r="C31" s="185">
        <v>120</v>
      </c>
      <c r="D31" s="196">
        <v>2.1138888888888889</v>
      </c>
      <c r="E31" s="196">
        <v>6.7017082785808146E-2</v>
      </c>
      <c r="F31" s="118">
        <v>1</v>
      </c>
      <c r="G31" s="118">
        <v>120</v>
      </c>
      <c r="H31" s="196">
        <v>1.7888888888888888</v>
      </c>
      <c r="I31" s="196">
        <v>7.9192546583850928E-2</v>
      </c>
      <c r="J31" s="118">
        <v>1</v>
      </c>
      <c r="K31" s="118">
        <v>120</v>
      </c>
      <c r="L31" s="196">
        <v>1.6888888888888889</v>
      </c>
      <c r="M31" s="196">
        <v>5.4276315789473686E-2</v>
      </c>
      <c r="N31" s="118">
        <v>1</v>
      </c>
      <c r="O31" s="118">
        <v>120</v>
      </c>
      <c r="P31" s="196">
        <v>1.8805555555555555</v>
      </c>
      <c r="Q31" s="196">
        <v>6.4992614475627764E-2</v>
      </c>
    </row>
    <row r="32" spans="1:17" ht="24.95" customHeight="1" x14ac:dyDescent="0.25">
      <c r="A32" s="146" t="s">
        <v>53</v>
      </c>
      <c r="B32" s="118">
        <v>1</v>
      </c>
      <c r="C32" s="185">
        <v>90</v>
      </c>
      <c r="D32" s="196">
        <v>0.89259259259259249</v>
      </c>
      <c r="E32" s="196">
        <v>0</v>
      </c>
      <c r="F32" s="118">
        <v>1</v>
      </c>
      <c r="G32" s="118">
        <v>90</v>
      </c>
      <c r="H32" s="196">
        <v>1.0296296296296297</v>
      </c>
      <c r="I32" s="196">
        <v>0.11510791366906475</v>
      </c>
      <c r="J32" s="118">
        <v>1</v>
      </c>
      <c r="K32" s="118">
        <v>90</v>
      </c>
      <c r="L32" s="196">
        <v>1.4888888888888889</v>
      </c>
      <c r="M32" s="196">
        <v>0.14925373134328357</v>
      </c>
      <c r="N32" s="118">
        <v>0.66666666666666663</v>
      </c>
      <c r="O32" s="118">
        <v>60</v>
      </c>
      <c r="P32" s="196">
        <v>1.8444444444444446</v>
      </c>
      <c r="Q32" s="196">
        <v>0.18072289156626506</v>
      </c>
    </row>
    <row r="33" spans="1:17" ht="24.95" customHeight="1" x14ac:dyDescent="0.25">
      <c r="A33" s="145" t="s">
        <v>14</v>
      </c>
      <c r="B33" s="118">
        <v>1</v>
      </c>
      <c r="C33" s="185">
        <v>120</v>
      </c>
      <c r="D33" s="196">
        <v>3.1583333333333332</v>
      </c>
      <c r="E33" s="196">
        <v>8.2673702726473175E-2</v>
      </c>
      <c r="F33" s="118">
        <v>1</v>
      </c>
      <c r="G33" s="118">
        <v>120</v>
      </c>
      <c r="H33" s="196">
        <v>3.1166666666666667</v>
      </c>
      <c r="I33" s="196">
        <v>8.1996434937611412E-2</v>
      </c>
      <c r="J33" s="118">
        <v>1</v>
      </c>
      <c r="K33" s="118">
        <v>120</v>
      </c>
      <c r="L33" s="196">
        <v>3.1333333333333333</v>
      </c>
      <c r="M33" s="196">
        <v>8.0673758865248232E-2</v>
      </c>
      <c r="N33" s="118">
        <v>1</v>
      </c>
      <c r="O33" s="118">
        <v>120</v>
      </c>
      <c r="P33" s="196">
        <v>3.1916666666666669</v>
      </c>
      <c r="Q33" s="196">
        <v>7.8328981723237601E-2</v>
      </c>
    </row>
    <row r="34" spans="1:17" ht="24.95" customHeight="1" x14ac:dyDescent="0.25">
      <c r="A34" s="146" t="s">
        <v>114</v>
      </c>
      <c r="B34" s="118">
        <v>1</v>
      </c>
      <c r="C34" s="185">
        <v>120</v>
      </c>
      <c r="D34" s="196">
        <v>4.45</v>
      </c>
      <c r="E34" s="196">
        <v>2.8089887640449437E-2</v>
      </c>
      <c r="F34" s="118">
        <v>1</v>
      </c>
      <c r="G34" s="118">
        <v>120</v>
      </c>
      <c r="H34" s="196">
        <v>3.6944444444444442</v>
      </c>
      <c r="I34" s="196">
        <v>3.3834586466165412E-2</v>
      </c>
      <c r="J34" s="118">
        <v>1</v>
      </c>
      <c r="K34" s="118">
        <v>120</v>
      </c>
      <c r="L34" s="196">
        <v>3.3222222222222224</v>
      </c>
      <c r="M34" s="196">
        <v>3.678929765886288E-2</v>
      </c>
      <c r="N34" s="118">
        <v>1</v>
      </c>
      <c r="O34" s="118">
        <v>120</v>
      </c>
      <c r="P34" s="196">
        <v>2.5444444444444443</v>
      </c>
      <c r="Q34" s="196">
        <v>4.2576419213973801E-2</v>
      </c>
    </row>
    <row r="35" spans="1:17" ht="24.95" customHeight="1" x14ac:dyDescent="0.25">
      <c r="A35" s="145" t="s">
        <v>148</v>
      </c>
      <c r="B35" s="118">
        <v>2</v>
      </c>
      <c r="C35" s="185">
        <v>120</v>
      </c>
      <c r="D35" s="196">
        <v>0.97222222222222221</v>
      </c>
      <c r="E35" s="196">
        <v>0.19142857142857142</v>
      </c>
      <c r="F35" s="118">
        <v>2</v>
      </c>
      <c r="G35" s="118">
        <v>120</v>
      </c>
      <c r="H35" s="196">
        <v>1.3833333333333333</v>
      </c>
      <c r="I35" s="196">
        <v>0.11847389558232932</v>
      </c>
      <c r="J35" s="118">
        <v>2</v>
      </c>
      <c r="K35" s="118">
        <v>120</v>
      </c>
      <c r="L35" s="196">
        <v>1.9111111111111112</v>
      </c>
      <c r="M35" s="196">
        <v>7.8488372093023256E-2</v>
      </c>
      <c r="N35" s="118">
        <v>2</v>
      </c>
      <c r="O35" s="118">
        <v>120</v>
      </c>
      <c r="P35" s="196">
        <v>2.0805555555555553</v>
      </c>
      <c r="Q35" s="196">
        <v>7.6101468624833107E-2</v>
      </c>
    </row>
    <row r="36" spans="1:17" ht="15.75" x14ac:dyDescent="0.25">
      <c r="A36" s="195" t="s">
        <v>232</v>
      </c>
      <c r="B36" s="152">
        <v>87.666666666666657</v>
      </c>
      <c r="C36" s="212">
        <f>SUM(C6:C35)</f>
        <v>7390</v>
      </c>
      <c r="D36" s="213">
        <v>1.6941813261163734</v>
      </c>
      <c r="E36" s="213">
        <v>0.10814696485623003</v>
      </c>
      <c r="F36" s="152">
        <v>88</v>
      </c>
      <c r="G36" s="152">
        <v>7410</v>
      </c>
      <c r="H36" s="213">
        <v>1.9846153846153847</v>
      </c>
      <c r="I36" s="213">
        <v>0.1027698445079106</v>
      </c>
      <c r="J36" s="212">
        <v>88</v>
      </c>
      <c r="K36" s="214">
        <v>7410</v>
      </c>
      <c r="L36" s="213">
        <v>2.2684660368870895</v>
      </c>
      <c r="M36" s="213">
        <v>8.9870706750218132E-2</v>
      </c>
      <c r="N36" s="212">
        <v>85.000000000000014</v>
      </c>
      <c r="O36" s="144">
        <v>7160</v>
      </c>
      <c r="P36" s="213">
        <v>2.2569366852886406</v>
      </c>
      <c r="Q36" s="213">
        <v>8.9870706750218132E-2</v>
      </c>
    </row>
    <row r="37" spans="1:17" x14ac:dyDescent="0.25">
      <c r="A37" s="102" t="s">
        <v>275</v>
      </c>
      <c r="B37" s="28"/>
      <c r="C37" s="29"/>
      <c r="D37" s="1"/>
      <c r="E37" s="1"/>
    </row>
    <row r="38" spans="1:17" x14ac:dyDescent="0.25">
      <c r="A38" s="102" t="s">
        <v>149</v>
      </c>
      <c r="B38" s="328"/>
      <c r="C38" s="328"/>
      <c r="D38" s="328"/>
      <c r="E38" s="328"/>
    </row>
    <row r="39" spans="1:17" x14ac:dyDescent="0.25">
      <c r="A39" s="1" t="s">
        <v>276</v>
      </c>
      <c r="B39" s="1"/>
    </row>
    <row r="40" spans="1:17" x14ac:dyDescent="0.25">
      <c r="A40" s="1"/>
      <c r="B40" s="1"/>
    </row>
    <row r="41" spans="1:17" x14ac:dyDescent="0.25">
      <c r="A41" s="1"/>
      <c r="B41" s="1"/>
    </row>
    <row r="42" spans="1:17" x14ac:dyDescent="0.25">
      <c r="A42" s="1"/>
      <c r="B42" s="1"/>
    </row>
    <row r="43" spans="1:17" x14ac:dyDescent="0.25">
      <c r="A43" s="1"/>
      <c r="B43" s="1"/>
    </row>
    <row r="44" spans="1:17" x14ac:dyDescent="0.25">
      <c r="A44" s="1"/>
      <c r="B44" s="1"/>
    </row>
    <row r="45" spans="1:17" x14ac:dyDescent="0.25">
      <c r="A45" s="1"/>
      <c r="B45" s="1"/>
    </row>
    <row r="46" spans="1:17" x14ac:dyDescent="0.25">
      <c r="A46" s="1"/>
      <c r="B46" s="1"/>
    </row>
    <row r="47" spans="1:17" x14ac:dyDescent="0.25">
      <c r="A47" s="1"/>
      <c r="B47" s="1"/>
    </row>
    <row r="48" spans="1:17" x14ac:dyDescent="0.25">
      <c r="A48" s="1"/>
      <c r="B48" s="1"/>
    </row>
    <row r="49" spans="1:2" ht="15.75" customHeight="1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ht="15.75" customHeight="1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</sheetData>
  <mergeCells count="23">
    <mergeCell ref="P3:P5"/>
    <mergeCell ref="Q3:Q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B2:E2"/>
    <mergeCell ref="A1:Q1"/>
    <mergeCell ref="F2:I2"/>
    <mergeCell ref="J2:M2"/>
    <mergeCell ref="N2:Q2"/>
    <mergeCell ref="B38:E38"/>
    <mergeCell ref="A3:A5"/>
    <mergeCell ref="B3:B5"/>
    <mergeCell ref="C3:C5"/>
    <mergeCell ref="D3:D5"/>
    <mergeCell ref="E3:E5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FB62-6C26-47DD-B472-644C78C21B59}">
  <dimension ref="A1:U26"/>
  <sheetViews>
    <sheetView tabSelected="1" zoomScale="75" zoomScaleNormal="75" workbookViewId="0">
      <selection activeCell="E16" sqref="E16"/>
    </sheetView>
  </sheetViews>
  <sheetFormatPr defaultRowHeight="15" x14ac:dyDescent="0.25"/>
  <cols>
    <col min="1" max="1" width="42.5703125" bestFit="1" customWidth="1"/>
    <col min="2" max="2" width="15.28515625" bestFit="1" customWidth="1"/>
    <col min="3" max="3" width="16.5703125" bestFit="1" customWidth="1"/>
    <col min="4" max="4" width="21.28515625" bestFit="1" customWidth="1"/>
    <col min="5" max="5" width="21" customWidth="1"/>
    <col min="6" max="6" width="1.85546875" customWidth="1"/>
    <col min="7" max="7" width="15.28515625" bestFit="1" customWidth="1"/>
    <col min="8" max="8" width="16.5703125" bestFit="1" customWidth="1"/>
    <col min="9" max="9" width="21.28515625" bestFit="1" customWidth="1"/>
    <col min="10" max="10" width="21" customWidth="1"/>
    <col min="11" max="11" width="1.85546875" customWidth="1"/>
    <col min="12" max="12" width="15.28515625" bestFit="1" customWidth="1"/>
    <col min="13" max="13" width="16.5703125" bestFit="1" customWidth="1"/>
    <col min="14" max="14" width="21.28515625" bestFit="1" customWidth="1"/>
    <col min="15" max="15" width="21" customWidth="1"/>
    <col min="16" max="16" width="1.85546875" customWidth="1"/>
    <col min="17" max="17" width="15.28515625" bestFit="1" customWidth="1"/>
    <col min="18" max="18" width="16.5703125" bestFit="1" customWidth="1"/>
    <col min="19" max="19" width="21.28515625" bestFit="1" customWidth="1"/>
    <col min="20" max="21" width="21" customWidth="1"/>
  </cols>
  <sheetData>
    <row r="1" spans="1:21" ht="36" x14ac:dyDescent="0.55000000000000004">
      <c r="A1" s="331" t="s">
        <v>1</v>
      </c>
      <c r="B1" s="332" t="s">
        <v>294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</row>
    <row r="2" spans="1:21" ht="15.75" x14ac:dyDescent="0.25">
      <c r="A2" s="331"/>
      <c r="B2" s="334" t="s">
        <v>295</v>
      </c>
      <c r="C2" s="334"/>
      <c r="D2" s="334"/>
      <c r="E2" s="335"/>
      <c r="F2" s="336"/>
      <c r="G2" s="337" t="s">
        <v>296</v>
      </c>
      <c r="H2" s="334"/>
      <c r="I2" s="334"/>
      <c r="J2" s="334"/>
      <c r="K2" s="336"/>
      <c r="L2" s="334" t="s">
        <v>297</v>
      </c>
      <c r="M2" s="334"/>
      <c r="N2" s="334"/>
      <c r="O2" s="334"/>
      <c r="P2" s="336"/>
      <c r="Q2" s="334" t="s">
        <v>298</v>
      </c>
      <c r="R2" s="334"/>
      <c r="S2" s="334"/>
      <c r="T2" s="334"/>
    </row>
    <row r="3" spans="1:21" ht="15.75" x14ac:dyDescent="0.25">
      <c r="A3" s="331"/>
      <c r="B3" s="338" t="s">
        <v>299</v>
      </c>
      <c r="C3" s="338" t="s">
        <v>163</v>
      </c>
      <c r="D3" s="338" t="s">
        <v>300</v>
      </c>
      <c r="E3" s="339" t="s">
        <v>301</v>
      </c>
      <c r="F3" s="340"/>
      <c r="G3" s="341" t="s">
        <v>299</v>
      </c>
      <c r="H3" s="338" t="s">
        <v>163</v>
      </c>
      <c r="I3" s="338" t="s">
        <v>300</v>
      </c>
      <c r="J3" s="338" t="s">
        <v>301</v>
      </c>
      <c r="K3" s="340"/>
      <c r="L3" s="338" t="s">
        <v>299</v>
      </c>
      <c r="M3" s="338" t="s">
        <v>163</v>
      </c>
      <c r="N3" s="338" t="s">
        <v>300</v>
      </c>
      <c r="O3" s="338" t="s">
        <v>301</v>
      </c>
      <c r="P3" s="340"/>
      <c r="Q3" s="338" t="s">
        <v>299</v>
      </c>
      <c r="R3" s="338" t="s">
        <v>163</v>
      </c>
      <c r="S3" s="338" t="s">
        <v>300</v>
      </c>
      <c r="T3" s="338" t="s">
        <v>301</v>
      </c>
    </row>
    <row r="4" spans="1:21" ht="18" customHeight="1" x14ac:dyDescent="0.25">
      <c r="A4" s="215" t="s">
        <v>302</v>
      </c>
      <c r="B4" s="165">
        <v>4</v>
      </c>
      <c r="C4" s="165">
        <v>340</v>
      </c>
      <c r="D4" s="342">
        <v>411.66666666666669</v>
      </c>
      <c r="E4" s="343">
        <v>1.2107843137254903</v>
      </c>
      <c r="F4" s="344"/>
      <c r="G4" s="345">
        <v>4</v>
      </c>
      <c r="H4" s="9">
        <v>340</v>
      </c>
      <c r="I4" s="342">
        <v>399</v>
      </c>
      <c r="J4" s="346">
        <v>1.1735294117647059</v>
      </c>
      <c r="K4" s="344"/>
      <c r="L4" s="165">
        <v>4</v>
      </c>
      <c r="M4" s="165">
        <v>340</v>
      </c>
      <c r="N4" s="342">
        <v>402</v>
      </c>
      <c r="O4" s="346">
        <v>1.1823529411764706</v>
      </c>
      <c r="P4" s="344"/>
      <c r="Q4" s="165">
        <v>4</v>
      </c>
      <c r="R4" s="165">
        <v>340</v>
      </c>
      <c r="S4" s="342">
        <v>400.66666666666669</v>
      </c>
      <c r="T4" s="346">
        <v>1.1784313725490196</v>
      </c>
      <c r="U4" s="243"/>
    </row>
    <row r="5" spans="1:21" ht="18" customHeight="1" x14ac:dyDescent="0.25">
      <c r="A5" s="215" t="s">
        <v>303</v>
      </c>
      <c r="B5" s="165">
        <v>1</v>
      </c>
      <c r="C5" s="165">
        <v>60</v>
      </c>
      <c r="D5" s="342">
        <v>59.666666666666664</v>
      </c>
      <c r="E5" s="343">
        <v>0.99444444444444435</v>
      </c>
      <c r="F5" s="344"/>
      <c r="G5" s="345">
        <v>1</v>
      </c>
      <c r="H5" s="9">
        <v>60</v>
      </c>
      <c r="I5" s="342">
        <v>59.333333333333336</v>
      </c>
      <c r="J5" s="346">
        <v>0.98888888888888893</v>
      </c>
      <c r="K5" s="344"/>
      <c r="L5" s="165">
        <v>1</v>
      </c>
      <c r="M5" s="165">
        <v>60</v>
      </c>
      <c r="N5" s="342">
        <v>64.333333333333329</v>
      </c>
      <c r="O5" s="346">
        <v>1.0722222222222222</v>
      </c>
      <c r="P5" s="344"/>
      <c r="Q5" s="165">
        <v>1</v>
      </c>
      <c r="R5" s="165">
        <v>60</v>
      </c>
      <c r="S5" s="342">
        <v>69.666666666666671</v>
      </c>
      <c r="T5" s="346">
        <v>1.1611111111111112</v>
      </c>
      <c r="U5" s="243"/>
    </row>
    <row r="6" spans="1:21" ht="18" customHeight="1" x14ac:dyDescent="0.25">
      <c r="A6" s="215" t="s">
        <v>86</v>
      </c>
      <c r="B6" s="165">
        <v>3</v>
      </c>
      <c r="C6" s="165">
        <v>320</v>
      </c>
      <c r="D6" s="342">
        <v>400.66666666666669</v>
      </c>
      <c r="E6" s="343">
        <v>1.2520833333333334</v>
      </c>
      <c r="F6" s="344"/>
      <c r="G6" s="345">
        <v>3</v>
      </c>
      <c r="H6" s="9">
        <v>320</v>
      </c>
      <c r="I6" s="342">
        <v>400.33333333333331</v>
      </c>
      <c r="J6" s="346">
        <v>1.2510416666666666</v>
      </c>
      <c r="K6" s="344"/>
      <c r="L6" s="165">
        <v>3</v>
      </c>
      <c r="M6" s="165">
        <v>320</v>
      </c>
      <c r="N6" s="342">
        <v>398.66666666666669</v>
      </c>
      <c r="O6" s="346">
        <v>1.2458333333333333</v>
      </c>
      <c r="P6" s="344"/>
      <c r="Q6" s="165">
        <v>3</v>
      </c>
      <c r="R6" s="165">
        <v>320</v>
      </c>
      <c r="S6" s="342">
        <v>400</v>
      </c>
      <c r="T6" s="346">
        <v>1.25</v>
      </c>
      <c r="U6" s="243"/>
    </row>
    <row r="7" spans="1:21" ht="18" customHeight="1" x14ac:dyDescent="0.25">
      <c r="A7" s="215" t="s">
        <v>304</v>
      </c>
      <c r="B7" s="165">
        <v>1</v>
      </c>
      <c r="C7" s="165">
        <v>60</v>
      </c>
      <c r="D7" s="342">
        <v>60</v>
      </c>
      <c r="E7" s="343">
        <v>1</v>
      </c>
      <c r="F7" s="344"/>
      <c r="G7" s="345">
        <v>1</v>
      </c>
      <c r="H7" s="9">
        <v>60</v>
      </c>
      <c r="I7" s="342">
        <v>60</v>
      </c>
      <c r="J7" s="346">
        <v>1</v>
      </c>
      <c r="K7" s="344"/>
      <c r="L7" s="165">
        <v>1</v>
      </c>
      <c r="M7" s="165">
        <v>60</v>
      </c>
      <c r="N7" s="342">
        <v>60</v>
      </c>
      <c r="O7" s="346">
        <v>1</v>
      </c>
      <c r="P7" s="344"/>
      <c r="Q7" s="165">
        <v>1</v>
      </c>
      <c r="R7" s="165">
        <v>60</v>
      </c>
      <c r="S7" s="342">
        <v>60</v>
      </c>
      <c r="T7" s="346">
        <v>1</v>
      </c>
      <c r="U7" s="243"/>
    </row>
    <row r="8" spans="1:21" ht="18" customHeight="1" x14ac:dyDescent="0.25">
      <c r="A8" s="215" t="s">
        <v>89</v>
      </c>
      <c r="B8" s="165">
        <v>2</v>
      </c>
      <c r="C8" s="165">
        <v>120</v>
      </c>
      <c r="D8" s="342">
        <v>125</v>
      </c>
      <c r="E8" s="343">
        <v>1.0416666666666667</v>
      </c>
      <c r="F8" s="344"/>
      <c r="G8" s="345">
        <v>2</v>
      </c>
      <c r="H8" s="9">
        <v>120</v>
      </c>
      <c r="I8" s="342">
        <v>125</v>
      </c>
      <c r="J8" s="346">
        <v>1.0416666666666667</v>
      </c>
      <c r="K8" s="344"/>
      <c r="L8" s="165">
        <v>2</v>
      </c>
      <c r="M8" s="165">
        <v>120</v>
      </c>
      <c r="N8" s="342">
        <v>121</v>
      </c>
      <c r="O8" s="346">
        <v>1.0083333333333333</v>
      </c>
      <c r="P8" s="344"/>
      <c r="Q8" s="165">
        <v>2</v>
      </c>
      <c r="R8" s="165">
        <v>120</v>
      </c>
      <c r="S8" s="342">
        <v>124.66666666666667</v>
      </c>
      <c r="T8" s="346">
        <v>1.038888888888889</v>
      </c>
      <c r="U8" s="243"/>
    </row>
    <row r="9" spans="1:21" ht="18" customHeight="1" x14ac:dyDescent="0.25">
      <c r="A9" s="215" t="s">
        <v>96</v>
      </c>
      <c r="B9" s="165">
        <v>4</v>
      </c>
      <c r="C9" s="165">
        <v>220</v>
      </c>
      <c r="D9" s="342">
        <v>253.33333333333334</v>
      </c>
      <c r="E9" s="343">
        <v>1.1515151515151516</v>
      </c>
      <c r="F9" s="344"/>
      <c r="G9" s="345">
        <v>4</v>
      </c>
      <c r="H9" s="9">
        <v>220</v>
      </c>
      <c r="I9" s="342">
        <v>255.33333333333334</v>
      </c>
      <c r="J9" s="346">
        <v>1.1606060606060606</v>
      </c>
      <c r="K9" s="344"/>
      <c r="L9" s="165">
        <v>4</v>
      </c>
      <c r="M9" s="165">
        <v>220</v>
      </c>
      <c r="N9" s="342">
        <v>256</v>
      </c>
      <c r="O9" s="346">
        <v>1.1636363636363636</v>
      </c>
      <c r="P9" s="344"/>
      <c r="Q9" s="165">
        <v>4</v>
      </c>
      <c r="R9" s="165">
        <v>220</v>
      </c>
      <c r="S9" s="342">
        <v>261.33333333333331</v>
      </c>
      <c r="T9" s="346">
        <v>1.1878787878787878</v>
      </c>
      <c r="U9" s="243"/>
    </row>
    <row r="10" spans="1:21" ht="18" customHeight="1" x14ac:dyDescent="0.25">
      <c r="A10" s="215" t="s">
        <v>113</v>
      </c>
      <c r="B10" s="165">
        <v>1</v>
      </c>
      <c r="C10" s="165">
        <v>90</v>
      </c>
      <c r="D10" s="342">
        <v>65.333333333333329</v>
      </c>
      <c r="E10" s="343">
        <v>0.72592592592592586</v>
      </c>
      <c r="F10" s="344"/>
      <c r="G10" s="345">
        <v>1</v>
      </c>
      <c r="H10" s="9">
        <v>90</v>
      </c>
      <c r="I10" s="342">
        <v>94</v>
      </c>
      <c r="J10" s="346">
        <v>1.0444444444444445</v>
      </c>
      <c r="K10" s="344"/>
      <c r="L10" s="165">
        <v>1</v>
      </c>
      <c r="M10" s="165">
        <v>90</v>
      </c>
      <c r="N10" s="342">
        <v>92</v>
      </c>
      <c r="O10" s="346">
        <v>1.0222222222222221</v>
      </c>
      <c r="P10" s="344"/>
      <c r="Q10" s="165">
        <v>1</v>
      </c>
      <c r="R10" s="165">
        <v>90</v>
      </c>
      <c r="S10" s="342">
        <v>90.666666666666671</v>
      </c>
      <c r="T10" s="346">
        <v>1.0074074074074075</v>
      </c>
      <c r="U10" s="243"/>
    </row>
    <row r="11" spans="1:21" ht="18" customHeight="1" x14ac:dyDescent="0.25">
      <c r="A11" s="215" t="s">
        <v>305</v>
      </c>
      <c r="B11" s="165">
        <v>2</v>
      </c>
      <c r="C11" s="165">
        <v>240</v>
      </c>
      <c r="D11" s="342">
        <v>265.66666666666669</v>
      </c>
      <c r="E11" s="343">
        <v>1.1069444444444445</v>
      </c>
      <c r="F11" s="344"/>
      <c r="G11" s="345">
        <v>2</v>
      </c>
      <c r="H11" s="9">
        <v>240</v>
      </c>
      <c r="I11" s="342">
        <v>270.66666666666669</v>
      </c>
      <c r="J11" s="346">
        <v>1.1277777777777778</v>
      </c>
      <c r="K11" s="344"/>
      <c r="L11" s="165">
        <v>2</v>
      </c>
      <c r="M11" s="165">
        <v>240</v>
      </c>
      <c r="N11" s="342">
        <v>268.33333333333331</v>
      </c>
      <c r="O11" s="346">
        <v>1.1180555555555556</v>
      </c>
      <c r="P11" s="344"/>
      <c r="Q11" s="165">
        <v>2</v>
      </c>
      <c r="R11" s="165">
        <v>240</v>
      </c>
      <c r="S11" s="342">
        <v>266</v>
      </c>
      <c r="T11" s="346">
        <v>1.1083333333333334</v>
      </c>
      <c r="U11" s="243"/>
    </row>
    <row r="12" spans="1:21" ht="18" customHeight="1" x14ac:dyDescent="0.25">
      <c r="A12" s="215" t="s">
        <v>306</v>
      </c>
      <c r="B12" s="165">
        <v>2</v>
      </c>
      <c r="C12" s="165">
        <v>140</v>
      </c>
      <c r="D12" s="342">
        <v>150</v>
      </c>
      <c r="E12" s="343">
        <v>1.0714285714285714</v>
      </c>
      <c r="F12" s="344"/>
      <c r="G12" s="345">
        <v>2</v>
      </c>
      <c r="H12" s="9">
        <v>140</v>
      </c>
      <c r="I12" s="342">
        <v>151.66666666666666</v>
      </c>
      <c r="J12" s="346">
        <v>1.0833333333333333</v>
      </c>
      <c r="K12" s="344"/>
      <c r="L12" s="165">
        <v>2</v>
      </c>
      <c r="M12" s="165">
        <v>140</v>
      </c>
      <c r="N12" s="342">
        <v>151.66666666666666</v>
      </c>
      <c r="O12" s="346">
        <v>1.0833333333333333</v>
      </c>
      <c r="P12" s="344"/>
      <c r="Q12" s="165">
        <v>2</v>
      </c>
      <c r="R12" s="165">
        <v>140</v>
      </c>
      <c r="S12" s="342">
        <v>152.33333333333334</v>
      </c>
      <c r="T12" s="346">
        <v>1.0880952380952382</v>
      </c>
      <c r="U12" s="243"/>
    </row>
    <row r="13" spans="1:21" ht="18" customHeight="1" x14ac:dyDescent="0.25">
      <c r="A13" s="215" t="s">
        <v>71</v>
      </c>
      <c r="B13" s="165">
        <v>2</v>
      </c>
      <c r="C13" s="165">
        <v>200</v>
      </c>
      <c r="D13" s="342">
        <v>200.33333333333334</v>
      </c>
      <c r="E13" s="343">
        <v>1.0016666666666667</v>
      </c>
      <c r="F13" s="344"/>
      <c r="G13" s="345">
        <v>2</v>
      </c>
      <c r="H13" s="9">
        <v>200</v>
      </c>
      <c r="I13" s="342">
        <v>203.66666666666666</v>
      </c>
      <c r="J13" s="346">
        <v>1.0183333333333333</v>
      </c>
      <c r="K13" s="344"/>
      <c r="L13" s="165">
        <v>2</v>
      </c>
      <c r="M13" s="165">
        <v>200</v>
      </c>
      <c r="N13" s="342">
        <v>204.33333333333334</v>
      </c>
      <c r="O13" s="346">
        <v>1.0216666666666667</v>
      </c>
      <c r="P13" s="344"/>
      <c r="Q13" s="165">
        <v>2</v>
      </c>
      <c r="R13" s="165">
        <v>200</v>
      </c>
      <c r="S13" s="342">
        <v>204</v>
      </c>
      <c r="T13" s="346">
        <v>1.02</v>
      </c>
      <c r="U13" s="243"/>
    </row>
    <row r="14" spans="1:21" ht="18" customHeight="1" x14ac:dyDescent="0.25">
      <c r="A14" s="215" t="s">
        <v>135</v>
      </c>
      <c r="B14" s="345">
        <v>1</v>
      </c>
      <c r="C14" s="9">
        <v>60</v>
      </c>
      <c r="D14" s="342" t="s">
        <v>307</v>
      </c>
      <c r="E14" s="343" t="s">
        <v>307</v>
      </c>
      <c r="F14" s="344"/>
      <c r="G14" s="345">
        <v>1</v>
      </c>
      <c r="H14" s="9">
        <v>60</v>
      </c>
      <c r="I14" s="342">
        <v>40</v>
      </c>
      <c r="J14" s="347">
        <f>I14/H14</f>
        <v>0.66666666666666663</v>
      </c>
      <c r="K14" s="344"/>
      <c r="L14" s="165">
        <v>1</v>
      </c>
      <c r="M14" s="165">
        <v>60</v>
      </c>
      <c r="N14" s="342">
        <v>60</v>
      </c>
      <c r="O14" s="346">
        <v>1</v>
      </c>
      <c r="P14" s="344"/>
      <c r="Q14" s="165">
        <v>1</v>
      </c>
      <c r="R14" s="165">
        <v>60</v>
      </c>
      <c r="S14" s="342">
        <v>60</v>
      </c>
      <c r="T14" s="346">
        <v>1</v>
      </c>
      <c r="U14" s="243"/>
    </row>
    <row r="15" spans="1:21" ht="18" customHeight="1" x14ac:dyDescent="0.25">
      <c r="A15" s="215" t="s">
        <v>28</v>
      </c>
      <c r="B15" s="165">
        <v>1</v>
      </c>
      <c r="C15" s="165">
        <v>60</v>
      </c>
      <c r="D15" s="342">
        <v>67</v>
      </c>
      <c r="E15" s="343">
        <v>1.1166666666666667</v>
      </c>
      <c r="F15" s="344"/>
      <c r="G15" s="345">
        <v>1</v>
      </c>
      <c r="H15" s="9">
        <v>60</v>
      </c>
      <c r="I15" s="342">
        <v>66</v>
      </c>
      <c r="J15" s="346">
        <v>1.1000000000000001</v>
      </c>
      <c r="K15" s="344"/>
      <c r="L15" s="165">
        <v>1</v>
      </c>
      <c r="M15" s="165">
        <v>60</v>
      </c>
      <c r="N15" s="342">
        <v>64.666666666666671</v>
      </c>
      <c r="O15" s="346">
        <v>1.0777777777777779</v>
      </c>
      <c r="P15" s="344"/>
      <c r="Q15" s="165">
        <v>1</v>
      </c>
      <c r="R15" s="165">
        <v>60</v>
      </c>
      <c r="S15" s="342">
        <v>66</v>
      </c>
      <c r="T15" s="346">
        <v>1.1000000000000001</v>
      </c>
      <c r="U15" s="243"/>
    </row>
    <row r="16" spans="1:21" ht="18" customHeight="1" x14ac:dyDescent="0.25">
      <c r="A16" s="215" t="s">
        <v>51</v>
      </c>
      <c r="B16" s="165">
        <v>1</v>
      </c>
      <c r="C16" s="165">
        <v>40</v>
      </c>
      <c r="D16" s="342">
        <v>36</v>
      </c>
      <c r="E16" s="343">
        <v>0.9</v>
      </c>
      <c r="F16" s="344"/>
      <c r="G16" s="345">
        <v>1</v>
      </c>
      <c r="H16" s="9">
        <v>40</v>
      </c>
      <c r="I16" s="342">
        <v>25.333333333333332</v>
      </c>
      <c r="J16" s="346">
        <v>0.6333333333333333</v>
      </c>
      <c r="K16" s="344"/>
      <c r="L16" s="165">
        <v>1</v>
      </c>
      <c r="M16" s="165">
        <v>40</v>
      </c>
      <c r="N16" s="342">
        <v>37.333333333333336</v>
      </c>
      <c r="O16" s="346">
        <v>0.93333333333333335</v>
      </c>
      <c r="P16" s="344"/>
      <c r="Q16" s="165">
        <v>1</v>
      </c>
      <c r="R16" s="165">
        <v>40</v>
      </c>
      <c r="S16" s="342">
        <v>41</v>
      </c>
      <c r="T16" s="346">
        <v>1.0249999999999999</v>
      </c>
      <c r="U16" s="243"/>
    </row>
    <row r="17" spans="1:21" ht="18" customHeight="1" x14ac:dyDescent="0.25">
      <c r="A17" s="215" t="s">
        <v>31</v>
      </c>
      <c r="B17" s="165">
        <v>1</v>
      </c>
      <c r="C17" s="165">
        <v>60</v>
      </c>
      <c r="D17" s="342">
        <v>59</v>
      </c>
      <c r="E17" s="343">
        <v>0.98333333333333328</v>
      </c>
      <c r="F17" s="344"/>
      <c r="G17" s="345">
        <v>1</v>
      </c>
      <c r="H17" s="9">
        <v>60</v>
      </c>
      <c r="I17" s="342">
        <v>59.333333333333336</v>
      </c>
      <c r="J17" s="346">
        <v>0.98888888888888893</v>
      </c>
      <c r="K17" s="344"/>
      <c r="L17" s="165">
        <v>1</v>
      </c>
      <c r="M17" s="165">
        <v>60</v>
      </c>
      <c r="N17" s="342">
        <v>60</v>
      </c>
      <c r="O17" s="346">
        <v>1</v>
      </c>
      <c r="P17" s="344"/>
      <c r="Q17" s="165">
        <v>1</v>
      </c>
      <c r="R17" s="165">
        <v>60</v>
      </c>
      <c r="S17" s="342">
        <v>61</v>
      </c>
      <c r="T17" s="346">
        <v>1.0166666666666666</v>
      </c>
      <c r="U17" s="243"/>
    </row>
    <row r="18" spans="1:21" ht="18" customHeight="1" x14ac:dyDescent="0.25">
      <c r="A18" s="215" t="s">
        <v>139</v>
      </c>
      <c r="B18" s="165">
        <v>1</v>
      </c>
      <c r="C18" s="165">
        <v>40</v>
      </c>
      <c r="D18" s="342">
        <v>37</v>
      </c>
      <c r="E18" s="343">
        <v>0.92500000000000004</v>
      </c>
      <c r="F18" s="344"/>
      <c r="G18" s="345">
        <v>1</v>
      </c>
      <c r="H18" s="9">
        <v>40</v>
      </c>
      <c r="I18" s="342">
        <v>37</v>
      </c>
      <c r="J18" s="346">
        <v>0.92500000000000004</v>
      </c>
      <c r="K18" s="344"/>
      <c r="L18" s="165">
        <v>1</v>
      </c>
      <c r="M18" s="165">
        <v>40</v>
      </c>
      <c r="N18" s="342">
        <v>37</v>
      </c>
      <c r="O18" s="346">
        <v>0.92500000000000004</v>
      </c>
      <c r="P18" s="344"/>
      <c r="Q18" s="165">
        <v>1</v>
      </c>
      <c r="R18" s="165">
        <v>40</v>
      </c>
      <c r="S18" s="342">
        <v>37</v>
      </c>
      <c r="T18" s="346">
        <v>0.92500000000000004</v>
      </c>
      <c r="U18" s="243"/>
    </row>
    <row r="19" spans="1:21" ht="18" customHeight="1" x14ac:dyDescent="0.25">
      <c r="A19" s="215" t="s">
        <v>308</v>
      </c>
      <c r="B19" s="165">
        <v>2</v>
      </c>
      <c r="C19" s="165">
        <v>120</v>
      </c>
      <c r="D19" s="342">
        <v>138</v>
      </c>
      <c r="E19" s="343">
        <v>1.1499999999999999</v>
      </c>
      <c r="F19" s="344"/>
      <c r="G19" s="345">
        <v>2</v>
      </c>
      <c r="H19" s="9">
        <v>120</v>
      </c>
      <c r="I19" s="342">
        <v>139.33333333333334</v>
      </c>
      <c r="J19" s="346">
        <v>1.1611111111111112</v>
      </c>
      <c r="K19" s="344"/>
      <c r="L19" s="165">
        <v>2</v>
      </c>
      <c r="M19" s="165">
        <v>120</v>
      </c>
      <c r="N19" s="342">
        <v>139</v>
      </c>
      <c r="O19" s="346">
        <v>1.1583333333333334</v>
      </c>
      <c r="P19" s="344"/>
      <c r="Q19" s="165">
        <v>2</v>
      </c>
      <c r="R19" s="165">
        <v>120</v>
      </c>
      <c r="S19" s="342">
        <v>136.66666666666666</v>
      </c>
      <c r="T19" s="346">
        <v>1.1388888888888888</v>
      </c>
      <c r="U19" s="243"/>
    </row>
    <row r="20" spans="1:21" ht="18" customHeight="1" x14ac:dyDescent="0.25">
      <c r="A20" s="215" t="s">
        <v>309</v>
      </c>
      <c r="B20" s="165">
        <v>1</v>
      </c>
      <c r="C20" s="165">
        <v>60</v>
      </c>
      <c r="D20" s="342">
        <v>71.666666666666671</v>
      </c>
      <c r="E20" s="343">
        <v>1.1944444444444444</v>
      </c>
      <c r="F20" s="344"/>
      <c r="G20" s="345">
        <v>1</v>
      </c>
      <c r="H20" s="9">
        <v>60</v>
      </c>
      <c r="I20" s="342">
        <v>69.333333333333329</v>
      </c>
      <c r="J20" s="346">
        <v>1.1555555555555554</v>
      </c>
      <c r="K20" s="344"/>
      <c r="L20" s="165">
        <v>1</v>
      </c>
      <c r="M20" s="165">
        <v>60</v>
      </c>
      <c r="N20" s="342">
        <v>68</v>
      </c>
      <c r="O20" s="346">
        <v>1.1333333333333333</v>
      </c>
      <c r="P20" s="344"/>
      <c r="Q20" s="165">
        <v>1</v>
      </c>
      <c r="R20" s="165">
        <v>60</v>
      </c>
      <c r="S20" s="342">
        <v>66.333333333333329</v>
      </c>
      <c r="T20" s="346">
        <v>1.1055555555555554</v>
      </c>
      <c r="U20" s="243"/>
    </row>
    <row r="21" spans="1:21" ht="18" customHeight="1" x14ac:dyDescent="0.25">
      <c r="A21" s="215" t="s">
        <v>80</v>
      </c>
      <c r="B21" s="165">
        <v>4</v>
      </c>
      <c r="C21" s="165">
        <v>320</v>
      </c>
      <c r="D21" s="342">
        <v>309.66666666666669</v>
      </c>
      <c r="E21" s="343">
        <v>0.96770833333333339</v>
      </c>
      <c r="F21" s="344"/>
      <c r="G21" s="345">
        <v>4</v>
      </c>
      <c r="H21" s="9">
        <v>320</v>
      </c>
      <c r="I21" s="342">
        <v>311.33333333333331</v>
      </c>
      <c r="J21" s="346">
        <v>0.97291666666666665</v>
      </c>
      <c r="K21" s="344"/>
      <c r="L21" s="165">
        <v>4</v>
      </c>
      <c r="M21" s="165">
        <v>320</v>
      </c>
      <c r="N21" s="342">
        <v>308</v>
      </c>
      <c r="O21" s="346">
        <v>0.96250000000000002</v>
      </c>
      <c r="P21" s="344"/>
      <c r="Q21" s="165">
        <v>4</v>
      </c>
      <c r="R21" s="165">
        <v>320</v>
      </c>
      <c r="S21" s="342">
        <v>306</v>
      </c>
      <c r="T21" s="346">
        <v>0.95625000000000004</v>
      </c>
      <c r="U21" s="243"/>
    </row>
    <row r="22" spans="1:21" ht="18" customHeight="1" x14ac:dyDescent="0.25">
      <c r="A22" s="215" t="s">
        <v>117</v>
      </c>
      <c r="B22" s="165">
        <v>2</v>
      </c>
      <c r="C22" s="165">
        <v>140</v>
      </c>
      <c r="D22" s="342">
        <v>142</v>
      </c>
      <c r="E22" s="343">
        <v>1.0142857142857142</v>
      </c>
      <c r="F22" s="344"/>
      <c r="G22" s="345">
        <v>2</v>
      </c>
      <c r="H22" s="9">
        <v>140</v>
      </c>
      <c r="I22" s="342">
        <v>143</v>
      </c>
      <c r="J22" s="346">
        <v>1.0214285714285714</v>
      </c>
      <c r="K22" s="344"/>
      <c r="L22" s="165">
        <v>2</v>
      </c>
      <c r="M22" s="165">
        <v>140</v>
      </c>
      <c r="N22" s="342">
        <v>143.66666666666666</v>
      </c>
      <c r="O22" s="346">
        <v>1.0261904761904761</v>
      </c>
      <c r="P22" s="344"/>
      <c r="Q22" s="165">
        <v>2</v>
      </c>
      <c r="R22" s="165">
        <v>140</v>
      </c>
      <c r="S22" s="342">
        <v>145.33333333333334</v>
      </c>
      <c r="T22" s="346">
        <v>1.0380952380952382</v>
      </c>
      <c r="U22" s="243"/>
    </row>
    <row r="23" spans="1:21" ht="18" customHeight="1" x14ac:dyDescent="0.25">
      <c r="A23" s="215" t="s">
        <v>81</v>
      </c>
      <c r="B23" s="165">
        <v>1</v>
      </c>
      <c r="C23" s="165">
        <v>120</v>
      </c>
      <c r="D23" s="342">
        <v>116.33333333333333</v>
      </c>
      <c r="E23" s="343">
        <v>0.96944444444444444</v>
      </c>
      <c r="F23" s="344"/>
      <c r="G23" s="345">
        <v>1</v>
      </c>
      <c r="H23" s="9">
        <v>120</v>
      </c>
      <c r="I23" s="342">
        <v>116.33333333333333</v>
      </c>
      <c r="J23" s="346">
        <v>0.96944444444444444</v>
      </c>
      <c r="K23" s="344"/>
      <c r="L23" s="165">
        <v>1</v>
      </c>
      <c r="M23" s="165">
        <v>120</v>
      </c>
      <c r="N23" s="342">
        <v>118.66666666666667</v>
      </c>
      <c r="O23" s="346">
        <v>0.98888888888888893</v>
      </c>
      <c r="P23" s="344"/>
      <c r="Q23" s="165">
        <v>1</v>
      </c>
      <c r="R23" s="165">
        <v>120</v>
      </c>
      <c r="S23" s="342">
        <v>118.66666666666667</v>
      </c>
      <c r="T23" s="346">
        <v>0.98888888888888893</v>
      </c>
      <c r="U23" s="243"/>
    </row>
    <row r="24" spans="1:21" ht="18" customHeight="1" x14ac:dyDescent="0.25">
      <c r="A24" s="348" t="s">
        <v>140</v>
      </c>
      <c r="B24" s="349">
        <v>36.666666666666664</v>
      </c>
      <c r="C24" s="349">
        <f>SUM(C4:C23)</f>
        <v>2810</v>
      </c>
      <c r="D24" s="350">
        <v>2968.3333333333335</v>
      </c>
      <c r="E24" s="351">
        <v>1.056</v>
      </c>
      <c r="F24" s="352"/>
      <c r="G24" s="349">
        <v>36.666666666666664</v>
      </c>
      <c r="H24" s="349">
        <f>SUM(H4:H23)</f>
        <v>2810</v>
      </c>
      <c r="I24" s="350">
        <v>3026</v>
      </c>
      <c r="J24" s="353">
        <v>1.0760000000000001</v>
      </c>
      <c r="K24" s="352"/>
      <c r="L24" s="354">
        <v>37</v>
      </c>
      <c r="M24" s="354">
        <v>2810</v>
      </c>
      <c r="N24" s="350">
        <v>3054.6666666666665</v>
      </c>
      <c r="O24" s="353">
        <v>1.0870699881376038</v>
      </c>
      <c r="P24" s="352"/>
      <c r="Q24" s="354">
        <v>37</v>
      </c>
      <c r="R24" s="354">
        <v>2810</v>
      </c>
      <c r="S24" s="350">
        <v>3067.3333333333335</v>
      </c>
      <c r="T24" s="353">
        <v>1.0915776986951364</v>
      </c>
      <c r="U24" s="243"/>
    </row>
    <row r="25" spans="1:21" ht="15.75" x14ac:dyDescent="0.25">
      <c r="A25" s="355" t="s">
        <v>310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</row>
    <row r="26" spans="1:21" ht="15.75" x14ac:dyDescent="0.25">
      <c r="A26" s="355" t="s">
        <v>311</v>
      </c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</row>
  </sheetData>
  <mergeCells count="6">
    <mergeCell ref="A1:A3"/>
    <mergeCell ref="B1:T1"/>
    <mergeCell ref="B2:E2"/>
    <mergeCell ref="G2:J2"/>
    <mergeCell ref="L2:O2"/>
    <mergeCell ref="Q2:T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EB16-593A-475D-B7D1-6F09E7A9302D}">
  <dimension ref="A1:M11"/>
  <sheetViews>
    <sheetView workbookViewId="0">
      <selection activeCell="A13" sqref="A13"/>
    </sheetView>
  </sheetViews>
  <sheetFormatPr defaultRowHeight="15" x14ac:dyDescent="0.25"/>
  <cols>
    <col min="1" max="1" width="19.42578125" customWidth="1"/>
    <col min="2" max="2" width="10.7109375" customWidth="1"/>
    <col min="4" max="4" width="14.7109375" customWidth="1"/>
    <col min="7" max="7" width="15.140625" customWidth="1"/>
    <col min="10" max="10" width="13.7109375" customWidth="1"/>
    <col min="13" max="13" width="14.7109375" customWidth="1"/>
  </cols>
  <sheetData>
    <row r="1" spans="1:13" ht="18.75" customHeight="1" x14ac:dyDescent="0.3">
      <c r="A1" s="255" t="s">
        <v>285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3" ht="15.75" x14ac:dyDescent="0.25">
      <c r="A2" s="157"/>
      <c r="B2" s="248" t="s">
        <v>142</v>
      </c>
      <c r="C2" s="248"/>
      <c r="D2" s="248"/>
      <c r="E2" s="248" t="s">
        <v>143</v>
      </c>
      <c r="F2" s="248"/>
      <c r="G2" s="248"/>
      <c r="H2" s="248" t="s">
        <v>144</v>
      </c>
      <c r="I2" s="248"/>
      <c r="J2" s="248"/>
      <c r="K2" s="248" t="s">
        <v>145</v>
      </c>
      <c r="L2" s="248"/>
      <c r="M2" s="248"/>
    </row>
    <row r="3" spans="1:13" ht="50.25" customHeight="1" x14ac:dyDescent="0.25">
      <c r="A3" s="253" t="s">
        <v>1</v>
      </c>
      <c r="B3" s="254" t="s">
        <v>222</v>
      </c>
      <c r="C3" s="254" t="s">
        <v>185</v>
      </c>
      <c r="D3" s="254" t="s">
        <v>210</v>
      </c>
      <c r="E3" s="254" t="s">
        <v>222</v>
      </c>
      <c r="F3" s="254" t="s">
        <v>185</v>
      </c>
      <c r="G3" s="254" t="s">
        <v>210</v>
      </c>
      <c r="H3" s="254" t="s">
        <v>222</v>
      </c>
      <c r="I3" s="254" t="s">
        <v>185</v>
      </c>
      <c r="J3" s="254" t="s">
        <v>210</v>
      </c>
      <c r="K3" s="254" t="s">
        <v>222</v>
      </c>
      <c r="L3" s="254" t="s">
        <v>185</v>
      </c>
      <c r="M3" s="254" t="s">
        <v>210</v>
      </c>
    </row>
    <row r="4" spans="1:13" ht="42" customHeight="1" x14ac:dyDescent="0.25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</row>
    <row r="5" spans="1:13" ht="15" customHeight="1" x14ac:dyDescent="0.25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</row>
    <row r="6" spans="1:13" x14ac:dyDescent="0.25">
      <c r="A6" s="217" t="s">
        <v>67</v>
      </c>
      <c r="B6" s="215">
        <v>3</v>
      </c>
      <c r="C6" s="218">
        <v>1650</v>
      </c>
      <c r="D6" s="219">
        <v>12.044</v>
      </c>
      <c r="E6" s="215">
        <v>3</v>
      </c>
      <c r="F6" s="218">
        <v>1650</v>
      </c>
      <c r="G6" s="220">
        <v>9.984</v>
      </c>
      <c r="H6" s="215">
        <v>3</v>
      </c>
      <c r="I6" s="218">
        <v>1650</v>
      </c>
      <c r="J6" s="220">
        <v>5.9119999999999999</v>
      </c>
      <c r="K6" s="215">
        <v>3</v>
      </c>
      <c r="L6" s="218">
        <v>1650</v>
      </c>
      <c r="M6" s="220">
        <v>7.1280000000000001</v>
      </c>
    </row>
    <row r="7" spans="1:13" x14ac:dyDescent="0.25">
      <c r="A7" s="217" t="s">
        <v>136</v>
      </c>
      <c r="B7" s="215">
        <v>1</v>
      </c>
      <c r="C7" s="218">
        <v>50</v>
      </c>
      <c r="D7" s="221">
        <v>8.4</v>
      </c>
      <c r="E7" s="215">
        <v>1</v>
      </c>
      <c r="F7" s="218">
        <v>50</v>
      </c>
      <c r="G7" s="221">
        <v>11.78</v>
      </c>
      <c r="H7" s="215">
        <v>1</v>
      </c>
      <c r="I7" s="218">
        <v>50</v>
      </c>
      <c r="J7" s="221">
        <v>14.04</v>
      </c>
      <c r="K7" s="215">
        <v>1</v>
      </c>
      <c r="L7" s="218">
        <v>50</v>
      </c>
      <c r="M7" s="221">
        <v>10.18</v>
      </c>
    </row>
    <row r="8" spans="1:13" x14ac:dyDescent="0.25">
      <c r="A8" s="217" t="s">
        <v>171</v>
      </c>
      <c r="B8" s="215">
        <v>7</v>
      </c>
      <c r="C8" s="218">
        <v>1972</v>
      </c>
      <c r="D8" s="219">
        <v>9.1560000000000006</v>
      </c>
      <c r="E8" s="215">
        <v>7</v>
      </c>
      <c r="F8" s="215">
        <v>2302</v>
      </c>
      <c r="G8" s="220">
        <v>6.1340000000000003</v>
      </c>
      <c r="H8" s="215">
        <v>7</v>
      </c>
      <c r="I8" s="215">
        <v>2302</v>
      </c>
      <c r="J8" s="220">
        <v>4.0090000000000003</v>
      </c>
      <c r="K8" s="215">
        <v>9</v>
      </c>
      <c r="L8" s="215">
        <v>2702</v>
      </c>
      <c r="M8" s="220">
        <v>8.1549999999999994</v>
      </c>
    </row>
    <row r="9" spans="1:13" x14ac:dyDescent="0.25">
      <c r="A9" s="59" t="s">
        <v>140</v>
      </c>
      <c r="B9" s="59">
        <f>SUM(B6:B8)</f>
        <v>11</v>
      </c>
      <c r="C9" s="59">
        <f>SUM(C6:C8)</f>
        <v>3672</v>
      </c>
      <c r="D9" s="238">
        <f>AVERAGE(D6:D8)</f>
        <v>9.8666666666666671</v>
      </c>
      <c r="E9" s="59">
        <f t="shared" ref="E9:F9" si="0">SUM(E6:E8)</f>
        <v>11</v>
      </c>
      <c r="F9" s="59">
        <f t="shared" si="0"/>
        <v>4002</v>
      </c>
      <c r="G9" s="238">
        <f>AVERAGE(G6:G8)</f>
        <v>9.2993333333333332</v>
      </c>
      <c r="H9" s="59">
        <f t="shared" ref="H9:I9" si="1">SUM(H6:H8)</f>
        <v>11</v>
      </c>
      <c r="I9" s="59">
        <f t="shared" si="1"/>
        <v>4002</v>
      </c>
      <c r="J9" s="238">
        <f>AVERAGE(J6:J8)</f>
        <v>7.9869999999999992</v>
      </c>
      <c r="K9" s="59">
        <f t="shared" ref="K9:L9" si="2">SUM(K6:K8)</f>
        <v>13</v>
      </c>
      <c r="L9" s="59">
        <f t="shared" si="2"/>
        <v>4402</v>
      </c>
      <c r="M9" s="238">
        <f>AVERAGE(M6:M8)</f>
        <v>8.4876666666666676</v>
      </c>
    </row>
    <row r="10" spans="1:13" x14ac:dyDescent="0.25">
      <c r="A10" s="37" t="s">
        <v>282</v>
      </c>
    </row>
    <row r="11" spans="1:13" x14ac:dyDescent="0.25">
      <c r="A11" s="102" t="s">
        <v>280</v>
      </c>
    </row>
  </sheetData>
  <mergeCells count="18">
    <mergeCell ref="L3:L5"/>
    <mergeCell ref="M3:M5"/>
    <mergeCell ref="F3:F5"/>
    <mergeCell ref="G3:G5"/>
    <mergeCell ref="H3:H5"/>
    <mergeCell ref="I3:I5"/>
    <mergeCell ref="J3:J5"/>
    <mergeCell ref="K3:K5"/>
    <mergeCell ref="A1:M1"/>
    <mergeCell ref="B2:D2"/>
    <mergeCell ref="E2:G2"/>
    <mergeCell ref="H2:J2"/>
    <mergeCell ref="K2:M2"/>
    <mergeCell ref="A3:A5"/>
    <mergeCell ref="B3:B5"/>
    <mergeCell ref="C3:C5"/>
    <mergeCell ref="D3:D5"/>
    <mergeCell ref="E3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05ED-A662-4B60-A8EC-D41186BAB3AC}">
  <dimension ref="A1:M12"/>
  <sheetViews>
    <sheetView zoomScale="90" zoomScaleNormal="90" workbookViewId="0">
      <selection activeCell="P10" sqref="P10"/>
    </sheetView>
  </sheetViews>
  <sheetFormatPr defaultRowHeight="15" x14ac:dyDescent="0.25"/>
  <cols>
    <col min="1" max="1" width="19.42578125" customWidth="1"/>
    <col min="2" max="2" width="13.28515625" customWidth="1"/>
    <col min="3" max="3" width="13.85546875" customWidth="1"/>
    <col min="4" max="4" width="16.140625" customWidth="1"/>
    <col min="5" max="5" width="15.140625" customWidth="1"/>
    <col min="6" max="6" width="17.28515625" customWidth="1"/>
    <col min="7" max="7" width="17.140625" customWidth="1"/>
    <col min="8" max="8" width="14.7109375" customWidth="1"/>
    <col min="9" max="9" width="14.5703125" customWidth="1"/>
    <col min="10" max="10" width="17.28515625" customWidth="1"/>
    <col min="11" max="11" width="12.140625" customWidth="1"/>
    <col min="12" max="12" width="12.5703125" customWidth="1"/>
    <col min="13" max="13" width="15" customWidth="1"/>
  </cols>
  <sheetData>
    <row r="1" spans="1:13" ht="18.75" customHeight="1" x14ac:dyDescent="0.3">
      <c r="A1" s="255" t="s">
        <v>283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3" ht="15.75" x14ac:dyDescent="0.25">
      <c r="A2" s="157"/>
      <c r="B2" s="248" t="s">
        <v>142</v>
      </c>
      <c r="C2" s="248"/>
      <c r="D2" s="248"/>
      <c r="E2" s="248" t="s">
        <v>143</v>
      </c>
      <c r="F2" s="248"/>
      <c r="G2" s="248"/>
      <c r="H2" s="248" t="s">
        <v>144</v>
      </c>
      <c r="I2" s="248"/>
      <c r="J2" s="248"/>
      <c r="K2" s="248" t="s">
        <v>145</v>
      </c>
      <c r="L2" s="248"/>
      <c r="M2" s="248"/>
    </row>
    <row r="3" spans="1:13" ht="45" customHeight="1" x14ac:dyDescent="0.25">
      <c r="A3" s="253" t="s">
        <v>1</v>
      </c>
      <c r="B3" s="254" t="s">
        <v>222</v>
      </c>
      <c r="C3" s="254" t="s">
        <v>185</v>
      </c>
      <c r="D3" s="254" t="s">
        <v>210</v>
      </c>
      <c r="E3" s="254" t="s">
        <v>222</v>
      </c>
      <c r="F3" s="254" t="s">
        <v>185</v>
      </c>
      <c r="G3" s="254" t="s">
        <v>210</v>
      </c>
      <c r="H3" s="254" t="s">
        <v>222</v>
      </c>
      <c r="I3" s="254" t="s">
        <v>185</v>
      </c>
      <c r="J3" s="254" t="s">
        <v>210</v>
      </c>
      <c r="K3" s="254" t="s">
        <v>222</v>
      </c>
      <c r="L3" s="254" t="s">
        <v>185</v>
      </c>
      <c r="M3" s="254" t="s">
        <v>210</v>
      </c>
    </row>
    <row r="4" spans="1:13" ht="40.5" customHeight="1" x14ac:dyDescent="0.25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</row>
    <row r="5" spans="1:13" ht="31.5" customHeight="1" x14ac:dyDescent="0.25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</row>
    <row r="6" spans="1:13" x14ac:dyDescent="0.25">
      <c r="A6" s="217" t="s">
        <v>284</v>
      </c>
      <c r="B6" s="215">
        <v>1</v>
      </c>
      <c r="C6" s="215">
        <v>300</v>
      </c>
      <c r="D6" s="215">
        <v>103.6</v>
      </c>
      <c r="E6" s="215">
        <v>1</v>
      </c>
      <c r="F6" s="215">
        <v>300</v>
      </c>
      <c r="G6" s="215">
        <v>102.2</v>
      </c>
      <c r="H6" s="215">
        <v>1</v>
      </c>
      <c r="I6" s="215">
        <v>300</v>
      </c>
      <c r="J6" s="215">
        <v>103.8</v>
      </c>
      <c r="K6" s="215">
        <v>1</v>
      </c>
      <c r="L6" s="215">
        <v>300</v>
      </c>
      <c r="M6" s="215">
        <v>100.4</v>
      </c>
    </row>
    <row r="7" spans="1:13" x14ac:dyDescent="0.25">
      <c r="A7" s="217" t="s">
        <v>123</v>
      </c>
      <c r="B7" s="215">
        <v>1</v>
      </c>
      <c r="C7" s="215">
        <v>300</v>
      </c>
      <c r="D7" s="215">
        <v>107.6</v>
      </c>
      <c r="E7" s="215">
        <v>1</v>
      </c>
      <c r="F7" s="215">
        <v>300</v>
      </c>
      <c r="G7" s="215">
        <v>104.4</v>
      </c>
      <c r="H7" s="215">
        <v>1</v>
      </c>
      <c r="I7" s="215">
        <v>300</v>
      </c>
      <c r="J7" s="215">
        <v>104.9</v>
      </c>
      <c r="K7" s="215">
        <v>1</v>
      </c>
      <c r="L7" s="215">
        <v>300</v>
      </c>
      <c r="M7" s="215">
        <v>102.9</v>
      </c>
    </row>
    <row r="8" spans="1:13" x14ac:dyDescent="0.25">
      <c r="A8" s="217" t="s">
        <v>94</v>
      </c>
      <c r="B8" s="215">
        <v>2</v>
      </c>
      <c r="C8" s="215">
        <v>1100</v>
      </c>
      <c r="D8" s="215">
        <v>144</v>
      </c>
      <c r="E8" s="215">
        <v>2</v>
      </c>
      <c r="F8" s="215">
        <v>1100</v>
      </c>
      <c r="G8" s="215">
        <v>138.5</v>
      </c>
      <c r="H8" s="215">
        <v>2</v>
      </c>
      <c r="I8" s="215">
        <v>1100</v>
      </c>
      <c r="J8" s="215">
        <v>133.30000000000001</v>
      </c>
      <c r="K8" s="215">
        <v>2</v>
      </c>
      <c r="L8" s="215">
        <v>1100</v>
      </c>
      <c r="M8" s="215">
        <v>138.19999999999999</v>
      </c>
    </row>
    <row r="9" spans="1:13" x14ac:dyDescent="0.25">
      <c r="A9" s="217" t="s">
        <v>74</v>
      </c>
      <c r="B9" s="215">
        <v>1</v>
      </c>
      <c r="C9" s="215">
        <v>400</v>
      </c>
      <c r="D9" s="215">
        <v>147.5</v>
      </c>
      <c r="E9" s="215">
        <v>1</v>
      </c>
      <c r="F9" s="215">
        <v>400</v>
      </c>
      <c r="G9" s="215">
        <v>141.69999999999999</v>
      </c>
      <c r="H9" s="215">
        <v>1</v>
      </c>
      <c r="I9" s="215">
        <v>400</v>
      </c>
      <c r="J9" s="215">
        <v>141.1</v>
      </c>
      <c r="K9" s="215">
        <v>1</v>
      </c>
      <c r="L9" s="215">
        <v>400</v>
      </c>
      <c r="M9" s="215">
        <v>143.30000000000001</v>
      </c>
    </row>
    <row r="10" spans="1:13" x14ac:dyDescent="0.25">
      <c r="A10" s="59" t="s">
        <v>140</v>
      </c>
      <c r="B10" s="59">
        <f>SUM(B6:B9)</f>
        <v>5</v>
      </c>
      <c r="C10" s="59">
        <f>SUM(C6:C9)</f>
        <v>2100</v>
      </c>
      <c r="D10" s="59">
        <v>133.69999999999999</v>
      </c>
      <c r="E10" s="59">
        <f t="shared" ref="E10:F10" si="0">SUM(E6:E9)</f>
        <v>5</v>
      </c>
      <c r="F10" s="59">
        <f t="shared" si="0"/>
        <v>2100</v>
      </c>
      <c r="G10" s="59">
        <v>129</v>
      </c>
      <c r="H10" s="59">
        <f t="shared" ref="H10:I10" si="1">SUM(H6:H9)</f>
        <v>5</v>
      </c>
      <c r="I10" s="59">
        <f t="shared" si="1"/>
        <v>2100</v>
      </c>
      <c r="J10" s="59">
        <v>126.5</v>
      </c>
      <c r="K10" s="59">
        <f t="shared" ref="K10:L10" si="2">SUM(K6:K9)</f>
        <v>5</v>
      </c>
      <c r="L10" s="59">
        <f t="shared" si="2"/>
        <v>2100</v>
      </c>
      <c r="M10" s="59">
        <v>128.69999999999999</v>
      </c>
    </row>
    <row r="11" spans="1:13" x14ac:dyDescent="0.25">
      <c r="A11" s="37" t="s">
        <v>282</v>
      </c>
    </row>
    <row r="12" spans="1:13" x14ac:dyDescent="0.25">
      <c r="A12" s="102" t="s">
        <v>280</v>
      </c>
    </row>
  </sheetData>
  <mergeCells count="18">
    <mergeCell ref="L3:L5"/>
    <mergeCell ref="M3:M5"/>
    <mergeCell ref="F3:F5"/>
    <mergeCell ref="G3:G5"/>
    <mergeCell ref="H3:H5"/>
    <mergeCell ref="I3:I5"/>
    <mergeCell ref="J3:J5"/>
    <mergeCell ref="K3:K5"/>
    <mergeCell ref="A1:M1"/>
    <mergeCell ref="B2:D2"/>
    <mergeCell ref="E2:G2"/>
    <mergeCell ref="H2:J2"/>
    <mergeCell ref="K2:M2"/>
    <mergeCell ref="A3:A5"/>
    <mergeCell ref="B3:B5"/>
    <mergeCell ref="C3:C5"/>
    <mergeCell ref="D3:D5"/>
    <mergeCell ref="E3:E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9B9A-4DC2-484B-9B38-7C22179747CF}">
  <dimension ref="A1:Q8"/>
  <sheetViews>
    <sheetView workbookViewId="0">
      <selection activeCell="D15" sqref="D15"/>
    </sheetView>
  </sheetViews>
  <sheetFormatPr defaultRowHeight="15" x14ac:dyDescent="0.25"/>
  <cols>
    <col min="1" max="1" width="14.7109375" bestFit="1" customWidth="1"/>
    <col min="2" max="2" width="14.140625" customWidth="1"/>
    <col min="3" max="3" width="13.5703125" customWidth="1"/>
    <col min="4" max="4" width="16.140625" customWidth="1"/>
    <col min="5" max="5" width="15.28515625" customWidth="1"/>
    <col min="6" max="6" width="12.5703125" customWidth="1"/>
    <col min="7" max="7" width="16.85546875" customWidth="1"/>
    <col min="8" max="9" width="15.42578125" customWidth="1"/>
    <col min="10" max="10" width="12.5703125" customWidth="1"/>
    <col min="11" max="11" width="13.7109375" customWidth="1"/>
    <col min="12" max="12" width="11.85546875" customWidth="1"/>
    <col min="13" max="13" width="15.140625" customWidth="1"/>
    <col min="14" max="14" width="13.5703125" customWidth="1"/>
    <col min="15" max="15" width="14.5703125" customWidth="1"/>
    <col min="16" max="16" width="15.140625" customWidth="1"/>
    <col min="17" max="17" width="14.85546875" customWidth="1"/>
  </cols>
  <sheetData>
    <row r="1" spans="1:17" ht="30" customHeight="1" x14ac:dyDescent="0.35">
      <c r="A1" s="256" t="s">
        <v>281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ht="15.75" x14ac:dyDescent="0.25">
      <c r="B2" s="246" t="s">
        <v>142</v>
      </c>
      <c r="C2" s="247"/>
      <c r="D2" s="247"/>
      <c r="E2" s="247"/>
      <c r="F2" s="246" t="s">
        <v>143</v>
      </c>
      <c r="G2" s="247"/>
      <c r="H2" s="247"/>
      <c r="I2" s="247"/>
      <c r="J2" s="246" t="s">
        <v>144</v>
      </c>
      <c r="K2" s="247"/>
      <c r="L2" s="247"/>
      <c r="M2" s="247"/>
      <c r="N2" s="248" t="s">
        <v>145</v>
      </c>
      <c r="O2" s="248"/>
      <c r="P2" s="248"/>
      <c r="Q2" s="248"/>
    </row>
    <row r="3" spans="1:17" ht="15" customHeight="1" x14ac:dyDescent="0.25">
      <c r="A3" s="253" t="s">
        <v>1</v>
      </c>
      <c r="B3" s="254" t="s">
        <v>194</v>
      </c>
      <c r="C3" s="254" t="s">
        <v>4</v>
      </c>
      <c r="D3" s="254" t="s">
        <v>272</v>
      </c>
      <c r="E3" s="254" t="s">
        <v>273</v>
      </c>
      <c r="F3" s="254" t="s">
        <v>194</v>
      </c>
      <c r="G3" s="254" t="s">
        <v>4</v>
      </c>
      <c r="H3" s="254" t="s">
        <v>272</v>
      </c>
      <c r="I3" s="254" t="s">
        <v>273</v>
      </c>
      <c r="J3" s="254" t="s">
        <v>194</v>
      </c>
      <c r="K3" s="254" t="s">
        <v>4</v>
      </c>
      <c r="L3" s="254" t="s">
        <v>272</v>
      </c>
      <c r="M3" s="254" t="s">
        <v>273</v>
      </c>
      <c r="N3" s="254" t="s">
        <v>194</v>
      </c>
      <c r="O3" s="254" t="s">
        <v>4</v>
      </c>
      <c r="P3" s="254" t="s">
        <v>272</v>
      </c>
      <c r="Q3" s="254" t="s">
        <v>273</v>
      </c>
    </row>
    <row r="4" spans="1:17" ht="33.75" customHeight="1" x14ac:dyDescent="0.25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</row>
    <row r="5" spans="1:17" ht="46.5" customHeight="1" x14ac:dyDescent="0.25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</row>
    <row r="6" spans="1:17" x14ac:dyDescent="0.25">
      <c r="A6" s="215" t="s">
        <v>53</v>
      </c>
      <c r="B6" s="215">
        <v>1</v>
      </c>
      <c r="C6" s="215">
        <v>400</v>
      </c>
      <c r="D6" s="215">
        <v>400</v>
      </c>
      <c r="E6" s="216">
        <f>183/400*100</f>
        <v>45.75</v>
      </c>
      <c r="F6" s="215">
        <v>1</v>
      </c>
      <c r="G6" s="215">
        <v>400</v>
      </c>
      <c r="H6" s="215">
        <v>400</v>
      </c>
      <c r="I6" s="216">
        <f>183/400*100</f>
        <v>45.75</v>
      </c>
      <c r="J6" s="215">
        <v>1</v>
      </c>
      <c r="K6" s="215">
        <v>400</v>
      </c>
      <c r="L6" s="215">
        <v>400</v>
      </c>
      <c r="M6" s="216">
        <f>281/400*100</f>
        <v>70.25</v>
      </c>
      <c r="N6" s="215">
        <v>1</v>
      </c>
      <c r="O6" s="215">
        <v>400</v>
      </c>
      <c r="P6" s="215">
        <v>400</v>
      </c>
      <c r="Q6" s="216">
        <f>288/400*100</f>
        <v>72</v>
      </c>
    </row>
    <row r="7" spans="1:17" x14ac:dyDescent="0.25">
      <c r="A7" s="37" t="s">
        <v>282</v>
      </c>
    </row>
    <row r="8" spans="1:17" x14ac:dyDescent="0.25">
      <c r="A8" s="102" t="s">
        <v>280</v>
      </c>
    </row>
  </sheetData>
  <mergeCells count="22">
    <mergeCell ref="Q3:Q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A1:Q1"/>
    <mergeCell ref="B2:E2"/>
    <mergeCell ref="F2:I2"/>
    <mergeCell ref="J2:M2"/>
    <mergeCell ref="N2:Q2"/>
    <mergeCell ref="A3:A5"/>
    <mergeCell ref="B3:B5"/>
    <mergeCell ref="C3:C5"/>
    <mergeCell ref="D3:D5"/>
    <mergeCell ref="E3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914B9-21BB-4FFF-A545-801C401550A7}">
  <dimension ref="A1:O10"/>
  <sheetViews>
    <sheetView topLeftCell="B1" workbookViewId="0">
      <selection activeCell="A5" sqref="A5:XFD5"/>
    </sheetView>
  </sheetViews>
  <sheetFormatPr defaultRowHeight="15" x14ac:dyDescent="0.25"/>
  <cols>
    <col min="1" max="1" width="26.28515625" customWidth="1"/>
    <col min="2" max="2" width="14.140625" customWidth="1"/>
    <col min="4" max="4" width="15.28515625" customWidth="1"/>
    <col min="8" max="8" width="20.85546875" customWidth="1"/>
    <col min="15" max="15" width="20.140625" customWidth="1"/>
  </cols>
  <sheetData>
    <row r="1" spans="1:15" ht="27" customHeight="1" x14ac:dyDescent="0.3">
      <c r="A1" s="244" t="s">
        <v>279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29.25" customHeight="1" x14ac:dyDescent="0.25">
      <c r="A2" s="245" t="s">
        <v>1</v>
      </c>
      <c r="B2" s="246" t="s">
        <v>142</v>
      </c>
      <c r="C2" s="247"/>
      <c r="D2" s="247"/>
      <c r="E2" s="246" t="s">
        <v>143</v>
      </c>
      <c r="F2" s="247"/>
      <c r="G2" s="247"/>
      <c r="H2" s="258"/>
      <c r="I2" s="246" t="s">
        <v>144</v>
      </c>
      <c r="J2" s="247"/>
      <c r="K2" s="247"/>
      <c r="L2" s="246" t="s">
        <v>145</v>
      </c>
      <c r="M2" s="247"/>
      <c r="N2" s="247"/>
      <c r="O2" s="258"/>
    </row>
    <row r="3" spans="1:15" ht="38.25" customHeight="1" x14ac:dyDescent="0.25">
      <c r="A3" s="245"/>
      <c r="B3" s="249" t="s">
        <v>162</v>
      </c>
      <c r="C3" s="249" t="s">
        <v>163</v>
      </c>
      <c r="D3" s="250" t="s">
        <v>164</v>
      </c>
      <c r="E3" s="249" t="s">
        <v>162</v>
      </c>
      <c r="F3" s="249" t="s">
        <v>163</v>
      </c>
      <c r="G3" s="250" t="s">
        <v>164</v>
      </c>
      <c r="H3" s="257" t="s">
        <v>177</v>
      </c>
      <c r="I3" s="249" t="s">
        <v>162</v>
      </c>
      <c r="J3" s="249" t="s">
        <v>163</v>
      </c>
      <c r="K3" s="250" t="s">
        <v>164</v>
      </c>
      <c r="L3" s="249" t="s">
        <v>162</v>
      </c>
      <c r="M3" s="249" t="s">
        <v>163</v>
      </c>
      <c r="N3" s="250" t="s">
        <v>164</v>
      </c>
      <c r="O3" s="257" t="s">
        <v>177</v>
      </c>
    </row>
    <row r="4" spans="1:15" ht="41.25" customHeight="1" x14ac:dyDescent="0.25">
      <c r="A4" s="245"/>
      <c r="B4" s="249"/>
      <c r="C4" s="249"/>
      <c r="D4" s="250"/>
      <c r="E4" s="249"/>
      <c r="F4" s="249"/>
      <c r="G4" s="250"/>
      <c r="H4" s="257"/>
      <c r="I4" s="249"/>
      <c r="J4" s="249"/>
      <c r="K4" s="250"/>
      <c r="L4" s="249"/>
      <c r="M4" s="249"/>
      <c r="N4" s="250"/>
      <c r="O4" s="257"/>
    </row>
    <row r="5" spans="1:15" ht="15.75" x14ac:dyDescent="0.25">
      <c r="A5" s="45" t="s">
        <v>229</v>
      </c>
      <c r="B5" s="57">
        <v>1</v>
      </c>
      <c r="C5" s="57">
        <v>30</v>
      </c>
      <c r="D5" s="58">
        <v>6.3E-2</v>
      </c>
      <c r="E5" s="57">
        <v>1</v>
      </c>
      <c r="F5" s="57">
        <v>30</v>
      </c>
      <c r="G5" s="94">
        <v>0.1</v>
      </c>
      <c r="H5" s="196">
        <v>0</v>
      </c>
      <c r="I5" s="57">
        <v>1</v>
      </c>
      <c r="J5" s="57">
        <v>30</v>
      </c>
      <c r="K5" s="94">
        <v>0.11899999999999999</v>
      </c>
      <c r="L5" s="57">
        <v>1</v>
      </c>
      <c r="M5" s="57">
        <v>30</v>
      </c>
      <c r="N5" s="94">
        <v>0.16</v>
      </c>
      <c r="O5" s="197">
        <v>0.5</v>
      </c>
    </row>
    <row r="6" spans="1:15" ht="15.75" x14ac:dyDescent="0.25">
      <c r="A6" s="45" t="s">
        <v>136</v>
      </c>
      <c r="B6" s="57">
        <v>1</v>
      </c>
      <c r="C6" s="57">
        <v>30</v>
      </c>
      <c r="D6" s="58">
        <v>0.13300000000000001</v>
      </c>
      <c r="E6" s="57">
        <v>1</v>
      </c>
      <c r="F6" s="57">
        <v>30</v>
      </c>
      <c r="G6" s="94">
        <v>0.17100000000000001</v>
      </c>
      <c r="H6" s="196">
        <v>0.5</v>
      </c>
      <c r="I6" s="57">
        <v>1</v>
      </c>
      <c r="J6" s="57">
        <v>30</v>
      </c>
      <c r="K6" s="94">
        <v>0.248</v>
      </c>
      <c r="L6" s="57">
        <v>1</v>
      </c>
      <c r="M6" s="57">
        <v>30</v>
      </c>
      <c r="N6" s="94">
        <v>0.46700000000000003</v>
      </c>
      <c r="O6" s="197">
        <v>0.66700000000000004</v>
      </c>
    </row>
    <row r="7" spans="1:15" ht="15.75" x14ac:dyDescent="0.25">
      <c r="A7" s="45" t="s">
        <v>53</v>
      </c>
      <c r="B7" s="57">
        <v>1</v>
      </c>
      <c r="C7" s="57">
        <v>30</v>
      </c>
      <c r="D7" s="58">
        <v>0.35299999999999998</v>
      </c>
      <c r="E7" s="57">
        <v>1</v>
      </c>
      <c r="F7" s="57">
        <v>30</v>
      </c>
      <c r="G7" s="94">
        <v>0.47</v>
      </c>
      <c r="H7" s="196">
        <v>0.44400000000000001</v>
      </c>
      <c r="I7" s="57">
        <v>1</v>
      </c>
      <c r="J7" s="57">
        <v>30</v>
      </c>
      <c r="K7" s="94">
        <v>0.28699999999999998</v>
      </c>
      <c r="L7" s="57">
        <v>1</v>
      </c>
      <c r="M7" s="57">
        <v>30</v>
      </c>
      <c r="N7" s="94">
        <v>0.27</v>
      </c>
      <c r="O7" s="197">
        <v>0.875</v>
      </c>
    </row>
    <row r="8" spans="1:15" ht="15.75" x14ac:dyDescent="0.25">
      <c r="A8" s="59" t="s">
        <v>140</v>
      </c>
      <c r="B8" s="62">
        <f>SUM(B5:B7)</f>
        <v>3</v>
      </c>
      <c r="C8" s="62">
        <f>SUM(C5:C7)</f>
        <v>90</v>
      </c>
      <c r="D8" s="166">
        <f>AVERAGE(D5:D7)</f>
        <v>0.18299999999999997</v>
      </c>
      <c r="E8" s="62">
        <f>SUM(E5:E7)</f>
        <v>3</v>
      </c>
      <c r="F8" s="62">
        <f>SUM(F5:F7)</f>
        <v>90</v>
      </c>
      <c r="G8" s="166">
        <f>AVERAGE(G5:G7)</f>
        <v>0.247</v>
      </c>
      <c r="H8" s="166">
        <f>AVERAGE(H5:H7)</f>
        <v>0.31466666666666665</v>
      </c>
      <c r="I8" s="62">
        <f>SUM(I5:I7)</f>
        <v>3</v>
      </c>
      <c r="J8" s="61">
        <f>SUM(J5:J7)</f>
        <v>90</v>
      </c>
      <c r="K8" s="166">
        <f>AVERAGE(K5:K7)</f>
        <v>0.21799999999999997</v>
      </c>
      <c r="L8" s="62">
        <f>SUM(L5:L7)</f>
        <v>3</v>
      </c>
      <c r="M8" s="62">
        <f>SUM(M5:M7)</f>
        <v>90</v>
      </c>
      <c r="N8" s="166">
        <f>AVERAGE(N5:N7)</f>
        <v>0.29899999999999999</v>
      </c>
      <c r="O8" s="166">
        <f>AVERAGE(O5:O7)</f>
        <v>0.68066666666666664</v>
      </c>
    </row>
    <row r="9" spans="1:15" x14ac:dyDescent="0.25">
      <c r="A9" s="37" t="s">
        <v>183</v>
      </c>
    </row>
    <row r="10" spans="1:15" x14ac:dyDescent="0.25">
      <c r="A10" s="37" t="s">
        <v>280</v>
      </c>
      <c r="B10" s="30"/>
    </row>
  </sheetData>
  <mergeCells count="20">
    <mergeCell ref="A1:O1"/>
    <mergeCell ref="A2:A4"/>
    <mergeCell ref="B2:D2"/>
    <mergeCell ref="E2:H2"/>
    <mergeCell ref="I2:K2"/>
    <mergeCell ref="L2:O2"/>
    <mergeCell ref="B3:B4"/>
    <mergeCell ref="C3:C4"/>
    <mergeCell ref="D3:D4"/>
    <mergeCell ref="E3:E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243D-C94D-4E10-879F-DB4BF1F52D5A}">
  <dimension ref="A1:O106"/>
  <sheetViews>
    <sheetView topLeftCell="E84" zoomScale="75" zoomScaleNormal="75" zoomScaleSheetLayoutView="90" workbookViewId="0">
      <selection activeCell="O9" sqref="O9"/>
    </sheetView>
  </sheetViews>
  <sheetFormatPr defaultRowHeight="15" x14ac:dyDescent="0.25"/>
  <cols>
    <col min="1" max="1" width="12.42578125" customWidth="1"/>
    <col min="2" max="2" width="23.7109375" customWidth="1"/>
    <col min="3" max="3" width="20" customWidth="1"/>
    <col min="4" max="4" width="12.5703125" style="33" customWidth="1"/>
    <col min="5" max="5" width="12" customWidth="1"/>
    <col min="6" max="6" width="25.7109375" customWidth="1"/>
    <col min="7" max="8" width="11.7109375" customWidth="1"/>
    <col min="9" max="9" width="25.7109375" customWidth="1"/>
    <col min="10" max="11" width="11.7109375" customWidth="1"/>
    <col min="12" max="12" width="25.7109375" customWidth="1"/>
    <col min="13" max="14" width="11.7109375" customWidth="1"/>
    <col min="15" max="15" width="25.7109375" customWidth="1"/>
    <col min="248" max="248" width="25.42578125" customWidth="1"/>
    <col min="249" max="249" width="27" customWidth="1"/>
    <col min="250" max="250" width="10.7109375" customWidth="1"/>
    <col min="251" max="251" width="12.85546875" customWidth="1"/>
    <col min="252" max="254" width="10.7109375" customWidth="1"/>
    <col min="255" max="255" width="12.85546875" customWidth="1"/>
    <col min="256" max="257" width="10.7109375" customWidth="1"/>
    <col min="258" max="258" width="11.7109375" customWidth="1"/>
    <col min="259" max="259" width="6.7109375" customWidth="1"/>
    <col min="260" max="260" width="15.5703125" customWidth="1"/>
    <col min="504" max="504" width="25.42578125" customWidth="1"/>
    <col min="505" max="505" width="27" customWidth="1"/>
    <col min="506" max="506" width="10.7109375" customWidth="1"/>
    <col min="507" max="507" width="12.85546875" customWidth="1"/>
    <col min="508" max="510" width="10.7109375" customWidth="1"/>
    <col min="511" max="511" width="12.85546875" customWidth="1"/>
    <col min="512" max="513" width="10.7109375" customWidth="1"/>
    <col min="514" max="514" width="11.7109375" customWidth="1"/>
    <col min="515" max="515" width="6.7109375" customWidth="1"/>
    <col min="516" max="516" width="15.5703125" customWidth="1"/>
    <col min="760" max="760" width="25.42578125" customWidth="1"/>
    <col min="761" max="761" width="27" customWidth="1"/>
    <col min="762" max="762" width="10.7109375" customWidth="1"/>
    <col min="763" max="763" width="12.85546875" customWidth="1"/>
    <col min="764" max="766" width="10.7109375" customWidth="1"/>
    <col min="767" max="767" width="12.85546875" customWidth="1"/>
    <col min="768" max="769" width="10.7109375" customWidth="1"/>
    <col min="770" max="770" width="11.7109375" customWidth="1"/>
    <col min="771" max="771" width="6.7109375" customWidth="1"/>
    <col min="772" max="772" width="15.5703125" customWidth="1"/>
    <col min="1016" max="1016" width="25.42578125" customWidth="1"/>
    <col min="1017" max="1017" width="27" customWidth="1"/>
    <col min="1018" max="1018" width="10.7109375" customWidth="1"/>
    <col min="1019" max="1019" width="12.85546875" customWidth="1"/>
    <col min="1020" max="1022" width="10.7109375" customWidth="1"/>
    <col min="1023" max="1023" width="12.85546875" customWidth="1"/>
    <col min="1024" max="1025" width="10.7109375" customWidth="1"/>
    <col min="1026" max="1026" width="11.7109375" customWidth="1"/>
    <col min="1027" max="1027" width="6.7109375" customWidth="1"/>
    <col min="1028" max="1028" width="15.5703125" customWidth="1"/>
    <col min="1272" max="1272" width="25.42578125" customWidth="1"/>
    <col min="1273" max="1273" width="27" customWidth="1"/>
    <col min="1274" max="1274" width="10.7109375" customWidth="1"/>
    <col min="1275" max="1275" width="12.85546875" customWidth="1"/>
    <col min="1276" max="1278" width="10.7109375" customWidth="1"/>
    <col min="1279" max="1279" width="12.85546875" customWidth="1"/>
    <col min="1280" max="1281" width="10.7109375" customWidth="1"/>
    <col min="1282" max="1282" width="11.7109375" customWidth="1"/>
    <col min="1283" max="1283" width="6.7109375" customWidth="1"/>
    <col min="1284" max="1284" width="15.5703125" customWidth="1"/>
    <col min="1528" max="1528" width="25.42578125" customWidth="1"/>
    <col min="1529" max="1529" width="27" customWidth="1"/>
    <col min="1530" max="1530" width="10.7109375" customWidth="1"/>
    <col min="1531" max="1531" width="12.85546875" customWidth="1"/>
    <col min="1532" max="1534" width="10.7109375" customWidth="1"/>
    <col min="1535" max="1535" width="12.85546875" customWidth="1"/>
    <col min="1536" max="1537" width="10.7109375" customWidth="1"/>
    <col min="1538" max="1538" width="11.7109375" customWidth="1"/>
    <col min="1539" max="1539" width="6.7109375" customWidth="1"/>
    <col min="1540" max="1540" width="15.5703125" customWidth="1"/>
    <col min="1784" max="1784" width="25.42578125" customWidth="1"/>
    <col min="1785" max="1785" width="27" customWidth="1"/>
    <col min="1786" max="1786" width="10.7109375" customWidth="1"/>
    <col min="1787" max="1787" width="12.85546875" customWidth="1"/>
    <col min="1788" max="1790" width="10.7109375" customWidth="1"/>
    <col min="1791" max="1791" width="12.85546875" customWidth="1"/>
    <col min="1792" max="1793" width="10.7109375" customWidth="1"/>
    <col min="1794" max="1794" width="11.7109375" customWidth="1"/>
    <col min="1795" max="1795" width="6.7109375" customWidth="1"/>
    <col min="1796" max="1796" width="15.5703125" customWidth="1"/>
    <col min="2040" max="2040" width="25.42578125" customWidth="1"/>
    <col min="2041" max="2041" width="27" customWidth="1"/>
    <col min="2042" max="2042" width="10.7109375" customWidth="1"/>
    <col min="2043" max="2043" width="12.85546875" customWidth="1"/>
    <col min="2044" max="2046" width="10.7109375" customWidth="1"/>
    <col min="2047" max="2047" width="12.85546875" customWidth="1"/>
    <col min="2048" max="2049" width="10.7109375" customWidth="1"/>
    <col min="2050" max="2050" width="11.7109375" customWidth="1"/>
    <col min="2051" max="2051" width="6.7109375" customWidth="1"/>
    <col min="2052" max="2052" width="15.5703125" customWidth="1"/>
    <col min="2296" max="2296" width="25.42578125" customWidth="1"/>
    <col min="2297" max="2297" width="27" customWidth="1"/>
    <col min="2298" max="2298" width="10.7109375" customWidth="1"/>
    <col min="2299" max="2299" width="12.85546875" customWidth="1"/>
    <col min="2300" max="2302" width="10.7109375" customWidth="1"/>
    <col min="2303" max="2303" width="12.85546875" customWidth="1"/>
    <col min="2304" max="2305" width="10.7109375" customWidth="1"/>
    <col min="2306" max="2306" width="11.7109375" customWidth="1"/>
    <col min="2307" max="2307" width="6.7109375" customWidth="1"/>
    <col min="2308" max="2308" width="15.5703125" customWidth="1"/>
    <col min="2552" max="2552" width="25.42578125" customWidth="1"/>
    <col min="2553" max="2553" width="27" customWidth="1"/>
    <col min="2554" max="2554" width="10.7109375" customWidth="1"/>
    <col min="2555" max="2555" width="12.85546875" customWidth="1"/>
    <col min="2556" max="2558" width="10.7109375" customWidth="1"/>
    <col min="2559" max="2559" width="12.85546875" customWidth="1"/>
    <col min="2560" max="2561" width="10.7109375" customWidth="1"/>
    <col min="2562" max="2562" width="11.7109375" customWidth="1"/>
    <col min="2563" max="2563" width="6.7109375" customWidth="1"/>
    <col min="2564" max="2564" width="15.5703125" customWidth="1"/>
    <col min="2808" max="2808" width="25.42578125" customWidth="1"/>
    <col min="2809" max="2809" width="27" customWidth="1"/>
    <col min="2810" max="2810" width="10.7109375" customWidth="1"/>
    <col min="2811" max="2811" width="12.85546875" customWidth="1"/>
    <col min="2812" max="2814" width="10.7109375" customWidth="1"/>
    <col min="2815" max="2815" width="12.85546875" customWidth="1"/>
    <col min="2816" max="2817" width="10.7109375" customWidth="1"/>
    <col min="2818" max="2818" width="11.7109375" customWidth="1"/>
    <col min="2819" max="2819" width="6.7109375" customWidth="1"/>
    <col min="2820" max="2820" width="15.5703125" customWidth="1"/>
    <col min="3064" max="3064" width="25.42578125" customWidth="1"/>
    <col min="3065" max="3065" width="27" customWidth="1"/>
    <col min="3066" max="3066" width="10.7109375" customWidth="1"/>
    <col min="3067" max="3067" width="12.85546875" customWidth="1"/>
    <col min="3068" max="3070" width="10.7109375" customWidth="1"/>
    <col min="3071" max="3071" width="12.85546875" customWidth="1"/>
    <col min="3072" max="3073" width="10.7109375" customWidth="1"/>
    <col min="3074" max="3074" width="11.7109375" customWidth="1"/>
    <col min="3075" max="3075" width="6.7109375" customWidth="1"/>
    <col min="3076" max="3076" width="15.5703125" customWidth="1"/>
    <col min="3320" max="3320" width="25.42578125" customWidth="1"/>
    <col min="3321" max="3321" width="27" customWidth="1"/>
    <col min="3322" max="3322" width="10.7109375" customWidth="1"/>
    <col min="3323" max="3323" width="12.85546875" customWidth="1"/>
    <col min="3324" max="3326" width="10.7109375" customWidth="1"/>
    <col min="3327" max="3327" width="12.85546875" customWidth="1"/>
    <col min="3328" max="3329" width="10.7109375" customWidth="1"/>
    <col min="3330" max="3330" width="11.7109375" customWidth="1"/>
    <col min="3331" max="3331" width="6.7109375" customWidth="1"/>
    <col min="3332" max="3332" width="15.5703125" customWidth="1"/>
    <col min="3576" max="3576" width="25.42578125" customWidth="1"/>
    <col min="3577" max="3577" width="27" customWidth="1"/>
    <col min="3578" max="3578" width="10.7109375" customWidth="1"/>
    <col min="3579" max="3579" width="12.85546875" customWidth="1"/>
    <col min="3580" max="3582" width="10.7109375" customWidth="1"/>
    <col min="3583" max="3583" width="12.85546875" customWidth="1"/>
    <col min="3584" max="3585" width="10.7109375" customWidth="1"/>
    <col min="3586" max="3586" width="11.7109375" customWidth="1"/>
    <col min="3587" max="3587" width="6.7109375" customWidth="1"/>
    <col min="3588" max="3588" width="15.5703125" customWidth="1"/>
    <col min="3832" max="3832" width="25.42578125" customWidth="1"/>
    <col min="3833" max="3833" width="27" customWidth="1"/>
    <col min="3834" max="3834" width="10.7109375" customWidth="1"/>
    <col min="3835" max="3835" width="12.85546875" customWidth="1"/>
    <col min="3836" max="3838" width="10.7109375" customWidth="1"/>
    <col min="3839" max="3839" width="12.85546875" customWidth="1"/>
    <col min="3840" max="3841" width="10.7109375" customWidth="1"/>
    <col min="3842" max="3842" width="11.7109375" customWidth="1"/>
    <col min="3843" max="3843" width="6.7109375" customWidth="1"/>
    <col min="3844" max="3844" width="15.5703125" customWidth="1"/>
    <col min="4088" max="4088" width="25.42578125" customWidth="1"/>
    <col min="4089" max="4089" width="27" customWidth="1"/>
    <col min="4090" max="4090" width="10.7109375" customWidth="1"/>
    <col min="4091" max="4091" width="12.85546875" customWidth="1"/>
    <col min="4092" max="4094" width="10.7109375" customWidth="1"/>
    <col min="4095" max="4095" width="12.85546875" customWidth="1"/>
    <col min="4096" max="4097" width="10.7109375" customWidth="1"/>
    <col min="4098" max="4098" width="11.7109375" customWidth="1"/>
    <col min="4099" max="4099" width="6.7109375" customWidth="1"/>
    <col min="4100" max="4100" width="15.5703125" customWidth="1"/>
    <col min="4344" max="4344" width="25.42578125" customWidth="1"/>
    <col min="4345" max="4345" width="27" customWidth="1"/>
    <col min="4346" max="4346" width="10.7109375" customWidth="1"/>
    <col min="4347" max="4347" width="12.85546875" customWidth="1"/>
    <col min="4348" max="4350" width="10.7109375" customWidth="1"/>
    <col min="4351" max="4351" width="12.85546875" customWidth="1"/>
    <col min="4352" max="4353" width="10.7109375" customWidth="1"/>
    <col min="4354" max="4354" width="11.7109375" customWidth="1"/>
    <col min="4355" max="4355" width="6.7109375" customWidth="1"/>
    <col min="4356" max="4356" width="15.5703125" customWidth="1"/>
    <col min="4600" max="4600" width="25.42578125" customWidth="1"/>
    <col min="4601" max="4601" width="27" customWidth="1"/>
    <col min="4602" max="4602" width="10.7109375" customWidth="1"/>
    <col min="4603" max="4603" width="12.85546875" customWidth="1"/>
    <col min="4604" max="4606" width="10.7109375" customWidth="1"/>
    <col min="4607" max="4607" width="12.85546875" customWidth="1"/>
    <col min="4608" max="4609" width="10.7109375" customWidth="1"/>
    <col min="4610" max="4610" width="11.7109375" customWidth="1"/>
    <col min="4611" max="4611" width="6.7109375" customWidth="1"/>
    <col min="4612" max="4612" width="15.5703125" customWidth="1"/>
    <col min="4856" max="4856" width="25.42578125" customWidth="1"/>
    <col min="4857" max="4857" width="27" customWidth="1"/>
    <col min="4858" max="4858" width="10.7109375" customWidth="1"/>
    <col min="4859" max="4859" width="12.85546875" customWidth="1"/>
    <col min="4860" max="4862" width="10.7109375" customWidth="1"/>
    <col min="4863" max="4863" width="12.85546875" customWidth="1"/>
    <col min="4864" max="4865" width="10.7109375" customWidth="1"/>
    <col min="4866" max="4866" width="11.7109375" customWidth="1"/>
    <col min="4867" max="4867" width="6.7109375" customWidth="1"/>
    <col min="4868" max="4868" width="15.5703125" customWidth="1"/>
    <col min="5112" max="5112" width="25.42578125" customWidth="1"/>
    <col min="5113" max="5113" width="27" customWidth="1"/>
    <col min="5114" max="5114" width="10.7109375" customWidth="1"/>
    <col min="5115" max="5115" width="12.85546875" customWidth="1"/>
    <col min="5116" max="5118" width="10.7109375" customWidth="1"/>
    <col min="5119" max="5119" width="12.85546875" customWidth="1"/>
    <col min="5120" max="5121" width="10.7109375" customWidth="1"/>
    <col min="5122" max="5122" width="11.7109375" customWidth="1"/>
    <col min="5123" max="5123" width="6.7109375" customWidth="1"/>
    <col min="5124" max="5124" width="15.5703125" customWidth="1"/>
    <col min="5368" max="5368" width="25.42578125" customWidth="1"/>
    <col min="5369" max="5369" width="27" customWidth="1"/>
    <col min="5370" max="5370" width="10.7109375" customWidth="1"/>
    <col min="5371" max="5371" width="12.85546875" customWidth="1"/>
    <col min="5372" max="5374" width="10.7109375" customWidth="1"/>
    <col min="5375" max="5375" width="12.85546875" customWidth="1"/>
    <col min="5376" max="5377" width="10.7109375" customWidth="1"/>
    <col min="5378" max="5378" width="11.7109375" customWidth="1"/>
    <col min="5379" max="5379" width="6.7109375" customWidth="1"/>
    <col min="5380" max="5380" width="15.5703125" customWidth="1"/>
    <col min="5624" max="5624" width="25.42578125" customWidth="1"/>
    <col min="5625" max="5625" width="27" customWidth="1"/>
    <col min="5626" max="5626" width="10.7109375" customWidth="1"/>
    <col min="5627" max="5627" width="12.85546875" customWidth="1"/>
    <col min="5628" max="5630" width="10.7109375" customWidth="1"/>
    <col min="5631" max="5631" width="12.85546875" customWidth="1"/>
    <col min="5632" max="5633" width="10.7109375" customWidth="1"/>
    <col min="5634" max="5634" width="11.7109375" customWidth="1"/>
    <col min="5635" max="5635" width="6.7109375" customWidth="1"/>
    <col min="5636" max="5636" width="15.5703125" customWidth="1"/>
    <col min="5880" max="5880" width="25.42578125" customWidth="1"/>
    <col min="5881" max="5881" width="27" customWidth="1"/>
    <col min="5882" max="5882" width="10.7109375" customWidth="1"/>
    <col min="5883" max="5883" width="12.85546875" customWidth="1"/>
    <col min="5884" max="5886" width="10.7109375" customWidth="1"/>
    <col min="5887" max="5887" width="12.85546875" customWidth="1"/>
    <col min="5888" max="5889" width="10.7109375" customWidth="1"/>
    <col min="5890" max="5890" width="11.7109375" customWidth="1"/>
    <col min="5891" max="5891" width="6.7109375" customWidth="1"/>
    <col min="5892" max="5892" width="15.5703125" customWidth="1"/>
    <col min="6136" max="6136" width="25.42578125" customWidth="1"/>
    <col min="6137" max="6137" width="27" customWidth="1"/>
    <col min="6138" max="6138" width="10.7109375" customWidth="1"/>
    <col min="6139" max="6139" width="12.85546875" customWidth="1"/>
    <col min="6140" max="6142" width="10.7109375" customWidth="1"/>
    <col min="6143" max="6143" width="12.85546875" customWidth="1"/>
    <col min="6144" max="6145" width="10.7109375" customWidth="1"/>
    <col min="6146" max="6146" width="11.7109375" customWidth="1"/>
    <col min="6147" max="6147" width="6.7109375" customWidth="1"/>
    <col min="6148" max="6148" width="15.5703125" customWidth="1"/>
    <col min="6392" max="6392" width="25.42578125" customWidth="1"/>
    <col min="6393" max="6393" width="27" customWidth="1"/>
    <col min="6394" max="6394" width="10.7109375" customWidth="1"/>
    <col min="6395" max="6395" width="12.85546875" customWidth="1"/>
    <col min="6396" max="6398" width="10.7109375" customWidth="1"/>
    <col min="6399" max="6399" width="12.85546875" customWidth="1"/>
    <col min="6400" max="6401" width="10.7109375" customWidth="1"/>
    <col min="6402" max="6402" width="11.7109375" customWidth="1"/>
    <col min="6403" max="6403" width="6.7109375" customWidth="1"/>
    <col min="6404" max="6404" width="15.5703125" customWidth="1"/>
    <col min="6648" max="6648" width="25.42578125" customWidth="1"/>
    <col min="6649" max="6649" width="27" customWidth="1"/>
    <col min="6650" max="6650" width="10.7109375" customWidth="1"/>
    <col min="6651" max="6651" width="12.85546875" customWidth="1"/>
    <col min="6652" max="6654" width="10.7109375" customWidth="1"/>
    <col min="6655" max="6655" width="12.85546875" customWidth="1"/>
    <col min="6656" max="6657" width="10.7109375" customWidth="1"/>
    <col min="6658" max="6658" width="11.7109375" customWidth="1"/>
    <col min="6659" max="6659" width="6.7109375" customWidth="1"/>
    <col min="6660" max="6660" width="15.5703125" customWidth="1"/>
    <col min="6904" max="6904" width="25.42578125" customWidth="1"/>
    <col min="6905" max="6905" width="27" customWidth="1"/>
    <col min="6906" max="6906" width="10.7109375" customWidth="1"/>
    <col min="6907" max="6907" width="12.85546875" customWidth="1"/>
    <col min="6908" max="6910" width="10.7109375" customWidth="1"/>
    <col min="6911" max="6911" width="12.85546875" customWidth="1"/>
    <col min="6912" max="6913" width="10.7109375" customWidth="1"/>
    <col min="6914" max="6914" width="11.7109375" customWidth="1"/>
    <col min="6915" max="6915" width="6.7109375" customWidth="1"/>
    <col min="6916" max="6916" width="15.5703125" customWidth="1"/>
    <col min="7160" max="7160" width="25.42578125" customWidth="1"/>
    <col min="7161" max="7161" width="27" customWidth="1"/>
    <col min="7162" max="7162" width="10.7109375" customWidth="1"/>
    <col min="7163" max="7163" width="12.85546875" customWidth="1"/>
    <col min="7164" max="7166" width="10.7109375" customWidth="1"/>
    <col min="7167" max="7167" width="12.85546875" customWidth="1"/>
    <col min="7168" max="7169" width="10.7109375" customWidth="1"/>
    <col min="7170" max="7170" width="11.7109375" customWidth="1"/>
    <col min="7171" max="7171" width="6.7109375" customWidth="1"/>
    <col min="7172" max="7172" width="15.5703125" customWidth="1"/>
    <col min="7416" max="7416" width="25.42578125" customWidth="1"/>
    <col min="7417" max="7417" width="27" customWidth="1"/>
    <col min="7418" max="7418" width="10.7109375" customWidth="1"/>
    <col min="7419" max="7419" width="12.85546875" customWidth="1"/>
    <col min="7420" max="7422" width="10.7109375" customWidth="1"/>
    <col min="7423" max="7423" width="12.85546875" customWidth="1"/>
    <col min="7424" max="7425" width="10.7109375" customWidth="1"/>
    <col min="7426" max="7426" width="11.7109375" customWidth="1"/>
    <col min="7427" max="7427" width="6.7109375" customWidth="1"/>
    <col min="7428" max="7428" width="15.5703125" customWidth="1"/>
    <col min="7672" max="7672" width="25.42578125" customWidth="1"/>
    <col min="7673" max="7673" width="27" customWidth="1"/>
    <col min="7674" max="7674" width="10.7109375" customWidth="1"/>
    <col min="7675" max="7675" width="12.85546875" customWidth="1"/>
    <col min="7676" max="7678" width="10.7109375" customWidth="1"/>
    <col min="7679" max="7679" width="12.85546875" customWidth="1"/>
    <col min="7680" max="7681" width="10.7109375" customWidth="1"/>
    <col min="7682" max="7682" width="11.7109375" customWidth="1"/>
    <col min="7683" max="7683" width="6.7109375" customWidth="1"/>
    <col min="7684" max="7684" width="15.5703125" customWidth="1"/>
    <col min="7928" max="7928" width="25.42578125" customWidth="1"/>
    <col min="7929" max="7929" width="27" customWidth="1"/>
    <col min="7930" max="7930" width="10.7109375" customWidth="1"/>
    <col min="7931" max="7931" width="12.85546875" customWidth="1"/>
    <col min="7932" max="7934" width="10.7109375" customWidth="1"/>
    <col min="7935" max="7935" width="12.85546875" customWidth="1"/>
    <col min="7936" max="7937" width="10.7109375" customWidth="1"/>
    <col min="7938" max="7938" width="11.7109375" customWidth="1"/>
    <col min="7939" max="7939" width="6.7109375" customWidth="1"/>
    <col min="7940" max="7940" width="15.5703125" customWidth="1"/>
    <col min="8184" max="8184" width="25.42578125" customWidth="1"/>
    <col min="8185" max="8185" width="27" customWidth="1"/>
    <col min="8186" max="8186" width="10.7109375" customWidth="1"/>
    <col min="8187" max="8187" width="12.85546875" customWidth="1"/>
    <col min="8188" max="8190" width="10.7109375" customWidth="1"/>
    <col min="8191" max="8191" width="12.85546875" customWidth="1"/>
    <col min="8192" max="8193" width="10.7109375" customWidth="1"/>
    <col min="8194" max="8194" width="11.7109375" customWidth="1"/>
    <col min="8195" max="8195" width="6.7109375" customWidth="1"/>
    <col min="8196" max="8196" width="15.5703125" customWidth="1"/>
    <col min="8440" max="8440" width="25.42578125" customWidth="1"/>
    <col min="8441" max="8441" width="27" customWidth="1"/>
    <col min="8442" max="8442" width="10.7109375" customWidth="1"/>
    <col min="8443" max="8443" width="12.85546875" customWidth="1"/>
    <col min="8444" max="8446" width="10.7109375" customWidth="1"/>
    <col min="8447" max="8447" width="12.85546875" customWidth="1"/>
    <col min="8448" max="8449" width="10.7109375" customWidth="1"/>
    <col min="8450" max="8450" width="11.7109375" customWidth="1"/>
    <col min="8451" max="8451" width="6.7109375" customWidth="1"/>
    <col min="8452" max="8452" width="15.5703125" customWidth="1"/>
    <col min="8696" max="8696" width="25.42578125" customWidth="1"/>
    <col min="8697" max="8697" width="27" customWidth="1"/>
    <col min="8698" max="8698" width="10.7109375" customWidth="1"/>
    <col min="8699" max="8699" width="12.85546875" customWidth="1"/>
    <col min="8700" max="8702" width="10.7109375" customWidth="1"/>
    <col min="8703" max="8703" width="12.85546875" customWidth="1"/>
    <col min="8704" max="8705" width="10.7109375" customWidth="1"/>
    <col min="8706" max="8706" width="11.7109375" customWidth="1"/>
    <col min="8707" max="8707" width="6.7109375" customWidth="1"/>
    <col min="8708" max="8708" width="15.5703125" customWidth="1"/>
    <col min="8952" max="8952" width="25.42578125" customWidth="1"/>
    <col min="8953" max="8953" width="27" customWidth="1"/>
    <col min="8954" max="8954" width="10.7109375" customWidth="1"/>
    <col min="8955" max="8955" width="12.85546875" customWidth="1"/>
    <col min="8956" max="8958" width="10.7109375" customWidth="1"/>
    <col min="8959" max="8959" width="12.85546875" customWidth="1"/>
    <col min="8960" max="8961" width="10.7109375" customWidth="1"/>
    <col min="8962" max="8962" width="11.7109375" customWidth="1"/>
    <col min="8963" max="8963" width="6.7109375" customWidth="1"/>
    <col min="8964" max="8964" width="15.5703125" customWidth="1"/>
    <col min="9208" max="9208" width="25.42578125" customWidth="1"/>
    <col min="9209" max="9209" width="27" customWidth="1"/>
    <col min="9210" max="9210" width="10.7109375" customWidth="1"/>
    <col min="9211" max="9211" width="12.85546875" customWidth="1"/>
    <col min="9212" max="9214" width="10.7109375" customWidth="1"/>
    <col min="9215" max="9215" width="12.85546875" customWidth="1"/>
    <col min="9216" max="9217" width="10.7109375" customWidth="1"/>
    <col min="9218" max="9218" width="11.7109375" customWidth="1"/>
    <col min="9219" max="9219" width="6.7109375" customWidth="1"/>
    <col min="9220" max="9220" width="15.5703125" customWidth="1"/>
    <col min="9464" max="9464" width="25.42578125" customWidth="1"/>
    <col min="9465" max="9465" width="27" customWidth="1"/>
    <col min="9466" max="9466" width="10.7109375" customWidth="1"/>
    <col min="9467" max="9467" width="12.85546875" customWidth="1"/>
    <col min="9468" max="9470" width="10.7109375" customWidth="1"/>
    <col min="9471" max="9471" width="12.85546875" customWidth="1"/>
    <col min="9472" max="9473" width="10.7109375" customWidth="1"/>
    <col min="9474" max="9474" width="11.7109375" customWidth="1"/>
    <col min="9475" max="9475" width="6.7109375" customWidth="1"/>
    <col min="9476" max="9476" width="15.5703125" customWidth="1"/>
    <col min="9720" max="9720" width="25.42578125" customWidth="1"/>
    <col min="9721" max="9721" width="27" customWidth="1"/>
    <col min="9722" max="9722" width="10.7109375" customWidth="1"/>
    <col min="9723" max="9723" width="12.85546875" customWidth="1"/>
    <col min="9724" max="9726" width="10.7109375" customWidth="1"/>
    <col min="9727" max="9727" width="12.85546875" customWidth="1"/>
    <col min="9728" max="9729" width="10.7109375" customWidth="1"/>
    <col min="9730" max="9730" width="11.7109375" customWidth="1"/>
    <col min="9731" max="9731" width="6.7109375" customWidth="1"/>
    <col min="9732" max="9732" width="15.5703125" customWidth="1"/>
    <col min="9976" max="9976" width="25.42578125" customWidth="1"/>
    <col min="9977" max="9977" width="27" customWidth="1"/>
    <col min="9978" max="9978" width="10.7109375" customWidth="1"/>
    <col min="9979" max="9979" width="12.85546875" customWidth="1"/>
    <col min="9980" max="9982" width="10.7109375" customWidth="1"/>
    <col min="9983" max="9983" width="12.85546875" customWidth="1"/>
    <col min="9984" max="9985" width="10.7109375" customWidth="1"/>
    <col min="9986" max="9986" width="11.7109375" customWidth="1"/>
    <col min="9987" max="9987" width="6.7109375" customWidth="1"/>
    <col min="9988" max="9988" width="15.5703125" customWidth="1"/>
    <col min="10232" max="10232" width="25.42578125" customWidth="1"/>
    <col min="10233" max="10233" width="27" customWidth="1"/>
    <col min="10234" max="10234" width="10.7109375" customWidth="1"/>
    <col min="10235" max="10235" width="12.85546875" customWidth="1"/>
    <col min="10236" max="10238" width="10.7109375" customWidth="1"/>
    <col min="10239" max="10239" width="12.85546875" customWidth="1"/>
    <col min="10240" max="10241" width="10.7109375" customWidth="1"/>
    <col min="10242" max="10242" width="11.7109375" customWidth="1"/>
    <col min="10243" max="10243" width="6.7109375" customWidth="1"/>
    <col min="10244" max="10244" width="15.5703125" customWidth="1"/>
    <col min="10488" max="10488" width="25.42578125" customWidth="1"/>
    <col min="10489" max="10489" width="27" customWidth="1"/>
    <col min="10490" max="10490" width="10.7109375" customWidth="1"/>
    <col min="10491" max="10491" width="12.85546875" customWidth="1"/>
    <col min="10492" max="10494" width="10.7109375" customWidth="1"/>
    <col min="10495" max="10495" width="12.85546875" customWidth="1"/>
    <col min="10496" max="10497" width="10.7109375" customWidth="1"/>
    <col min="10498" max="10498" width="11.7109375" customWidth="1"/>
    <col min="10499" max="10499" width="6.7109375" customWidth="1"/>
    <col min="10500" max="10500" width="15.5703125" customWidth="1"/>
    <col min="10744" max="10744" width="25.42578125" customWidth="1"/>
    <col min="10745" max="10745" width="27" customWidth="1"/>
    <col min="10746" max="10746" width="10.7109375" customWidth="1"/>
    <col min="10747" max="10747" width="12.85546875" customWidth="1"/>
    <col min="10748" max="10750" width="10.7109375" customWidth="1"/>
    <col min="10751" max="10751" width="12.85546875" customWidth="1"/>
    <col min="10752" max="10753" width="10.7109375" customWidth="1"/>
    <col min="10754" max="10754" width="11.7109375" customWidth="1"/>
    <col min="10755" max="10755" width="6.7109375" customWidth="1"/>
    <col min="10756" max="10756" width="15.5703125" customWidth="1"/>
    <col min="11000" max="11000" width="25.42578125" customWidth="1"/>
    <col min="11001" max="11001" width="27" customWidth="1"/>
    <col min="11002" max="11002" width="10.7109375" customWidth="1"/>
    <col min="11003" max="11003" width="12.85546875" customWidth="1"/>
    <col min="11004" max="11006" width="10.7109375" customWidth="1"/>
    <col min="11007" max="11007" width="12.85546875" customWidth="1"/>
    <col min="11008" max="11009" width="10.7109375" customWidth="1"/>
    <col min="11010" max="11010" width="11.7109375" customWidth="1"/>
    <col min="11011" max="11011" width="6.7109375" customWidth="1"/>
    <col min="11012" max="11012" width="15.5703125" customWidth="1"/>
    <col min="11256" max="11256" width="25.42578125" customWidth="1"/>
    <col min="11257" max="11257" width="27" customWidth="1"/>
    <col min="11258" max="11258" width="10.7109375" customWidth="1"/>
    <col min="11259" max="11259" width="12.85546875" customWidth="1"/>
    <col min="11260" max="11262" width="10.7109375" customWidth="1"/>
    <col min="11263" max="11263" width="12.85546875" customWidth="1"/>
    <col min="11264" max="11265" width="10.7109375" customWidth="1"/>
    <col min="11266" max="11266" width="11.7109375" customWidth="1"/>
    <col min="11267" max="11267" width="6.7109375" customWidth="1"/>
    <col min="11268" max="11268" width="15.5703125" customWidth="1"/>
    <col min="11512" max="11512" width="25.42578125" customWidth="1"/>
    <col min="11513" max="11513" width="27" customWidth="1"/>
    <col min="11514" max="11514" width="10.7109375" customWidth="1"/>
    <col min="11515" max="11515" width="12.85546875" customWidth="1"/>
    <col min="11516" max="11518" width="10.7109375" customWidth="1"/>
    <col min="11519" max="11519" width="12.85546875" customWidth="1"/>
    <col min="11520" max="11521" width="10.7109375" customWidth="1"/>
    <col min="11522" max="11522" width="11.7109375" customWidth="1"/>
    <col min="11523" max="11523" width="6.7109375" customWidth="1"/>
    <col min="11524" max="11524" width="15.5703125" customWidth="1"/>
    <col min="11768" max="11768" width="25.42578125" customWidth="1"/>
    <col min="11769" max="11769" width="27" customWidth="1"/>
    <col min="11770" max="11770" width="10.7109375" customWidth="1"/>
    <col min="11771" max="11771" width="12.85546875" customWidth="1"/>
    <col min="11772" max="11774" width="10.7109375" customWidth="1"/>
    <col min="11775" max="11775" width="12.85546875" customWidth="1"/>
    <col min="11776" max="11777" width="10.7109375" customWidth="1"/>
    <col min="11778" max="11778" width="11.7109375" customWidth="1"/>
    <col min="11779" max="11779" width="6.7109375" customWidth="1"/>
    <col min="11780" max="11780" width="15.5703125" customWidth="1"/>
    <col min="12024" max="12024" width="25.42578125" customWidth="1"/>
    <col min="12025" max="12025" width="27" customWidth="1"/>
    <col min="12026" max="12026" width="10.7109375" customWidth="1"/>
    <col min="12027" max="12027" width="12.85546875" customWidth="1"/>
    <col min="12028" max="12030" width="10.7109375" customWidth="1"/>
    <col min="12031" max="12031" width="12.85546875" customWidth="1"/>
    <col min="12032" max="12033" width="10.7109375" customWidth="1"/>
    <col min="12034" max="12034" width="11.7109375" customWidth="1"/>
    <col min="12035" max="12035" width="6.7109375" customWidth="1"/>
    <col min="12036" max="12036" width="15.5703125" customWidth="1"/>
    <col min="12280" max="12280" width="25.42578125" customWidth="1"/>
    <col min="12281" max="12281" width="27" customWidth="1"/>
    <col min="12282" max="12282" width="10.7109375" customWidth="1"/>
    <col min="12283" max="12283" width="12.85546875" customWidth="1"/>
    <col min="12284" max="12286" width="10.7109375" customWidth="1"/>
    <col min="12287" max="12287" width="12.85546875" customWidth="1"/>
    <col min="12288" max="12289" width="10.7109375" customWidth="1"/>
    <col min="12290" max="12290" width="11.7109375" customWidth="1"/>
    <col min="12291" max="12291" width="6.7109375" customWidth="1"/>
    <col min="12292" max="12292" width="15.5703125" customWidth="1"/>
    <col min="12536" max="12536" width="25.42578125" customWidth="1"/>
    <col min="12537" max="12537" width="27" customWidth="1"/>
    <col min="12538" max="12538" width="10.7109375" customWidth="1"/>
    <col min="12539" max="12539" width="12.85546875" customWidth="1"/>
    <col min="12540" max="12542" width="10.7109375" customWidth="1"/>
    <col min="12543" max="12543" width="12.85546875" customWidth="1"/>
    <col min="12544" max="12545" width="10.7109375" customWidth="1"/>
    <col min="12546" max="12546" width="11.7109375" customWidth="1"/>
    <col min="12547" max="12547" width="6.7109375" customWidth="1"/>
    <col min="12548" max="12548" width="15.5703125" customWidth="1"/>
    <col min="12792" max="12792" width="25.42578125" customWidth="1"/>
    <col min="12793" max="12793" width="27" customWidth="1"/>
    <col min="12794" max="12794" width="10.7109375" customWidth="1"/>
    <col min="12795" max="12795" width="12.85546875" customWidth="1"/>
    <col min="12796" max="12798" width="10.7109375" customWidth="1"/>
    <col min="12799" max="12799" width="12.85546875" customWidth="1"/>
    <col min="12800" max="12801" width="10.7109375" customWidth="1"/>
    <col min="12802" max="12802" width="11.7109375" customWidth="1"/>
    <col min="12803" max="12803" width="6.7109375" customWidth="1"/>
    <col min="12804" max="12804" width="15.5703125" customWidth="1"/>
    <col min="13048" max="13048" width="25.42578125" customWidth="1"/>
    <col min="13049" max="13049" width="27" customWidth="1"/>
    <col min="13050" max="13050" width="10.7109375" customWidth="1"/>
    <col min="13051" max="13051" width="12.85546875" customWidth="1"/>
    <col min="13052" max="13054" width="10.7109375" customWidth="1"/>
    <col min="13055" max="13055" width="12.85546875" customWidth="1"/>
    <col min="13056" max="13057" width="10.7109375" customWidth="1"/>
    <col min="13058" max="13058" width="11.7109375" customWidth="1"/>
    <col min="13059" max="13059" width="6.7109375" customWidth="1"/>
    <col min="13060" max="13060" width="15.5703125" customWidth="1"/>
    <col min="13304" max="13304" width="25.42578125" customWidth="1"/>
    <col min="13305" max="13305" width="27" customWidth="1"/>
    <col min="13306" max="13306" width="10.7109375" customWidth="1"/>
    <col min="13307" max="13307" width="12.85546875" customWidth="1"/>
    <col min="13308" max="13310" width="10.7109375" customWidth="1"/>
    <col min="13311" max="13311" width="12.85546875" customWidth="1"/>
    <col min="13312" max="13313" width="10.7109375" customWidth="1"/>
    <col min="13314" max="13314" width="11.7109375" customWidth="1"/>
    <col min="13315" max="13315" width="6.7109375" customWidth="1"/>
    <col min="13316" max="13316" width="15.5703125" customWidth="1"/>
    <col min="13560" max="13560" width="25.42578125" customWidth="1"/>
    <col min="13561" max="13561" width="27" customWidth="1"/>
    <col min="13562" max="13562" width="10.7109375" customWidth="1"/>
    <col min="13563" max="13563" width="12.85546875" customWidth="1"/>
    <col min="13564" max="13566" width="10.7109375" customWidth="1"/>
    <col min="13567" max="13567" width="12.85546875" customWidth="1"/>
    <col min="13568" max="13569" width="10.7109375" customWidth="1"/>
    <col min="13570" max="13570" width="11.7109375" customWidth="1"/>
    <col min="13571" max="13571" width="6.7109375" customWidth="1"/>
    <col min="13572" max="13572" width="15.5703125" customWidth="1"/>
    <col min="13816" max="13816" width="25.42578125" customWidth="1"/>
    <col min="13817" max="13817" width="27" customWidth="1"/>
    <col min="13818" max="13818" width="10.7109375" customWidth="1"/>
    <col min="13819" max="13819" width="12.85546875" customWidth="1"/>
    <col min="13820" max="13822" width="10.7109375" customWidth="1"/>
    <col min="13823" max="13823" width="12.85546875" customWidth="1"/>
    <col min="13824" max="13825" width="10.7109375" customWidth="1"/>
    <col min="13826" max="13826" width="11.7109375" customWidth="1"/>
    <col min="13827" max="13827" width="6.7109375" customWidth="1"/>
    <col min="13828" max="13828" width="15.5703125" customWidth="1"/>
    <col min="14072" max="14072" width="25.42578125" customWidth="1"/>
    <col min="14073" max="14073" width="27" customWidth="1"/>
    <col min="14074" max="14074" width="10.7109375" customWidth="1"/>
    <col min="14075" max="14075" width="12.85546875" customWidth="1"/>
    <col min="14076" max="14078" width="10.7109375" customWidth="1"/>
    <col min="14079" max="14079" width="12.85546875" customWidth="1"/>
    <col min="14080" max="14081" width="10.7109375" customWidth="1"/>
    <col min="14082" max="14082" width="11.7109375" customWidth="1"/>
    <col min="14083" max="14083" width="6.7109375" customWidth="1"/>
    <col min="14084" max="14084" width="15.5703125" customWidth="1"/>
    <col min="14328" max="14328" width="25.42578125" customWidth="1"/>
    <col min="14329" max="14329" width="27" customWidth="1"/>
    <col min="14330" max="14330" width="10.7109375" customWidth="1"/>
    <col min="14331" max="14331" width="12.85546875" customWidth="1"/>
    <col min="14332" max="14334" width="10.7109375" customWidth="1"/>
    <col min="14335" max="14335" width="12.85546875" customWidth="1"/>
    <col min="14336" max="14337" width="10.7109375" customWidth="1"/>
    <col min="14338" max="14338" width="11.7109375" customWidth="1"/>
    <col min="14339" max="14339" width="6.7109375" customWidth="1"/>
    <col min="14340" max="14340" width="15.5703125" customWidth="1"/>
    <col min="14584" max="14584" width="25.42578125" customWidth="1"/>
    <col min="14585" max="14585" width="27" customWidth="1"/>
    <col min="14586" max="14586" width="10.7109375" customWidth="1"/>
    <col min="14587" max="14587" width="12.85546875" customWidth="1"/>
    <col min="14588" max="14590" width="10.7109375" customWidth="1"/>
    <col min="14591" max="14591" width="12.85546875" customWidth="1"/>
    <col min="14592" max="14593" width="10.7109375" customWidth="1"/>
    <col min="14594" max="14594" width="11.7109375" customWidth="1"/>
    <col min="14595" max="14595" width="6.7109375" customWidth="1"/>
    <col min="14596" max="14596" width="15.5703125" customWidth="1"/>
    <col min="14840" max="14840" width="25.42578125" customWidth="1"/>
    <col min="14841" max="14841" width="27" customWidth="1"/>
    <col min="14842" max="14842" width="10.7109375" customWidth="1"/>
    <col min="14843" max="14843" width="12.85546875" customWidth="1"/>
    <col min="14844" max="14846" width="10.7109375" customWidth="1"/>
    <col min="14847" max="14847" width="12.85546875" customWidth="1"/>
    <col min="14848" max="14849" width="10.7109375" customWidth="1"/>
    <col min="14850" max="14850" width="11.7109375" customWidth="1"/>
    <col min="14851" max="14851" width="6.7109375" customWidth="1"/>
    <col min="14852" max="14852" width="15.5703125" customWidth="1"/>
    <col min="15096" max="15096" width="25.42578125" customWidth="1"/>
    <col min="15097" max="15097" width="27" customWidth="1"/>
    <col min="15098" max="15098" width="10.7109375" customWidth="1"/>
    <col min="15099" max="15099" width="12.85546875" customWidth="1"/>
    <col min="15100" max="15102" width="10.7109375" customWidth="1"/>
    <col min="15103" max="15103" width="12.85546875" customWidth="1"/>
    <col min="15104" max="15105" width="10.7109375" customWidth="1"/>
    <col min="15106" max="15106" width="11.7109375" customWidth="1"/>
    <col min="15107" max="15107" width="6.7109375" customWidth="1"/>
    <col min="15108" max="15108" width="15.5703125" customWidth="1"/>
    <col min="15352" max="15352" width="25.42578125" customWidth="1"/>
    <col min="15353" max="15353" width="27" customWidth="1"/>
    <col min="15354" max="15354" width="10.7109375" customWidth="1"/>
    <col min="15355" max="15355" width="12.85546875" customWidth="1"/>
    <col min="15356" max="15358" width="10.7109375" customWidth="1"/>
    <col min="15359" max="15359" width="12.85546875" customWidth="1"/>
    <col min="15360" max="15361" width="10.7109375" customWidth="1"/>
    <col min="15362" max="15362" width="11.7109375" customWidth="1"/>
    <col min="15363" max="15363" width="6.7109375" customWidth="1"/>
    <col min="15364" max="15364" width="15.5703125" customWidth="1"/>
    <col min="15608" max="15608" width="25.42578125" customWidth="1"/>
    <col min="15609" max="15609" width="27" customWidth="1"/>
    <col min="15610" max="15610" width="10.7109375" customWidth="1"/>
    <col min="15611" max="15611" width="12.85546875" customWidth="1"/>
    <col min="15612" max="15614" width="10.7109375" customWidth="1"/>
    <col min="15615" max="15615" width="12.85546875" customWidth="1"/>
    <col min="15616" max="15617" width="10.7109375" customWidth="1"/>
    <col min="15618" max="15618" width="11.7109375" customWidth="1"/>
    <col min="15619" max="15619" width="6.7109375" customWidth="1"/>
    <col min="15620" max="15620" width="15.5703125" customWidth="1"/>
    <col min="15864" max="15864" width="25.42578125" customWidth="1"/>
    <col min="15865" max="15865" width="27" customWidth="1"/>
    <col min="15866" max="15866" width="10.7109375" customWidth="1"/>
    <col min="15867" max="15867" width="12.85546875" customWidth="1"/>
    <col min="15868" max="15870" width="10.7109375" customWidth="1"/>
    <col min="15871" max="15871" width="12.85546875" customWidth="1"/>
    <col min="15872" max="15873" width="10.7109375" customWidth="1"/>
    <col min="15874" max="15874" width="11.7109375" customWidth="1"/>
    <col min="15875" max="15875" width="6.7109375" customWidth="1"/>
    <col min="15876" max="15876" width="15.5703125" customWidth="1"/>
    <col min="16120" max="16120" width="25.42578125" customWidth="1"/>
    <col min="16121" max="16121" width="27" customWidth="1"/>
    <col min="16122" max="16122" width="10.7109375" customWidth="1"/>
    <col min="16123" max="16123" width="12.85546875" customWidth="1"/>
    <col min="16124" max="16126" width="10.7109375" customWidth="1"/>
    <col min="16127" max="16127" width="12.85546875" customWidth="1"/>
    <col min="16128" max="16129" width="10.7109375" customWidth="1"/>
    <col min="16130" max="16130" width="11.7109375" customWidth="1"/>
    <col min="16131" max="16131" width="6.7109375" customWidth="1"/>
    <col min="16132" max="16132" width="15.5703125" customWidth="1"/>
  </cols>
  <sheetData>
    <row r="1" spans="1:15" ht="27.75" customHeight="1" x14ac:dyDescent="0.3">
      <c r="A1" s="259" t="s">
        <v>141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5" ht="24.95" customHeight="1" x14ac:dyDescent="0.25">
      <c r="A2" s="34"/>
      <c r="B2" s="34"/>
      <c r="C2" s="34"/>
      <c r="D2" s="246" t="s">
        <v>142</v>
      </c>
      <c r="E2" s="247"/>
      <c r="F2" s="258"/>
      <c r="G2" s="246" t="s">
        <v>143</v>
      </c>
      <c r="H2" s="247"/>
      <c r="I2" s="258"/>
      <c r="J2" s="246" t="s">
        <v>144</v>
      </c>
      <c r="K2" s="247"/>
      <c r="L2" s="258"/>
      <c r="M2" s="246" t="s">
        <v>145</v>
      </c>
      <c r="N2" s="247"/>
      <c r="O2" s="258"/>
    </row>
    <row r="3" spans="1:15" ht="22.5" customHeight="1" x14ac:dyDescent="0.25">
      <c r="A3" s="266" t="s">
        <v>0</v>
      </c>
      <c r="B3" s="267" t="s">
        <v>1</v>
      </c>
      <c r="C3" s="261" t="s">
        <v>2</v>
      </c>
      <c r="D3" s="261" t="s">
        <v>3</v>
      </c>
      <c r="E3" s="261" t="s">
        <v>4</v>
      </c>
      <c r="F3" s="262" t="s">
        <v>5</v>
      </c>
      <c r="G3" s="261" t="s">
        <v>3</v>
      </c>
      <c r="H3" s="261" t="s">
        <v>4</v>
      </c>
      <c r="I3" s="262" t="s">
        <v>5</v>
      </c>
      <c r="J3" s="261" t="s">
        <v>3</v>
      </c>
      <c r="K3" s="261" t="s">
        <v>4</v>
      </c>
      <c r="L3" s="262" t="s">
        <v>5</v>
      </c>
      <c r="M3" s="261" t="s">
        <v>3</v>
      </c>
      <c r="N3" s="261" t="s">
        <v>4</v>
      </c>
      <c r="O3" s="262" t="s">
        <v>5</v>
      </c>
    </row>
    <row r="4" spans="1:15" ht="22.5" customHeight="1" x14ac:dyDescent="0.25">
      <c r="A4" s="266"/>
      <c r="B4" s="267"/>
      <c r="C4" s="261"/>
      <c r="D4" s="261"/>
      <c r="E4" s="261"/>
      <c r="F4" s="262"/>
      <c r="G4" s="261"/>
      <c r="H4" s="261"/>
      <c r="I4" s="262"/>
      <c r="J4" s="261"/>
      <c r="K4" s="261"/>
      <c r="L4" s="262"/>
      <c r="M4" s="261"/>
      <c r="N4" s="261"/>
      <c r="O4" s="262"/>
    </row>
    <row r="5" spans="1:15" ht="54.95" customHeight="1" x14ac:dyDescent="0.25">
      <c r="A5" s="266"/>
      <c r="B5" s="267"/>
      <c r="C5" s="261"/>
      <c r="D5" s="261"/>
      <c r="E5" s="261"/>
      <c r="F5" s="262"/>
      <c r="G5" s="261"/>
      <c r="H5" s="261"/>
      <c r="I5" s="262"/>
      <c r="J5" s="261"/>
      <c r="K5" s="261"/>
      <c r="L5" s="262"/>
      <c r="M5" s="261"/>
      <c r="N5" s="261"/>
      <c r="O5" s="262"/>
    </row>
    <row r="6" spans="1:15" ht="15.75" customHeight="1" x14ac:dyDescent="0.25">
      <c r="A6" s="263" t="s">
        <v>6</v>
      </c>
      <c r="B6" s="264" t="s">
        <v>7</v>
      </c>
      <c r="C6" s="2" t="s">
        <v>8</v>
      </c>
      <c r="D6" s="3"/>
      <c r="E6" s="4"/>
      <c r="F6" s="5"/>
      <c r="G6" s="3"/>
      <c r="H6" s="4"/>
      <c r="I6" s="5"/>
      <c r="J6" s="3"/>
      <c r="K6" s="4"/>
      <c r="L6" s="5"/>
      <c r="M6" s="3"/>
      <c r="N6" s="4"/>
      <c r="O6" s="5"/>
    </row>
    <row r="7" spans="1:15" ht="15.75" customHeight="1" x14ac:dyDescent="0.25">
      <c r="A7" s="263"/>
      <c r="B7" s="264"/>
      <c r="C7" s="2" t="s">
        <v>9</v>
      </c>
      <c r="D7" s="3"/>
      <c r="E7" s="4"/>
      <c r="F7" s="5"/>
      <c r="G7" s="3"/>
      <c r="H7" s="4"/>
      <c r="I7" s="5"/>
      <c r="J7" s="3"/>
      <c r="K7" s="4"/>
      <c r="L7" s="5"/>
      <c r="M7" s="3"/>
      <c r="N7" s="4"/>
      <c r="O7" s="5"/>
    </row>
    <row r="8" spans="1:15" ht="15.75" customHeight="1" x14ac:dyDescent="0.25">
      <c r="A8" s="263"/>
      <c r="B8" s="265" t="s">
        <v>10</v>
      </c>
      <c r="C8" s="2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25">
      <c r="A9" s="263"/>
      <c r="B9" s="265"/>
      <c r="C9" s="7" t="s">
        <v>12</v>
      </c>
      <c r="D9" s="8">
        <v>1</v>
      </c>
      <c r="E9" s="9">
        <v>180</v>
      </c>
      <c r="F9" s="10">
        <f>184/180</f>
        <v>1.0222222222222221</v>
      </c>
      <c r="G9" s="8">
        <v>1</v>
      </c>
      <c r="H9" s="9">
        <v>180</v>
      </c>
      <c r="I9" s="10">
        <f>160/180</f>
        <v>0.88888888888888884</v>
      </c>
      <c r="J9" s="8">
        <v>1</v>
      </c>
      <c r="K9" s="9">
        <v>180</v>
      </c>
      <c r="L9" s="10">
        <f>136/180</f>
        <v>0.75555555555555554</v>
      </c>
      <c r="M9" s="8">
        <v>1</v>
      </c>
      <c r="N9" s="9">
        <v>180</v>
      </c>
      <c r="O9" s="10">
        <f>146/180</f>
        <v>0.81111111111111112</v>
      </c>
    </row>
    <row r="10" spans="1:15" ht="15.75" customHeight="1" x14ac:dyDescent="0.25">
      <c r="A10" s="263"/>
      <c r="B10" s="265"/>
      <c r="C10" s="2" t="s">
        <v>13</v>
      </c>
      <c r="D10" s="6"/>
      <c r="E10" s="11"/>
      <c r="F10" s="6"/>
      <c r="G10" s="6"/>
      <c r="H10" s="11"/>
      <c r="I10" s="6"/>
      <c r="J10" s="6"/>
      <c r="K10" s="11"/>
      <c r="L10" s="6"/>
      <c r="M10" s="6"/>
      <c r="N10" s="11"/>
      <c r="O10" s="6"/>
    </row>
    <row r="11" spans="1:15" ht="15.75" customHeight="1" x14ac:dyDescent="0.25">
      <c r="A11" s="263"/>
      <c r="B11" s="265" t="s">
        <v>14</v>
      </c>
      <c r="C11" s="7" t="s">
        <v>15</v>
      </c>
      <c r="D11" s="12">
        <v>1</v>
      </c>
      <c r="E11" s="13">
        <v>40</v>
      </c>
      <c r="F11" s="14">
        <f>46/40</f>
        <v>1.1499999999999999</v>
      </c>
      <c r="G11" s="12">
        <v>1</v>
      </c>
      <c r="H11" s="13">
        <v>40</v>
      </c>
      <c r="I11" s="14">
        <f>21/40</f>
        <v>0.52500000000000002</v>
      </c>
      <c r="J11" s="12">
        <v>1</v>
      </c>
      <c r="K11" s="13">
        <v>40</v>
      </c>
      <c r="L11" s="14">
        <f>23/40</f>
        <v>0.57499999999999996</v>
      </c>
      <c r="M11" s="12">
        <v>1</v>
      </c>
      <c r="N11" s="13">
        <v>40</v>
      </c>
      <c r="O11" s="14">
        <f>18/40</f>
        <v>0.45</v>
      </c>
    </row>
    <row r="12" spans="1:15" ht="15.75" customHeight="1" x14ac:dyDescent="0.25">
      <c r="A12" s="263"/>
      <c r="B12" s="265"/>
      <c r="C12" s="2" t="s">
        <v>16</v>
      </c>
      <c r="D12" s="6"/>
      <c r="E12" s="11"/>
      <c r="F12" s="6"/>
      <c r="G12" s="6"/>
      <c r="H12" s="11"/>
      <c r="I12" s="6"/>
      <c r="J12" s="6"/>
      <c r="K12" s="11"/>
      <c r="L12" s="6"/>
      <c r="M12" s="6"/>
      <c r="N12" s="11"/>
      <c r="O12" s="6"/>
    </row>
    <row r="13" spans="1:15" ht="15.75" customHeight="1" x14ac:dyDescent="0.25">
      <c r="A13" s="263"/>
      <c r="B13" s="265"/>
      <c r="C13" s="2" t="s">
        <v>17</v>
      </c>
      <c r="D13" s="6"/>
      <c r="E13" s="11"/>
      <c r="F13" s="6"/>
      <c r="G13" s="6"/>
      <c r="H13" s="11"/>
      <c r="I13" s="6"/>
      <c r="J13" s="6"/>
      <c r="K13" s="11"/>
      <c r="L13" s="6"/>
      <c r="M13" s="6"/>
      <c r="N13" s="11"/>
      <c r="O13" s="6"/>
    </row>
    <row r="14" spans="1:15" ht="15.75" customHeight="1" x14ac:dyDescent="0.25">
      <c r="A14" s="263" t="s">
        <v>18</v>
      </c>
      <c r="B14" s="265" t="s">
        <v>19</v>
      </c>
      <c r="C14" s="2" t="s">
        <v>20</v>
      </c>
      <c r="D14" s="6"/>
      <c r="E14" s="11"/>
      <c r="F14" s="6"/>
      <c r="G14" s="6"/>
      <c r="H14" s="11"/>
      <c r="I14" s="6"/>
      <c r="J14" s="6"/>
      <c r="K14" s="11"/>
      <c r="L14" s="6"/>
      <c r="M14" s="6"/>
      <c r="N14" s="11"/>
      <c r="O14" s="6"/>
    </row>
    <row r="15" spans="1:15" ht="15.75" customHeight="1" x14ac:dyDescent="0.25">
      <c r="A15" s="263"/>
      <c r="B15" s="265"/>
      <c r="C15" s="7" t="s">
        <v>21</v>
      </c>
      <c r="D15" s="8">
        <v>1</v>
      </c>
      <c r="E15" s="15">
        <v>40</v>
      </c>
      <c r="F15" s="14">
        <f>49/40</f>
        <v>1.2250000000000001</v>
      </c>
      <c r="G15" s="8">
        <v>1</v>
      </c>
      <c r="H15" s="15">
        <v>40</v>
      </c>
      <c r="I15" s="14">
        <f>48/40</f>
        <v>1.2</v>
      </c>
      <c r="J15" s="8">
        <v>1</v>
      </c>
      <c r="K15" s="15">
        <v>40</v>
      </c>
      <c r="L15" s="14">
        <f>46/40</f>
        <v>1.1499999999999999</v>
      </c>
      <c r="M15" s="8">
        <v>1</v>
      </c>
      <c r="N15" s="15">
        <v>40</v>
      </c>
      <c r="O15" s="14">
        <f>46/40</f>
        <v>1.1499999999999999</v>
      </c>
    </row>
    <row r="16" spans="1:15" ht="15.75" customHeight="1" x14ac:dyDescent="0.25">
      <c r="A16" s="263"/>
      <c r="B16" s="265"/>
      <c r="C16" s="2" t="s">
        <v>22</v>
      </c>
      <c r="D16" s="6"/>
      <c r="E16" s="11"/>
      <c r="F16" s="6"/>
      <c r="G16" s="6"/>
      <c r="H16" s="11"/>
      <c r="I16" s="6"/>
      <c r="J16" s="6"/>
      <c r="K16" s="11"/>
      <c r="L16" s="6"/>
      <c r="M16" s="6"/>
      <c r="N16" s="11"/>
      <c r="O16" s="6"/>
    </row>
    <row r="17" spans="1:15" ht="15.75" customHeight="1" x14ac:dyDescent="0.25">
      <c r="A17" s="263"/>
      <c r="B17" s="264" t="s">
        <v>23</v>
      </c>
      <c r="C17" s="2" t="s">
        <v>24</v>
      </c>
      <c r="D17" s="3"/>
      <c r="E17" s="4"/>
      <c r="F17" s="16"/>
      <c r="G17" s="3"/>
      <c r="H17" s="4"/>
      <c r="I17" s="16"/>
      <c r="J17" s="3"/>
      <c r="K17" s="4"/>
      <c r="L17" s="16"/>
      <c r="M17" s="3"/>
      <c r="N17" s="4"/>
      <c r="O17" s="16"/>
    </row>
    <row r="18" spans="1:15" ht="15.75" x14ac:dyDescent="0.25">
      <c r="A18" s="263"/>
      <c r="B18" s="264"/>
      <c r="C18" s="2" t="s">
        <v>25</v>
      </c>
      <c r="D18" s="3"/>
      <c r="E18" s="4"/>
      <c r="F18" s="16"/>
      <c r="G18" s="3"/>
      <c r="H18" s="4"/>
      <c r="I18" s="16"/>
      <c r="J18" s="3"/>
      <c r="K18" s="4"/>
      <c r="L18" s="16"/>
      <c r="M18" s="3"/>
      <c r="N18" s="4"/>
      <c r="O18" s="16"/>
    </row>
    <row r="19" spans="1:15" ht="15.75" x14ac:dyDescent="0.25">
      <c r="A19" s="263"/>
      <c r="B19" s="265" t="s">
        <v>26</v>
      </c>
      <c r="C19" s="2" t="s">
        <v>27</v>
      </c>
      <c r="D19" s="3"/>
      <c r="E19" s="4"/>
      <c r="F19" s="16"/>
      <c r="G19" s="6"/>
      <c r="H19" s="6"/>
      <c r="I19" s="6"/>
      <c r="J19" s="6"/>
      <c r="K19" s="6"/>
      <c r="L19" s="6"/>
      <c r="M19" s="6"/>
      <c r="N19" s="6"/>
      <c r="O19" s="14"/>
    </row>
    <row r="20" spans="1:15" ht="15.75" x14ac:dyDescent="0.25">
      <c r="A20" s="263"/>
      <c r="B20" s="265"/>
      <c r="C20" s="7" t="s">
        <v>28</v>
      </c>
      <c r="D20" s="3"/>
      <c r="E20" s="4"/>
      <c r="F20" s="16"/>
      <c r="G20" s="8">
        <v>1</v>
      </c>
      <c r="H20" s="15">
        <v>40</v>
      </c>
      <c r="I20" s="14">
        <f>6/40</f>
        <v>0.15</v>
      </c>
      <c r="J20" s="8">
        <v>1</v>
      </c>
      <c r="K20" s="15">
        <v>40</v>
      </c>
      <c r="L20" s="14">
        <f>2/40</f>
        <v>0.05</v>
      </c>
      <c r="M20" s="8">
        <v>1</v>
      </c>
      <c r="N20" s="15">
        <v>40</v>
      </c>
      <c r="O20" s="14">
        <f>8/40</f>
        <v>0.2</v>
      </c>
    </row>
    <row r="21" spans="1:15" ht="15.75" x14ac:dyDescent="0.25">
      <c r="A21" s="263"/>
      <c r="B21" s="264" t="s">
        <v>29</v>
      </c>
      <c r="C21" s="2" t="s">
        <v>30</v>
      </c>
      <c r="D21" s="3"/>
      <c r="E21" s="4"/>
      <c r="F21" s="16"/>
      <c r="G21" s="3"/>
      <c r="H21" s="4"/>
      <c r="I21" s="16"/>
      <c r="J21" s="3"/>
      <c r="K21" s="4"/>
      <c r="L21" s="16"/>
      <c r="M21" s="3"/>
      <c r="N21" s="4"/>
      <c r="O21" s="16"/>
    </row>
    <row r="22" spans="1:15" ht="15.75" x14ac:dyDescent="0.25">
      <c r="A22" s="263"/>
      <c r="B22" s="264"/>
      <c r="C22" s="2" t="s">
        <v>31</v>
      </c>
      <c r="D22" s="3"/>
      <c r="E22" s="4"/>
      <c r="F22" s="16"/>
      <c r="G22" s="3"/>
      <c r="H22" s="4"/>
      <c r="I22" s="16"/>
      <c r="J22" s="3"/>
      <c r="K22" s="4"/>
      <c r="L22" s="16"/>
      <c r="M22" s="3"/>
      <c r="N22" s="4"/>
      <c r="O22" s="16"/>
    </row>
    <row r="23" spans="1:15" ht="15.75" x14ac:dyDescent="0.25">
      <c r="A23" s="263"/>
      <c r="B23" s="264"/>
      <c r="C23" s="2" t="s">
        <v>32</v>
      </c>
      <c r="D23" s="3"/>
      <c r="E23" s="4"/>
      <c r="F23" s="16"/>
      <c r="G23" s="3"/>
      <c r="H23" s="4"/>
      <c r="I23" s="16"/>
      <c r="J23" s="3"/>
      <c r="K23" s="4"/>
      <c r="L23" s="16"/>
      <c r="M23" s="3"/>
      <c r="N23" s="4"/>
      <c r="O23" s="16"/>
    </row>
    <row r="24" spans="1:15" ht="15.75" x14ac:dyDescent="0.25">
      <c r="A24" s="263" t="s">
        <v>33</v>
      </c>
      <c r="B24" s="263" t="s">
        <v>34</v>
      </c>
      <c r="C24" s="7" t="s">
        <v>35</v>
      </c>
      <c r="D24" s="8">
        <v>1</v>
      </c>
      <c r="E24" s="13">
        <v>40</v>
      </c>
      <c r="F24" s="14">
        <f>122/40</f>
        <v>3.05</v>
      </c>
      <c r="G24" s="8">
        <v>1</v>
      </c>
      <c r="H24" s="13">
        <v>40</v>
      </c>
      <c r="I24" s="14">
        <f>104/40</f>
        <v>2.6</v>
      </c>
      <c r="J24" s="8">
        <v>1</v>
      </c>
      <c r="K24" s="13">
        <v>40</v>
      </c>
      <c r="L24" s="14">
        <f>112/40</f>
        <v>2.8</v>
      </c>
      <c r="M24" s="8">
        <v>1</v>
      </c>
      <c r="N24" s="13">
        <v>40</v>
      </c>
      <c r="O24" s="14">
        <f>82/40</f>
        <v>2.0499999999999998</v>
      </c>
    </row>
    <row r="25" spans="1:15" ht="15.75" x14ac:dyDescent="0.25">
      <c r="A25" s="263"/>
      <c r="B25" s="263"/>
      <c r="C25" s="35" t="s">
        <v>36</v>
      </c>
      <c r="D25" s="6"/>
      <c r="E25" s="11"/>
      <c r="F25" s="6"/>
      <c r="G25" s="6"/>
      <c r="H25" s="11"/>
      <c r="I25" s="6"/>
      <c r="J25" s="6"/>
      <c r="K25" s="11"/>
      <c r="L25" s="6"/>
      <c r="M25" s="6"/>
      <c r="N25" s="11"/>
      <c r="O25" s="6"/>
    </row>
    <row r="26" spans="1:15" ht="15.75" x14ac:dyDescent="0.25">
      <c r="A26" s="263"/>
      <c r="B26" s="263"/>
      <c r="C26" s="35" t="s">
        <v>37</v>
      </c>
      <c r="D26" s="6"/>
      <c r="E26" s="11"/>
      <c r="F26" s="6"/>
      <c r="G26" s="6"/>
      <c r="H26" s="11"/>
      <c r="I26" s="6"/>
      <c r="J26" s="6"/>
      <c r="K26" s="11"/>
      <c r="L26" s="6"/>
      <c r="M26" s="6"/>
      <c r="N26" s="11"/>
      <c r="O26" s="6"/>
    </row>
    <row r="27" spans="1:15" ht="15.75" x14ac:dyDescent="0.25">
      <c r="A27" s="263"/>
      <c r="B27" s="263"/>
      <c r="C27" s="35" t="s">
        <v>38</v>
      </c>
      <c r="D27" s="6"/>
      <c r="E27" s="11"/>
      <c r="F27" s="6"/>
      <c r="G27" s="6"/>
      <c r="H27" s="11"/>
      <c r="I27" s="6"/>
      <c r="J27" s="6"/>
      <c r="K27" s="11"/>
      <c r="L27" s="6"/>
      <c r="M27" s="6"/>
      <c r="N27" s="11"/>
      <c r="O27" s="6"/>
    </row>
    <row r="28" spans="1:15" ht="15.75" x14ac:dyDescent="0.25">
      <c r="A28" s="263"/>
      <c r="B28" s="263"/>
      <c r="C28" s="35" t="s">
        <v>39</v>
      </c>
      <c r="D28" s="6"/>
      <c r="E28" s="11"/>
      <c r="F28" s="6"/>
      <c r="G28" s="6"/>
      <c r="H28" s="11"/>
      <c r="I28" s="6"/>
      <c r="J28" s="6"/>
      <c r="K28" s="11"/>
      <c r="L28" s="6"/>
      <c r="M28" s="6"/>
      <c r="N28" s="11"/>
      <c r="O28" s="6"/>
    </row>
    <row r="29" spans="1:15" ht="15.75" x14ac:dyDescent="0.25">
      <c r="A29" s="263"/>
      <c r="B29" s="263" t="s">
        <v>40</v>
      </c>
      <c r="C29" s="35" t="s">
        <v>41</v>
      </c>
      <c r="D29" s="6"/>
      <c r="E29" s="11"/>
      <c r="F29" s="6"/>
      <c r="G29" s="6"/>
      <c r="H29" s="11"/>
      <c r="I29" s="6"/>
      <c r="J29" s="6"/>
      <c r="K29" s="11"/>
      <c r="L29" s="6"/>
      <c r="M29" s="6"/>
      <c r="N29" s="11"/>
      <c r="O29" s="6"/>
    </row>
    <row r="30" spans="1:15" ht="15.75" x14ac:dyDescent="0.25">
      <c r="A30" s="263"/>
      <c r="B30" s="263"/>
      <c r="C30" s="35" t="s">
        <v>42</v>
      </c>
      <c r="D30" s="6"/>
      <c r="E30" s="11"/>
      <c r="F30" s="6"/>
      <c r="G30" s="6"/>
      <c r="H30" s="11"/>
      <c r="I30" s="6"/>
      <c r="J30" s="6"/>
      <c r="K30" s="11"/>
      <c r="L30" s="6"/>
      <c r="M30" s="6"/>
      <c r="N30" s="11"/>
      <c r="O30" s="6"/>
    </row>
    <row r="31" spans="1:15" ht="15.75" x14ac:dyDescent="0.25">
      <c r="A31" s="263"/>
      <c r="B31" s="263"/>
      <c r="C31" s="35" t="s">
        <v>43</v>
      </c>
      <c r="D31" s="6"/>
      <c r="E31" s="11"/>
      <c r="F31" s="6"/>
      <c r="G31" s="6"/>
      <c r="H31" s="11"/>
      <c r="I31" s="6"/>
      <c r="J31" s="6"/>
      <c r="K31" s="11"/>
      <c r="L31" s="6"/>
      <c r="M31" s="6"/>
      <c r="N31" s="11"/>
      <c r="O31" s="6"/>
    </row>
    <row r="32" spans="1:15" ht="15.75" x14ac:dyDescent="0.25">
      <c r="A32" s="263"/>
      <c r="B32" s="263"/>
      <c r="C32" s="7" t="s">
        <v>44</v>
      </c>
      <c r="D32" s="8">
        <v>1</v>
      </c>
      <c r="E32" s="13">
        <v>120</v>
      </c>
      <c r="F32" s="14">
        <f>68/120</f>
        <v>0.56666666666666665</v>
      </c>
      <c r="G32" s="8">
        <v>1</v>
      </c>
      <c r="H32" s="13">
        <v>120</v>
      </c>
      <c r="I32" s="14">
        <f>76/120</f>
        <v>0.6333333333333333</v>
      </c>
      <c r="J32" s="8">
        <v>1</v>
      </c>
      <c r="K32" s="13">
        <v>120</v>
      </c>
      <c r="L32" s="14">
        <f>69/120</f>
        <v>0.57499999999999996</v>
      </c>
      <c r="M32" s="8">
        <v>1</v>
      </c>
      <c r="N32" s="13">
        <v>120</v>
      </c>
      <c r="O32" s="14">
        <f>63/120</f>
        <v>0.52500000000000002</v>
      </c>
    </row>
    <row r="33" spans="1:15" ht="15.75" x14ac:dyDescent="0.25">
      <c r="A33" s="263"/>
      <c r="B33" s="263"/>
      <c r="C33" s="35" t="s">
        <v>45</v>
      </c>
      <c r="D33" s="6"/>
      <c r="E33" s="11"/>
      <c r="F33" s="6"/>
      <c r="G33" s="6"/>
      <c r="H33" s="11"/>
      <c r="I33" s="6"/>
      <c r="J33" s="6"/>
      <c r="K33" s="11"/>
      <c r="L33" s="6"/>
      <c r="M33" s="6"/>
      <c r="N33" s="11"/>
      <c r="O33" s="6"/>
    </row>
    <row r="34" spans="1:15" ht="15.75" x14ac:dyDescent="0.25">
      <c r="A34" s="263"/>
      <c r="B34" s="263"/>
      <c r="C34" s="35" t="s">
        <v>46</v>
      </c>
      <c r="D34" s="6"/>
      <c r="E34" s="11"/>
      <c r="F34" s="6"/>
      <c r="G34" s="6"/>
      <c r="H34" s="11"/>
      <c r="I34" s="6"/>
      <c r="J34" s="6"/>
      <c r="K34" s="11"/>
      <c r="L34" s="6"/>
      <c r="M34" s="6"/>
      <c r="N34" s="11"/>
      <c r="O34" s="6"/>
    </row>
    <row r="35" spans="1:15" ht="15.75" x14ac:dyDescent="0.25">
      <c r="A35" s="263"/>
      <c r="B35" s="263" t="s">
        <v>47</v>
      </c>
      <c r="C35" s="35" t="s">
        <v>48</v>
      </c>
      <c r="D35" s="6"/>
      <c r="E35" s="11"/>
      <c r="F35" s="6"/>
      <c r="G35" s="6"/>
      <c r="H35" s="11"/>
      <c r="I35" s="6"/>
      <c r="J35" s="6"/>
      <c r="K35" s="11"/>
      <c r="L35" s="6"/>
      <c r="M35" s="6"/>
      <c r="N35" s="11"/>
      <c r="O35" s="6"/>
    </row>
    <row r="36" spans="1:15" ht="15.75" x14ac:dyDescent="0.25">
      <c r="A36" s="263"/>
      <c r="B36" s="263"/>
      <c r="C36" s="35" t="s">
        <v>49</v>
      </c>
      <c r="D36" s="6"/>
      <c r="E36" s="11"/>
      <c r="F36" s="6"/>
      <c r="G36" s="6"/>
      <c r="H36" s="11"/>
      <c r="I36" s="6"/>
      <c r="J36" s="6"/>
      <c r="K36" s="11"/>
      <c r="L36" s="6"/>
      <c r="M36" s="6"/>
      <c r="N36" s="11"/>
      <c r="O36" s="6"/>
    </row>
    <row r="37" spans="1:15" ht="15.75" x14ac:dyDescent="0.25">
      <c r="A37" s="263"/>
      <c r="B37" s="263"/>
      <c r="C37" s="35" t="s">
        <v>50</v>
      </c>
      <c r="D37" s="6"/>
      <c r="E37" s="11"/>
      <c r="F37" s="6"/>
      <c r="G37" s="6"/>
      <c r="H37" s="11"/>
      <c r="I37" s="6"/>
      <c r="J37" s="6"/>
      <c r="K37" s="11"/>
      <c r="L37" s="6"/>
      <c r="M37" s="6"/>
      <c r="N37" s="11"/>
      <c r="O37" s="6"/>
    </row>
    <row r="38" spans="1:15" ht="15.75" x14ac:dyDescent="0.25">
      <c r="A38" s="263"/>
      <c r="B38" s="263"/>
      <c r="C38" s="7" t="s">
        <v>51</v>
      </c>
      <c r="D38" s="8">
        <v>1</v>
      </c>
      <c r="E38" s="18">
        <v>160</v>
      </c>
      <c r="F38" s="19">
        <f>175/160</f>
        <v>1.09375</v>
      </c>
      <c r="G38" s="8">
        <v>1</v>
      </c>
      <c r="H38" s="18">
        <v>160</v>
      </c>
      <c r="I38" s="19">
        <f>180/160</f>
        <v>1.125</v>
      </c>
      <c r="J38" s="8">
        <v>1</v>
      </c>
      <c r="K38" s="18">
        <v>160</v>
      </c>
      <c r="L38" s="19">
        <f>183/160</f>
        <v>1.14375</v>
      </c>
      <c r="M38" s="8">
        <v>1</v>
      </c>
      <c r="N38" s="18">
        <v>160</v>
      </c>
      <c r="O38" s="19">
        <f>184/160</f>
        <v>1.1499999999999999</v>
      </c>
    </row>
    <row r="39" spans="1:15" ht="15.75" x14ac:dyDescent="0.25">
      <c r="A39" s="263" t="s">
        <v>52</v>
      </c>
      <c r="B39" s="263" t="s">
        <v>53</v>
      </c>
      <c r="C39" s="35" t="s">
        <v>54</v>
      </c>
      <c r="D39" s="6"/>
      <c r="E39" s="11"/>
      <c r="F39" s="6"/>
      <c r="G39" s="6"/>
      <c r="H39" s="11"/>
      <c r="I39" s="6"/>
      <c r="J39" s="6"/>
      <c r="K39" s="11"/>
      <c r="L39" s="6"/>
      <c r="M39" s="6"/>
      <c r="N39" s="11"/>
      <c r="O39" s="6"/>
    </row>
    <row r="40" spans="1:15" ht="15.75" x14ac:dyDescent="0.25">
      <c r="A40" s="263"/>
      <c r="B40" s="263"/>
      <c r="C40" s="35" t="s">
        <v>55</v>
      </c>
      <c r="D40" s="12"/>
      <c r="E40" s="13"/>
      <c r="F40" s="14"/>
      <c r="G40" s="12"/>
      <c r="H40" s="13"/>
      <c r="I40" s="14"/>
      <c r="J40" s="12"/>
      <c r="K40" s="13"/>
      <c r="L40" s="14"/>
      <c r="M40" s="12"/>
      <c r="N40" s="13"/>
      <c r="O40" s="14"/>
    </row>
    <row r="41" spans="1:15" ht="15.75" x14ac:dyDescent="0.25">
      <c r="A41" s="263"/>
      <c r="B41" s="263"/>
      <c r="C41" s="35" t="s">
        <v>56</v>
      </c>
      <c r="D41" s="6"/>
      <c r="E41" s="11"/>
      <c r="F41" s="6"/>
      <c r="G41" s="6"/>
      <c r="H41" s="11"/>
      <c r="I41" s="6"/>
      <c r="J41" s="6"/>
      <c r="K41" s="11"/>
      <c r="L41" s="6"/>
      <c r="M41" s="6"/>
      <c r="N41" s="11"/>
      <c r="O41" s="6"/>
    </row>
    <row r="42" spans="1:15" ht="15.75" x14ac:dyDescent="0.25">
      <c r="A42" s="263"/>
      <c r="B42" s="263"/>
      <c r="C42" s="35" t="s">
        <v>57</v>
      </c>
      <c r="D42" s="6"/>
      <c r="E42" s="11"/>
      <c r="F42" s="6"/>
      <c r="G42" s="6"/>
      <c r="H42" s="11"/>
      <c r="I42" s="6"/>
      <c r="J42" s="6"/>
      <c r="K42" s="11"/>
      <c r="L42" s="6"/>
      <c r="M42" s="6"/>
      <c r="N42" s="11"/>
      <c r="O42" s="6"/>
    </row>
    <row r="43" spans="1:15" ht="15.75" x14ac:dyDescent="0.25">
      <c r="A43" s="263"/>
      <c r="B43" s="263"/>
      <c r="C43" s="35" t="s">
        <v>58</v>
      </c>
      <c r="D43" s="6"/>
      <c r="E43" s="11"/>
      <c r="F43" s="6"/>
      <c r="G43" s="6"/>
      <c r="H43" s="11"/>
      <c r="I43" s="6"/>
      <c r="J43" s="6"/>
      <c r="K43" s="11"/>
      <c r="L43" s="6"/>
      <c r="M43" s="6"/>
      <c r="N43" s="11"/>
      <c r="O43" s="6"/>
    </row>
    <row r="44" spans="1:15" ht="15.75" x14ac:dyDescent="0.25">
      <c r="A44" s="263"/>
      <c r="B44" s="263"/>
      <c r="C44" s="7" t="s">
        <v>59</v>
      </c>
      <c r="D44" s="6">
        <v>1</v>
      </c>
      <c r="E44" s="13">
        <v>200</v>
      </c>
      <c r="F44" s="162">
        <f>21/200</f>
        <v>0.105</v>
      </c>
      <c r="G44" s="25">
        <v>1</v>
      </c>
      <c r="H44" s="13">
        <v>200</v>
      </c>
      <c r="I44" s="162">
        <f>20/200</f>
        <v>0.1</v>
      </c>
      <c r="J44" s="25">
        <v>1</v>
      </c>
      <c r="K44" s="13">
        <v>200</v>
      </c>
      <c r="L44" s="162">
        <f>46/200</f>
        <v>0.23</v>
      </c>
      <c r="M44" s="25">
        <v>1</v>
      </c>
      <c r="N44" s="13">
        <v>200</v>
      </c>
      <c r="O44" s="162">
        <f>23/200</f>
        <v>0.115</v>
      </c>
    </row>
    <row r="45" spans="1:15" ht="15.75" x14ac:dyDescent="0.25">
      <c r="A45" s="263"/>
      <c r="B45" s="263"/>
      <c r="C45" s="7" t="s">
        <v>60</v>
      </c>
      <c r="D45" s="6">
        <v>1</v>
      </c>
      <c r="E45" s="13">
        <v>120</v>
      </c>
      <c r="F45" s="162">
        <f>110/120</f>
        <v>0.91666666666666663</v>
      </c>
      <c r="G45" s="25">
        <v>1</v>
      </c>
      <c r="H45" s="13">
        <v>120</v>
      </c>
      <c r="I45" s="162">
        <f>124/120</f>
        <v>1.0333333333333334</v>
      </c>
      <c r="J45" s="25">
        <v>1</v>
      </c>
      <c r="K45" s="13">
        <v>120</v>
      </c>
      <c r="L45" s="162">
        <f>158/120</f>
        <v>1.3166666666666667</v>
      </c>
      <c r="M45" s="25">
        <v>1</v>
      </c>
      <c r="N45" s="13">
        <v>120</v>
      </c>
      <c r="O45" s="162">
        <f>154/120</f>
        <v>1.2833333333333334</v>
      </c>
    </row>
    <row r="46" spans="1:15" ht="15.75" x14ac:dyDescent="0.25">
      <c r="A46" s="263"/>
      <c r="B46" s="263"/>
      <c r="C46" s="7" t="s">
        <v>61</v>
      </c>
      <c r="D46" s="12">
        <v>1</v>
      </c>
      <c r="E46" s="13">
        <v>200</v>
      </c>
      <c r="F46" s="19">
        <f>17/200</f>
        <v>8.5000000000000006E-2</v>
      </c>
      <c r="G46" s="12">
        <v>1</v>
      </c>
      <c r="H46" s="13">
        <v>200</v>
      </c>
      <c r="I46" s="19">
        <f>20/200</f>
        <v>0.1</v>
      </c>
      <c r="J46" s="12">
        <v>1</v>
      </c>
      <c r="K46" s="13">
        <v>200</v>
      </c>
      <c r="L46" s="19">
        <f>54/200</f>
        <v>0.27</v>
      </c>
      <c r="M46" s="12">
        <v>1</v>
      </c>
      <c r="N46" s="13">
        <v>200</v>
      </c>
      <c r="O46" s="19">
        <f>56/200</f>
        <v>0.28000000000000003</v>
      </c>
    </row>
    <row r="47" spans="1:15" ht="15" customHeight="1" x14ac:dyDescent="0.25">
      <c r="A47" s="263" t="s">
        <v>62</v>
      </c>
      <c r="B47" s="265" t="s">
        <v>63</v>
      </c>
      <c r="C47" s="36" t="s">
        <v>64</v>
      </c>
      <c r="D47" s="6"/>
      <c r="E47" s="11"/>
      <c r="F47" s="6"/>
      <c r="G47" s="6"/>
      <c r="H47" s="11"/>
      <c r="I47" s="6"/>
      <c r="J47" s="6"/>
      <c r="K47" s="11"/>
      <c r="L47" s="6"/>
      <c r="M47" s="6"/>
      <c r="N47" s="11"/>
      <c r="O47" s="6"/>
    </row>
    <row r="48" spans="1:15" ht="15" customHeight="1" x14ac:dyDescent="0.25">
      <c r="A48" s="263"/>
      <c r="B48" s="265"/>
      <c r="C48" s="36" t="s">
        <v>65</v>
      </c>
      <c r="D48" s="6"/>
      <c r="E48" s="11"/>
      <c r="F48" s="6"/>
      <c r="G48" s="6"/>
      <c r="H48" s="11"/>
      <c r="I48" s="6"/>
      <c r="J48" s="6"/>
      <c r="K48" s="11"/>
      <c r="L48" s="6"/>
      <c r="M48" s="6"/>
      <c r="N48" s="11"/>
      <c r="O48" s="6"/>
    </row>
    <row r="49" spans="1:15" ht="15" customHeight="1" x14ac:dyDescent="0.25">
      <c r="A49" s="263"/>
      <c r="B49" s="265"/>
      <c r="C49" s="20" t="s">
        <v>66</v>
      </c>
      <c r="D49" s="8">
        <v>1</v>
      </c>
      <c r="E49" s="21">
        <v>50</v>
      </c>
      <c r="F49" s="14">
        <f>14/50</f>
        <v>0.28000000000000003</v>
      </c>
      <c r="G49" s="8">
        <v>1</v>
      </c>
      <c r="H49" s="21">
        <v>50</v>
      </c>
      <c r="I49" s="14">
        <f>16/50</f>
        <v>0.32</v>
      </c>
      <c r="J49" s="8">
        <v>1</v>
      </c>
      <c r="K49" s="21">
        <v>50</v>
      </c>
      <c r="L49" s="14">
        <f>13/50</f>
        <v>0.26</v>
      </c>
      <c r="M49" s="8">
        <v>1</v>
      </c>
      <c r="N49" s="21">
        <v>50</v>
      </c>
      <c r="O49" s="14">
        <f>14/50</f>
        <v>0.28000000000000003</v>
      </c>
    </row>
    <row r="50" spans="1:15" ht="15" customHeight="1" x14ac:dyDescent="0.25">
      <c r="A50" s="263"/>
      <c r="B50" s="265" t="s">
        <v>67</v>
      </c>
      <c r="C50" s="36" t="s">
        <v>68</v>
      </c>
      <c r="D50" s="6"/>
      <c r="E50" s="11"/>
      <c r="F50" s="6"/>
      <c r="G50" s="6"/>
      <c r="H50" s="11"/>
      <c r="I50" s="6"/>
      <c r="J50" s="6"/>
      <c r="K50" s="11"/>
      <c r="L50" s="6"/>
      <c r="M50" s="6"/>
      <c r="N50" s="11"/>
      <c r="O50" s="6"/>
    </row>
    <row r="51" spans="1:15" ht="15" customHeight="1" x14ac:dyDescent="0.25">
      <c r="A51" s="263"/>
      <c r="B51" s="265"/>
      <c r="C51" s="36" t="s">
        <v>69</v>
      </c>
      <c r="D51" s="6"/>
      <c r="E51" s="11"/>
      <c r="F51" s="6"/>
      <c r="G51" s="6"/>
      <c r="H51" s="11"/>
      <c r="I51" s="6"/>
      <c r="J51" s="6"/>
      <c r="K51" s="11"/>
      <c r="L51" s="6"/>
      <c r="M51" s="6"/>
      <c r="N51" s="11"/>
      <c r="O51" s="6"/>
    </row>
    <row r="52" spans="1:15" ht="15" customHeight="1" x14ac:dyDescent="0.25">
      <c r="A52" s="263"/>
      <c r="B52" s="265"/>
      <c r="C52" s="36" t="s">
        <v>70</v>
      </c>
      <c r="D52" s="6"/>
      <c r="E52" s="11"/>
      <c r="F52" s="6"/>
      <c r="G52" s="6"/>
      <c r="H52" s="11"/>
      <c r="I52" s="6"/>
      <c r="J52" s="6"/>
      <c r="K52" s="11"/>
      <c r="L52" s="6"/>
      <c r="M52" s="6"/>
      <c r="N52" s="11"/>
      <c r="O52" s="6"/>
    </row>
    <row r="53" spans="1:15" ht="15" customHeight="1" x14ac:dyDescent="0.25">
      <c r="A53" s="263"/>
      <c r="B53" s="265"/>
      <c r="C53" s="36" t="s">
        <v>71</v>
      </c>
      <c r="D53" s="6"/>
      <c r="E53" s="11"/>
      <c r="F53" s="6"/>
      <c r="G53" s="6"/>
      <c r="H53" s="11"/>
      <c r="I53" s="6"/>
      <c r="J53" s="6"/>
      <c r="K53" s="11"/>
      <c r="L53" s="6"/>
      <c r="M53" s="6"/>
      <c r="N53" s="11"/>
      <c r="O53" s="6"/>
    </row>
    <row r="54" spans="1:15" ht="15" customHeight="1" x14ac:dyDescent="0.25">
      <c r="A54" s="263"/>
      <c r="B54" s="265"/>
      <c r="C54" s="36" t="s">
        <v>72</v>
      </c>
      <c r="D54" s="6"/>
      <c r="E54" s="11"/>
      <c r="F54" s="6"/>
      <c r="G54" s="6"/>
      <c r="H54" s="11"/>
      <c r="I54" s="6"/>
      <c r="J54" s="6"/>
      <c r="K54" s="11"/>
      <c r="L54" s="6"/>
      <c r="M54" s="6"/>
      <c r="N54" s="11"/>
      <c r="O54" s="6"/>
    </row>
    <row r="55" spans="1:15" ht="15" customHeight="1" x14ac:dyDescent="0.25">
      <c r="A55" s="263"/>
      <c r="B55" s="265"/>
      <c r="C55" s="20" t="s">
        <v>73</v>
      </c>
      <c r="D55" s="22">
        <v>1</v>
      </c>
      <c r="E55" s="21">
        <v>120</v>
      </c>
      <c r="F55" s="14">
        <f>53/120</f>
        <v>0.44166666666666665</v>
      </c>
      <c r="G55" s="22">
        <v>1</v>
      </c>
      <c r="H55" s="21">
        <v>120</v>
      </c>
      <c r="I55" s="14">
        <f>37/120</f>
        <v>0.30833333333333335</v>
      </c>
      <c r="J55" s="22">
        <v>1</v>
      </c>
      <c r="K55" s="21">
        <v>120</v>
      </c>
      <c r="L55" s="14">
        <f>38/120</f>
        <v>0.31666666666666665</v>
      </c>
      <c r="M55" s="22">
        <v>1</v>
      </c>
      <c r="N55" s="21">
        <v>120</v>
      </c>
      <c r="O55" s="14">
        <f>55/120</f>
        <v>0.45833333333333331</v>
      </c>
    </row>
    <row r="56" spans="1:15" ht="15" customHeight="1" x14ac:dyDescent="0.25">
      <c r="A56" s="263"/>
      <c r="B56" s="265" t="s">
        <v>74</v>
      </c>
      <c r="C56" s="36" t="s">
        <v>75</v>
      </c>
      <c r="D56" s="6"/>
      <c r="E56" s="11"/>
      <c r="F56" s="6"/>
      <c r="G56" s="6"/>
      <c r="H56" s="11"/>
      <c r="I56" s="6"/>
      <c r="J56" s="6"/>
      <c r="K56" s="11"/>
      <c r="L56" s="6"/>
      <c r="M56" s="6"/>
      <c r="N56" s="11"/>
      <c r="O56" s="6"/>
    </row>
    <row r="57" spans="1:15" ht="15" customHeight="1" x14ac:dyDescent="0.25">
      <c r="A57" s="263"/>
      <c r="B57" s="265"/>
      <c r="C57" s="36" t="s">
        <v>76</v>
      </c>
      <c r="D57" s="6"/>
      <c r="E57" s="11"/>
      <c r="F57" s="6"/>
      <c r="G57" s="6"/>
      <c r="H57" s="11"/>
      <c r="I57" s="6"/>
      <c r="J57" s="6"/>
      <c r="K57" s="11"/>
      <c r="L57" s="6"/>
      <c r="M57" s="6"/>
      <c r="N57" s="11"/>
      <c r="O57" s="6"/>
    </row>
    <row r="58" spans="1:15" ht="15.75" x14ac:dyDescent="0.25">
      <c r="A58" s="263"/>
      <c r="B58" s="265"/>
      <c r="C58" s="36" t="s">
        <v>77</v>
      </c>
      <c r="D58" s="6"/>
      <c r="E58" s="11"/>
      <c r="F58" s="6"/>
      <c r="G58" s="6"/>
      <c r="H58" s="11"/>
      <c r="I58" s="6"/>
      <c r="J58" s="6"/>
      <c r="K58" s="11"/>
      <c r="L58" s="6"/>
      <c r="M58" s="6"/>
      <c r="N58" s="11"/>
      <c r="O58" s="6"/>
    </row>
    <row r="59" spans="1:15" ht="15.75" x14ac:dyDescent="0.25">
      <c r="A59" s="263"/>
      <c r="B59" s="265"/>
      <c r="C59" s="20" t="s">
        <v>78</v>
      </c>
      <c r="D59" s="12">
        <v>1</v>
      </c>
      <c r="E59" s="13">
        <v>40</v>
      </c>
      <c r="F59" s="14">
        <f>16/40</f>
        <v>0.4</v>
      </c>
      <c r="G59" s="12">
        <v>1</v>
      </c>
      <c r="H59" s="13">
        <v>40</v>
      </c>
      <c r="I59" s="14">
        <f>12/40</f>
        <v>0.3</v>
      </c>
      <c r="J59" s="12">
        <v>1</v>
      </c>
      <c r="K59" s="13">
        <v>40</v>
      </c>
      <c r="L59" s="14">
        <f>14/40</f>
        <v>0.35</v>
      </c>
      <c r="M59" s="12">
        <v>1</v>
      </c>
      <c r="N59" s="13">
        <v>40</v>
      </c>
      <c r="O59" s="14">
        <f>10/40</f>
        <v>0.25</v>
      </c>
    </row>
    <row r="60" spans="1:15" ht="15.75" x14ac:dyDescent="0.25">
      <c r="A60" s="263"/>
      <c r="B60" s="39" t="s">
        <v>147</v>
      </c>
      <c r="C60" s="36" t="s">
        <v>80</v>
      </c>
      <c r="D60" s="3"/>
      <c r="E60" s="23"/>
      <c r="F60" s="3"/>
      <c r="G60" s="3"/>
      <c r="H60" s="23"/>
      <c r="I60" s="3"/>
      <c r="J60" s="3"/>
      <c r="K60" s="23"/>
      <c r="L60" s="3"/>
      <c r="M60" s="3"/>
      <c r="N60" s="23"/>
      <c r="O60" s="3"/>
    </row>
    <row r="61" spans="1:15" ht="15" customHeight="1" x14ac:dyDescent="0.25">
      <c r="A61" s="263"/>
      <c r="B61" s="268" t="s">
        <v>148</v>
      </c>
      <c r="C61" s="36" t="s">
        <v>79</v>
      </c>
      <c r="D61" s="3"/>
      <c r="E61" s="23"/>
      <c r="F61" s="3"/>
      <c r="G61" s="3"/>
      <c r="H61" s="23"/>
      <c r="I61" s="3"/>
      <c r="J61" s="3"/>
      <c r="K61" s="23"/>
      <c r="L61" s="3"/>
      <c r="M61" s="3"/>
      <c r="N61" s="23"/>
      <c r="O61" s="3"/>
    </row>
    <row r="62" spans="1:15" ht="15.75" x14ac:dyDescent="0.25">
      <c r="A62" s="263"/>
      <c r="B62" s="268"/>
      <c r="C62" s="36" t="s">
        <v>81</v>
      </c>
      <c r="D62" s="3"/>
      <c r="E62" s="23"/>
      <c r="F62" s="3"/>
      <c r="G62" s="3"/>
      <c r="H62" s="23"/>
      <c r="I62" s="3"/>
      <c r="J62" s="3"/>
      <c r="K62" s="23"/>
      <c r="L62" s="3"/>
      <c r="M62" s="3"/>
      <c r="N62" s="23"/>
      <c r="O62" s="3"/>
    </row>
    <row r="63" spans="1:15" ht="15.75" x14ac:dyDescent="0.25">
      <c r="A63" s="263" t="s">
        <v>82</v>
      </c>
      <c r="B63" s="156" t="s">
        <v>83</v>
      </c>
      <c r="C63" s="35" t="s">
        <v>84</v>
      </c>
      <c r="D63" s="3"/>
      <c r="E63" s="23"/>
      <c r="F63" s="3"/>
      <c r="G63" s="3"/>
      <c r="H63" s="23"/>
      <c r="I63" s="3"/>
      <c r="J63" s="3"/>
      <c r="K63" s="23"/>
      <c r="L63" s="3"/>
      <c r="M63" s="3"/>
      <c r="N63" s="23"/>
      <c r="O63" s="3"/>
    </row>
    <row r="64" spans="1:15" ht="15.75" x14ac:dyDescent="0.25">
      <c r="A64" s="263"/>
      <c r="B64" s="268" t="s">
        <v>85</v>
      </c>
      <c r="C64" s="35" t="s">
        <v>86</v>
      </c>
      <c r="D64" s="3"/>
      <c r="E64" s="23"/>
      <c r="F64" s="3"/>
      <c r="G64" s="3"/>
      <c r="H64" s="23"/>
      <c r="I64" s="3"/>
      <c r="J64" s="3"/>
      <c r="K64" s="23"/>
      <c r="L64" s="3"/>
      <c r="M64" s="3"/>
      <c r="N64" s="23"/>
      <c r="O64" s="3"/>
    </row>
    <row r="65" spans="1:15" ht="15.75" x14ac:dyDescent="0.25">
      <c r="A65" s="263"/>
      <c r="B65" s="268"/>
      <c r="C65" s="35" t="s">
        <v>87</v>
      </c>
      <c r="D65" s="3"/>
      <c r="E65" s="23"/>
      <c r="F65" s="3"/>
      <c r="G65" s="3"/>
      <c r="H65" s="23"/>
      <c r="I65" s="3"/>
      <c r="J65" s="3"/>
      <c r="K65" s="23"/>
      <c r="L65" s="3"/>
      <c r="M65" s="3"/>
      <c r="N65" s="23"/>
      <c r="O65" s="3"/>
    </row>
    <row r="66" spans="1:15" ht="15.75" x14ac:dyDescent="0.25">
      <c r="A66" s="263"/>
      <c r="B66" s="265" t="s">
        <v>88</v>
      </c>
      <c r="C66" s="7" t="s">
        <v>89</v>
      </c>
      <c r="D66" s="3"/>
      <c r="E66" s="23"/>
      <c r="F66" s="3"/>
      <c r="G66" s="3"/>
      <c r="H66" s="23"/>
      <c r="I66" s="3"/>
      <c r="J66" s="8">
        <v>1</v>
      </c>
      <c r="K66" s="13">
        <v>40</v>
      </c>
      <c r="L66" s="14">
        <f>11/40</f>
        <v>0.27500000000000002</v>
      </c>
      <c r="M66" s="8">
        <v>1</v>
      </c>
      <c r="N66" s="13">
        <v>40</v>
      </c>
      <c r="O66" s="14">
        <f>3/40</f>
        <v>7.4999999999999997E-2</v>
      </c>
    </row>
    <row r="67" spans="1:15" ht="15.75" x14ac:dyDescent="0.25">
      <c r="A67" s="263"/>
      <c r="B67" s="265"/>
      <c r="C67" s="35" t="s">
        <v>90</v>
      </c>
      <c r="D67" s="3"/>
      <c r="E67" s="23"/>
      <c r="F67" s="3"/>
      <c r="G67" s="3"/>
      <c r="H67" s="23"/>
      <c r="I67" s="3"/>
      <c r="J67" s="14"/>
      <c r="K67" s="14"/>
      <c r="L67" s="14"/>
      <c r="M67" s="14"/>
      <c r="N67" s="14"/>
      <c r="O67" s="14"/>
    </row>
    <row r="68" spans="1:15" ht="15.75" x14ac:dyDescent="0.25">
      <c r="A68" s="263"/>
      <c r="B68" s="265" t="s">
        <v>91</v>
      </c>
      <c r="C68" s="7" t="s">
        <v>92</v>
      </c>
      <c r="D68" s="8">
        <v>1</v>
      </c>
      <c r="E68" s="13">
        <v>80</v>
      </c>
      <c r="F68" s="14">
        <f>93/80</f>
        <v>1.1625000000000001</v>
      </c>
      <c r="G68" s="8">
        <v>1</v>
      </c>
      <c r="H68" s="13">
        <v>80</v>
      </c>
      <c r="I68" s="14">
        <f>96/80</f>
        <v>1.2</v>
      </c>
      <c r="J68" s="8">
        <v>1</v>
      </c>
      <c r="K68" s="13">
        <v>80</v>
      </c>
      <c r="L68" s="14">
        <f>92/80</f>
        <v>1.1499999999999999</v>
      </c>
      <c r="M68" s="8">
        <v>1</v>
      </c>
      <c r="N68" s="13">
        <v>80</v>
      </c>
      <c r="O68" s="14">
        <f>91/80</f>
        <v>1.1375</v>
      </c>
    </row>
    <row r="69" spans="1:15" ht="15.75" x14ac:dyDescent="0.25">
      <c r="A69" s="263"/>
      <c r="B69" s="265"/>
      <c r="C69" s="35" t="s">
        <v>93</v>
      </c>
      <c r="D69" s="6"/>
      <c r="E69" s="11"/>
      <c r="F69" s="6"/>
      <c r="G69" s="6"/>
      <c r="H69" s="11"/>
      <c r="I69" s="6"/>
      <c r="J69" s="6"/>
      <c r="K69" s="11"/>
      <c r="L69" s="6"/>
      <c r="M69" s="6"/>
      <c r="N69" s="11"/>
      <c r="O69" s="6"/>
    </row>
    <row r="70" spans="1:15" ht="15.75" x14ac:dyDescent="0.25">
      <c r="A70" s="263"/>
      <c r="B70" s="265" t="s">
        <v>94</v>
      </c>
      <c r="C70" s="7" t="s">
        <v>95</v>
      </c>
      <c r="D70" s="8">
        <v>1</v>
      </c>
      <c r="E70" s="13">
        <v>60</v>
      </c>
      <c r="F70" s="14">
        <f>56/60</f>
        <v>0.93333333333333335</v>
      </c>
      <c r="G70" s="8">
        <v>1</v>
      </c>
      <c r="H70" s="13">
        <v>60</v>
      </c>
      <c r="I70" s="14">
        <f>36/60</f>
        <v>0.6</v>
      </c>
      <c r="J70" s="8">
        <v>1</v>
      </c>
      <c r="K70" s="13">
        <v>60</v>
      </c>
      <c r="L70" s="14">
        <f>39/60</f>
        <v>0.65</v>
      </c>
      <c r="M70" s="8">
        <v>1</v>
      </c>
      <c r="N70" s="13">
        <v>60</v>
      </c>
      <c r="O70" s="14">
        <f>38/60</f>
        <v>0.6333333333333333</v>
      </c>
    </row>
    <row r="71" spans="1:15" ht="15.75" x14ac:dyDescent="0.25">
      <c r="A71" s="263"/>
      <c r="B71" s="265"/>
      <c r="C71" s="35" t="s">
        <v>96</v>
      </c>
      <c r="D71" s="6"/>
      <c r="E71" s="11"/>
      <c r="F71" s="6"/>
      <c r="G71" s="6"/>
      <c r="H71" s="11"/>
      <c r="I71" s="6"/>
      <c r="J71" s="6"/>
      <c r="K71" s="11"/>
      <c r="L71" s="6"/>
      <c r="M71" s="6"/>
      <c r="N71" s="11"/>
      <c r="O71" s="6"/>
    </row>
    <row r="72" spans="1:15" ht="15.75" x14ac:dyDescent="0.25">
      <c r="A72" s="263"/>
      <c r="B72" s="265"/>
      <c r="C72" s="35" t="s">
        <v>97</v>
      </c>
      <c r="D72" s="6"/>
      <c r="E72" s="11"/>
      <c r="F72" s="6"/>
      <c r="G72" s="6"/>
      <c r="H72" s="11"/>
      <c r="I72" s="6"/>
      <c r="J72" s="6"/>
      <c r="K72" s="11"/>
      <c r="L72" s="6"/>
      <c r="M72" s="6"/>
      <c r="N72" s="11"/>
      <c r="O72" s="6"/>
    </row>
    <row r="73" spans="1:15" ht="15.75" x14ac:dyDescent="0.25">
      <c r="A73" s="263"/>
      <c r="B73" s="265"/>
      <c r="C73" s="35" t="s">
        <v>98</v>
      </c>
      <c r="D73" s="6"/>
      <c r="E73" s="11"/>
      <c r="F73" s="6"/>
      <c r="G73" s="6"/>
      <c r="H73" s="11"/>
      <c r="I73" s="6"/>
      <c r="J73" s="6"/>
      <c r="K73" s="11"/>
      <c r="L73" s="6"/>
      <c r="M73" s="6"/>
      <c r="N73" s="11"/>
      <c r="O73" s="6"/>
    </row>
    <row r="74" spans="1:15" ht="15.75" x14ac:dyDescent="0.25">
      <c r="A74" s="263"/>
      <c r="B74" s="265" t="s">
        <v>99</v>
      </c>
      <c r="C74" s="35" t="s">
        <v>100</v>
      </c>
      <c r="D74" s="3"/>
      <c r="E74" s="23"/>
      <c r="F74" s="3"/>
      <c r="G74" s="3"/>
      <c r="H74" s="23"/>
      <c r="I74" s="3"/>
      <c r="J74" s="14"/>
      <c r="K74" s="14"/>
      <c r="L74" s="14"/>
      <c r="M74" s="14"/>
      <c r="N74" s="14"/>
      <c r="O74" s="14"/>
    </row>
    <row r="75" spans="1:15" ht="15.75" x14ac:dyDescent="0.25">
      <c r="A75" s="263"/>
      <c r="B75" s="265"/>
      <c r="C75" s="7" t="s">
        <v>101</v>
      </c>
      <c r="D75" s="3"/>
      <c r="E75" s="23"/>
      <c r="F75" s="3"/>
      <c r="G75" s="3"/>
      <c r="H75" s="23"/>
      <c r="I75" s="3"/>
      <c r="J75" s="8">
        <v>1</v>
      </c>
      <c r="K75" s="13">
        <v>40</v>
      </c>
      <c r="L75" s="14">
        <f>2/40</f>
        <v>0.05</v>
      </c>
      <c r="M75" s="8">
        <v>1</v>
      </c>
      <c r="N75" s="13">
        <v>40</v>
      </c>
      <c r="O75" s="14">
        <f>4/40</f>
        <v>0.1</v>
      </c>
    </row>
    <row r="76" spans="1:15" ht="15.75" x14ac:dyDescent="0.25">
      <c r="A76" s="263"/>
      <c r="B76" s="265"/>
      <c r="C76" s="35" t="s">
        <v>102</v>
      </c>
      <c r="D76" s="3"/>
      <c r="E76" s="23"/>
      <c r="F76" s="3"/>
      <c r="G76" s="3"/>
      <c r="H76" s="23"/>
      <c r="I76" s="3"/>
      <c r="J76" s="14"/>
      <c r="K76" s="14"/>
      <c r="L76" s="14"/>
      <c r="M76" s="14"/>
      <c r="N76" s="14"/>
      <c r="O76" s="14"/>
    </row>
    <row r="77" spans="1:15" ht="15.75" x14ac:dyDescent="0.25">
      <c r="A77" s="263"/>
      <c r="B77" s="268" t="s">
        <v>103</v>
      </c>
      <c r="C77" s="35" t="s">
        <v>104</v>
      </c>
      <c r="D77" s="3"/>
      <c r="E77" s="23"/>
      <c r="F77" s="3"/>
      <c r="G77" s="3"/>
      <c r="H77" s="23"/>
      <c r="I77" s="3"/>
      <c r="J77" s="3"/>
      <c r="K77" s="23"/>
      <c r="L77" s="3"/>
      <c r="M77" s="3"/>
      <c r="N77" s="23"/>
      <c r="O77" s="3"/>
    </row>
    <row r="78" spans="1:15" ht="15.75" x14ac:dyDescent="0.25">
      <c r="A78" s="263"/>
      <c r="B78" s="268"/>
      <c r="C78" s="35" t="s">
        <v>105</v>
      </c>
      <c r="D78" s="3"/>
      <c r="E78" s="23"/>
      <c r="F78" s="3"/>
      <c r="G78" s="3"/>
      <c r="H78" s="23"/>
      <c r="I78" s="3"/>
      <c r="J78" s="3"/>
      <c r="K78" s="23"/>
      <c r="L78" s="3"/>
      <c r="M78" s="3"/>
      <c r="N78" s="23"/>
      <c r="O78" s="3"/>
    </row>
    <row r="79" spans="1:15" ht="15.75" x14ac:dyDescent="0.25">
      <c r="A79" s="263"/>
      <c r="B79" s="268"/>
      <c r="C79" s="35" t="s">
        <v>106</v>
      </c>
      <c r="D79" s="3"/>
      <c r="E79" s="23"/>
      <c r="F79" s="3"/>
      <c r="G79" s="3"/>
      <c r="H79" s="23"/>
      <c r="I79" s="3"/>
      <c r="J79" s="3"/>
      <c r="K79" s="23"/>
      <c r="L79" s="3"/>
      <c r="M79" s="3"/>
      <c r="N79" s="23"/>
      <c r="O79" s="3"/>
    </row>
    <row r="80" spans="1:15" ht="15" customHeight="1" x14ac:dyDescent="0.25">
      <c r="A80" s="263" t="s">
        <v>107</v>
      </c>
      <c r="B80" s="263" t="s">
        <v>108</v>
      </c>
      <c r="C80" s="35" t="s">
        <v>109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ht="15.75" x14ac:dyDescent="0.25">
      <c r="A81" s="263"/>
      <c r="B81" s="263"/>
      <c r="C81" s="7" t="s">
        <v>110</v>
      </c>
      <c r="D81" s="25">
        <v>1</v>
      </c>
      <c r="E81" s="18">
        <v>40</v>
      </c>
      <c r="F81" s="14">
        <f>54/40</f>
        <v>1.35</v>
      </c>
      <c r="G81" s="25">
        <v>1</v>
      </c>
      <c r="H81" s="18">
        <v>40</v>
      </c>
      <c r="I81" s="14">
        <f>37/40</f>
        <v>0.92500000000000004</v>
      </c>
      <c r="J81" s="25">
        <v>1</v>
      </c>
      <c r="K81" s="18">
        <v>40</v>
      </c>
      <c r="L81" s="14">
        <f>40/40</f>
        <v>1</v>
      </c>
      <c r="M81" s="25">
        <v>1</v>
      </c>
      <c r="N81" s="18">
        <v>40</v>
      </c>
      <c r="O81" s="14">
        <f>36/40</f>
        <v>0.9</v>
      </c>
    </row>
    <row r="82" spans="1:15" ht="15.75" x14ac:dyDescent="0.25">
      <c r="A82" s="263"/>
      <c r="B82" s="263"/>
      <c r="C82" s="35" t="s">
        <v>111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ht="15.75" x14ac:dyDescent="0.25">
      <c r="A83" s="263"/>
      <c r="B83" s="155" t="s">
        <v>112</v>
      </c>
      <c r="C83" s="7" t="s">
        <v>113</v>
      </c>
      <c r="D83" s="12">
        <v>1</v>
      </c>
      <c r="E83" s="13">
        <v>40</v>
      </c>
      <c r="F83" s="14">
        <f>7/40</f>
        <v>0.17499999999999999</v>
      </c>
      <c r="G83" s="12">
        <v>1</v>
      </c>
      <c r="H83" s="13">
        <v>40</v>
      </c>
      <c r="I83" s="14">
        <f>2/40</f>
        <v>0.05</v>
      </c>
      <c r="J83" s="12">
        <v>1</v>
      </c>
      <c r="K83" s="13">
        <v>40</v>
      </c>
      <c r="L83" s="14">
        <f>2/40</f>
        <v>0.05</v>
      </c>
      <c r="M83" s="12">
        <v>1</v>
      </c>
      <c r="N83" s="13">
        <v>40</v>
      </c>
      <c r="O83" s="14">
        <f>3/40</f>
        <v>7.4999999999999997E-2</v>
      </c>
    </row>
    <row r="84" spans="1:15" ht="15.75" x14ac:dyDescent="0.25">
      <c r="A84" s="263"/>
      <c r="B84" s="263" t="s">
        <v>114</v>
      </c>
      <c r="C84" s="35" t="s">
        <v>115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ht="15.75" x14ac:dyDescent="0.25">
      <c r="A85" s="263"/>
      <c r="B85" s="263"/>
      <c r="C85" s="35" t="s">
        <v>116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ht="15.75" x14ac:dyDescent="0.25">
      <c r="A86" s="263"/>
      <c r="B86" s="263"/>
      <c r="C86" s="7" t="s">
        <v>117</v>
      </c>
      <c r="D86" s="12">
        <v>1</v>
      </c>
      <c r="E86" s="13">
        <v>40</v>
      </c>
      <c r="F86" s="14">
        <f>32/40</f>
        <v>0.8</v>
      </c>
      <c r="G86" s="12">
        <v>1</v>
      </c>
      <c r="H86" s="13">
        <v>40</v>
      </c>
      <c r="I86" s="14">
        <f>24/40</f>
        <v>0.6</v>
      </c>
      <c r="J86" s="12">
        <v>1</v>
      </c>
      <c r="K86" s="13">
        <v>40</v>
      </c>
      <c r="L86" s="14">
        <f>26/40</f>
        <v>0.65</v>
      </c>
      <c r="M86" s="12">
        <v>1</v>
      </c>
      <c r="N86" s="13">
        <v>40</v>
      </c>
      <c r="O86" s="14">
        <f>32/40</f>
        <v>0.8</v>
      </c>
    </row>
    <row r="87" spans="1:15" ht="15.75" x14ac:dyDescent="0.25">
      <c r="A87" s="263" t="s">
        <v>118</v>
      </c>
      <c r="B87" s="263" t="s">
        <v>119</v>
      </c>
      <c r="C87" s="35" t="s">
        <v>120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ht="15.75" x14ac:dyDescent="0.25">
      <c r="A88" s="263"/>
      <c r="B88" s="263"/>
      <c r="C88" s="7" t="s">
        <v>121</v>
      </c>
      <c r="D88" s="12">
        <v>1</v>
      </c>
      <c r="E88" s="13">
        <v>50</v>
      </c>
      <c r="F88" s="14">
        <f>57/50</f>
        <v>1.1399999999999999</v>
      </c>
      <c r="G88" s="12">
        <v>1</v>
      </c>
      <c r="H88" s="13">
        <v>50</v>
      </c>
      <c r="I88" s="14">
        <f>58/50</f>
        <v>1.1599999999999999</v>
      </c>
      <c r="J88" s="12">
        <v>1</v>
      </c>
      <c r="K88" s="13">
        <v>50</v>
      </c>
      <c r="L88" s="14">
        <f>61/50</f>
        <v>1.22</v>
      </c>
      <c r="M88" s="12">
        <v>1</v>
      </c>
      <c r="N88" s="13">
        <v>50</v>
      </c>
      <c r="O88" s="14">
        <f>87/50</f>
        <v>1.74</v>
      </c>
    </row>
    <row r="89" spans="1:15" ht="15.75" x14ac:dyDescent="0.25">
      <c r="A89" s="263"/>
      <c r="B89" s="263"/>
      <c r="C89" s="35" t="s">
        <v>122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 ht="15.75" x14ac:dyDescent="0.25">
      <c r="A90" s="263"/>
      <c r="B90" s="263" t="s">
        <v>123</v>
      </c>
      <c r="C90" s="7" t="s">
        <v>124</v>
      </c>
      <c r="D90" s="12">
        <v>1</v>
      </c>
      <c r="E90" s="13">
        <v>50</v>
      </c>
      <c r="F90" s="14">
        <f>65/50</f>
        <v>1.3</v>
      </c>
      <c r="G90" s="12">
        <v>1</v>
      </c>
      <c r="H90" s="13">
        <v>50</v>
      </c>
      <c r="I90" s="14">
        <f>69/50</f>
        <v>1.38</v>
      </c>
      <c r="J90" s="12">
        <v>1</v>
      </c>
      <c r="K90" s="13">
        <v>50</v>
      </c>
      <c r="L90" s="14">
        <f>64/50</f>
        <v>1.28</v>
      </c>
      <c r="M90" s="12">
        <v>1</v>
      </c>
      <c r="N90" s="13">
        <v>50</v>
      </c>
      <c r="O90" s="14">
        <f>68/50</f>
        <v>1.36</v>
      </c>
    </row>
    <row r="91" spans="1:15" ht="15.75" x14ac:dyDescent="0.25">
      <c r="A91" s="263"/>
      <c r="B91" s="263"/>
      <c r="C91" s="35" t="s">
        <v>125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 ht="15.75" x14ac:dyDescent="0.25">
      <c r="A92" s="263"/>
      <c r="B92" s="263"/>
      <c r="C92" s="35" t="s">
        <v>126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1:15" ht="15.75" x14ac:dyDescent="0.25">
      <c r="A93" s="263"/>
      <c r="B93" s="263" t="s">
        <v>127</v>
      </c>
      <c r="C93" s="7" t="s">
        <v>128</v>
      </c>
      <c r="D93" s="12">
        <v>1</v>
      </c>
      <c r="E93" s="13">
        <v>50</v>
      </c>
      <c r="F93" s="14">
        <f>34/50</f>
        <v>0.68</v>
      </c>
      <c r="G93" s="12">
        <v>1</v>
      </c>
      <c r="H93" s="13">
        <v>50</v>
      </c>
      <c r="I93" s="14">
        <f>25/50</f>
        <v>0.5</v>
      </c>
      <c r="J93" s="12">
        <v>1</v>
      </c>
      <c r="K93" s="13">
        <v>50</v>
      </c>
      <c r="L93" s="14">
        <f>24/50</f>
        <v>0.48</v>
      </c>
      <c r="M93" s="12">
        <v>1</v>
      </c>
      <c r="N93" s="13">
        <v>50</v>
      </c>
      <c r="O93" s="14">
        <f>21/50</f>
        <v>0.42</v>
      </c>
    </row>
    <row r="94" spans="1:15" ht="15.75" x14ac:dyDescent="0.25">
      <c r="A94" s="263"/>
      <c r="B94" s="263"/>
      <c r="C94" s="35" t="s">
        <v>129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5" ht="15.75" x14ac:dyDescent="0.25">
      <c r="A95" s="263"/>
      <c r="B95" s="263" t="s">
        <v>130</v>
      </c>
      <c r="C95" s="35" t="s">
        <v>131</v>
      </c>
      <c r="D95" s="3"/>
      <c r="E95" s="23"/>
      <c r="F95" s="3"/>
      <c r="G95" s="3"/>
      <c r="H95" s="23"/>
      <c r="I95" s="3"/>
      <c r="J95" s="24"/>
      <c r="K95" s="24"/>
      <c r="L95" s="24"/>
      <c r="M95" s="24"/>
      <c r="N95" s="24"/>
      <c r="O95" s="24"/>
    </row>
    <row r="96" spans="1:15" ht="15.75" x14ac:dyDescent="0.25">
      <c r="A96" s="263"/>
      <c r="B96" s="263"/>
      <c r="C96" s="7" t="s">
        <v>132</v>
      </c>
      <c r="D96" s="3"/>
      <c r="E96" s="23"/>
      <c r="F96" s="3"/>
      <c r="G96" s="3"/>
      <c r="H96" s="23"/>
      <c r="I96" s="3"/>
      <c r="J96" s="18">
        <v>1</v>
      </c>
      <c r="K96" s="18">
        <v>40</v>
      </c>
      <c r="L96" s="18"/>
      <c r="M96" s="18">
        <v>1</v>
      </c>
      <c r="N96" s="18">
        <v>40</v>
      </c>
      <c r="O96" s="24"/>
    </row>
    <row r="97" spans="1:15" ht="15.75" x14ac:dyDescent="0.25">
      <c r="A97" s="263"/>
      <c r="B97" s="270" t="s">
        <v>133</v>
      </c>
      <c r="C97" s="35" t="s">
        <v>134</v>
      </c>
      <c r="D97" s="3"/>
      <c r="E97" s="23"/>
      <c r="F97" s="3"/>
      <c r="G97" s="3"/>
      <c r="H97" s="23"/>
      <c r="I97" s="3"/>
      <c r="J97" s="3"/>
      <c r="K97" s="23"/>
      <c r="L97" s="3"/>
      <c r="M97" s="3"/>
      <c r="N97" s="23"/>
      <c r="O97" s="3"/>
    </row>
    <row r="98" spans="1:15" ht="15.75" x14ac:dyDescent="0.25">
      <c r="A98" s="263"/>
      <c r="B98" s="270"/>
      <c r="C98" s="35" t="s">
        <v>135</v>
      </c>
      <c r="D98" s="3"/>
      <c r="E98" s="23"/>
      <c r="F98" s="3"/>
      <c r="G98" s="3"/>
      <c r="H98" s="23"/>
      <c r="I98" s="3"/>
      <c r="J98" s="3"/>
      <c r="K98" s="23"/>
      <c r="L98" s="3"/>
      <c r="M98" s="3"/>
      <c r="N98" s="23"/>
      <c r="O98" s="3"/>
    </row>
    <row r="99" spans="1:15" ht="15.75" x14ac:dyDescent="0.25">
      <c r="A99" s="263"/>
      <c r="B99" s="263" t="s">
        <v>136</v>
      </c>
      <c r="C99" s="35" t="s">
        <v>137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1:15" ht="15.75" x14ac:dyDescent="0.25">
      <c r="A100" s="263"/>
      <c r="B100" s="263"/>
      <c r="C100" s="35" t="s">
        <v>138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1" spans="1:15" ht="15.75" x14ac:dyDescent="0.25">
      <c r="A101" s="263"/>
      <c r="B101" s="263"/>
      <c r="C101" s="7" t="s">
        <v>139</v>
      </c>
      <c r="D101" s="12">
        <v>1</v>
      </c>
      <c r="E101" s="13">
        <v>160</v>
      </c>
      <c r="F101" s="19">
        <f>33/160</f>
        <v>0.20624999999999999</v>
      </c>
      <c r="G101" s="12">
        <v>1</v>
      </c>
      <c r="H101" s="13">
        <v>160</v>
      </c>
      <c r="I101" s="19">
        <f>57/160</f>
        <v>0.35625000000000001</v>
      </c>
      <c r="J101" s="12">
        <v>1</v>
      </c>
      <c r="K101" s="13">
        <v>160</v>
      </c>
      <c r="L101" s="19">
        <f>52/160</f>
        <v>0.32500000000000001</v>
      </c>
      <c r="M101" s="12">
        <v>1</v>
      </c>
      <c r="N101" s="13">
        <v>160</v>
      </c>
      <c r="O101" s="19">
        <f>63/160</f>
        <v>0.39374999999999999</v>
      </c>
    </row>
    <row r="102" spans="1:15" ht="15.75" x14ac:dyDescent="0.25">
      <c r="A102" s="269" t="s">
        <v>140</v>
      </c>
      <c r="B102" s="269"/>
      <c r="C102" s="269"/>
      <c r="D102" s="27">
        <f>SUM(D6:D101)</f>
        <v>21</v>
      </c>
      <c r="E102" s="27">
        <f>SUM(E6:E101)</f>
        <v>1880</v>
      </c>
      <c r="F102" s="17">
        <f>AVERAGE(F6:F101)</f>
        <v>0.86109788359788364</v>
      </c>
      <c r="G102" s="27">
        <f t="shared" ref="G102:H102" si="0">SUM(G6:G101)</f>
        <v>22</v>
      </c>
      <c r="H102" s="27">
        <f t="shared" si="0"/>
        <v>1920</v>
      </c>
      <c r="I102" s="17">
        <f>AVERAGE(I6:I101)</f>
        <v>0.72977904040404029</v>
      </c>
      <c r="J102" s="27">
        <f t="shared" ref="J102:K102" si="1">SUM(J6:J101)</f>
        <v>25</v>
      </c>
      <c r="K102" s="27">
        <f t="shared" si="1"/>
        <v>2040</v>
      </c>
      <c r="L102" s="17">
        <f>AVERAGE(L6:L101)</f>
        <v>0.70510995370370377</v>
      </c>
      <c r="M102" s="27">
        <f t="shared" ref="M102:N102" si="2">SUM(M6:M101)</f>
        <v>25</v>
      </c>
      <c r="N102" s="27">
        <f t="shared" si="2"/>
        <v>2040</v>
      </c>
      <c r="O102" s="17">
        <f>AVERAGE(O6:O101)</f>
        <v>0.69322337962962965</v>
      </c>
    </row>
    <row r="103" spans="1:15" x14ac:dyDescent="0.25">
      <c r="A103" s="37" t="s">
        <v>146</v>
      </c>
      <c r="C103" s="28"/>
      <c r="D103" s="28"/>
      <c r="E103" s="28"/>
      <c r="F103" s="29"/>
      <c r="G103" s="1"/>
      <c r="H103" s="1"/>
    </row>
    <row r="104" spans="1:15" x14ac:dyDescent="0.25">
      <c r="A104" s="38" t="s">
        <v>149</v>
      </c>
      <c r="B104" s="30"/>
      <c r="C104" s="31"/>
      <c r="D104" s="31"/>
      <c r="E104" s="31"/>
      <c r="F104" s="32"/>
      <c r="G104" s="31"/>
      <c r="H104" s="31"/>
      <c r="I104" s="31"/>
      <c r="J104" s="31"/>
    </row>
    <row r="105" spans="1:15" x14ac:dyDescent="0.25">
      <c r="A105" s="1" t="s">
        <v>234</v>
      </c>
      <c r="B105" s="1"/>
      <c r="C105" s="1"/>
      <c r="D105" s="29"/>
      <c r="E105" s="1"/>
      <c r="F105" s="1"/>
      <c r="G105" s="1"/>
      <c r="H105" s="1"/>
    </row>
    <row r="106" spans="1:15" x14ac:dyDescent="0.25">
      <c r="A106" s="1" t="s">
        <v>235</v>
      </c>
      <c r="B106" s="1"/>
      <c r="C106" s="1"/>
      <c r="D106" s="29"/>
      <c r="E106" s="1"/>
      <c r="F106" s="1"/>
      <c r="G106" s="1"/>
      <c r="H106" s="1"/>
    </row>
  </sheetData>
  <mergeCells count="58">
    <mergeCell ref="A102:C102"/>
    <mergeCell ref="A80:A86"/>
    <mergeCell ref="B80:B82"/>
    <mergeCell ref="B84:B86"/>
    <mergeCell ref="A87:A101"/>
    <mergeCell ref="B87:B89"/>
    <mergeCell ref="B90:B92"/>
    <mergeCell ref="B93:B94"/>
    <mergeCell ref="B95:B96"/>
    <mergeCell ref="B97:B98"/>
    <mergeCell ref="B99:B101"/>
    <mergeCell ref="A63:A79"/>
    <mergeCell ref="B64:B65"/>
    <mergeCell ref="B66:B67"/>
    <mergeCell ref="B68:B69"/>
    <mergeCell ref="B70:B73"/>
    <mergeCell ref="B74:B76"/>
    <mergeCell ref="B77:B79"/>
    <mergeCell ref="A39:A46"/>
    <mergeCell ref="B39:B46"/>
    <mergeCell ref="A47:A62"/>
    <mergeCell ref="B47:B49"/>
    <mergeCell ref="B50:B55"/>
    <mergeCell ref="B56:B59"/>
    <mergeCell ref="B61:B62"/>
    <mergeCell ref="A24:A38"/>
    <mergeCell ref="B24:B28"/>
    <mergeCell ref="B29:B34"/>
    <mergeCell ref="B35:B38"/>
    <mergeCell ref="L3:L5"/>
    <mergeCell ref="D3:D5"/>
    <mergeCell ref="E3:E5"/>
    <mergeCell ref="A14:A23"/>
    <mergeCell ref="B14:B16"/>
    <mergeCell ref="B17:B18"/>
    <mergeCell ref="B19:B20"/>
    <mergeCell ref="B21:B23"/>
    <mergeCell ref="M3:M5"/>
    <mergeCell ref="N3:N5"/>
    <mergeCell ref="O3:O5"/>
    <mergeCell ref="A6:A13"/>
    <mergeCell ref="B6:B7"/>
    <mergeCell ref="B8:B10"/>
    <mergeCell ref="B11:B13"/>
    <mergeCell ref="F3:F5"/>
    <mergeCell ref="G3:G5"/>
    <mergeCell ref="H3:H5"/>
    <mergeCell ref="I3:I5"/>
    <mergeCell ref="J3:J5"/>
    <mergeCell ref="K3:K5"/>
    <mergeCell ref="A3:A5"/>
    <mergeCell ref="B3:B5"/>
    <mergeCell ref="C3:C5"/>
    <mergeCell ref="A1:O1"/>
    <mergeCell ref="D2:F2"/>
    <mergeCell ref="G2:I2"/>
    <mergeCell ref="J2:L2"/>
    <mergeCell ref="M2:O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7" orientation="portrait" verticalDpi="4" r:id="rId1"/>
  <rowBreaks count="1" manualBreakCount="1">
    <brk id="23" min="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34ED-C797-4B90-84C1-67E36A1AF617}">
  <dimension ref="A1:O106"/>
  <sheetViews>
    <sheetView topLeftCell="A80" zoomScale="75" zoomScaleNormal="75" zoomScaleSheetLayoutView="90" workbookViewId="0">
      <selection activeCell="J15" sqref="J15:K15"/>
    </sheetView>
  </sheetViews>
  <sheetFormatPr defaultRowHeight="15" x14ac:dyDescent="0.25"/>
  <cols>
    <col min="1" max="1" width="12.42578125" customWidth="1"/>
    <col min="2" max="2" width="17.5703125" customWidth="1"/>
    <col min="3" max="3" width="20" customWidth="1"/>
    <col min="4" max="4" width="12.5703125" style="33" customWidth="1"/>
    <col min="5" max="5" width="12" customWidth="1"/>
    <col min="6" max="6" width="25.7109375" customWidth="1"/>
    <col min="7" max="8" width="11.7109375" customWidth="1"/>
    <col min="9" max="9" width="25.7109375" customWidth="1"/>
    <col min="10" max="11" width="11.7109375" customWidth="1"/>
    <col min="12" max="12" width="25.7109375" customWidth="1"/>
    <col min="13" max="14" width="11.7109375" customWidth="1"/>
    <col min="15" max="15" width="25.7109375" customWidth="1"/>
    <col min="248" max="248" width="25.42578125" customWidth="1"/>
    <col min="249" max="249" width="27" customWidth="1"/>
    <col min="250" max="250" width="10.7109375" customWidth="1"/>
    <col min="251" max="251" width="12.85546875" customWidth="1"/>
    <col min="252" max="254" width="10.7109375" customWidth="1"/>
    <col min="255" max="255" width="12.85546875" customWidth="1"/>
    <col min="256" max="257" width="10.7109375" customWidth="1"/>
    <col min="258" max="258" width="11.7109375" customWidth="1"/>
    <col min="259" max="259" width="6.7109375" customWidth="1"/>
    <col min="260" max="260" width="15.5703125" customWidth="1"/>
    <col min="504" max="504" width="25.42578125" customWidth="1"/>
    <col min="505" max="505" width="27" customWidth="1"/>
    <col min="506" max="506" width="10.7109375" customWidth="1"/>
    <col min="507" max="507" width="12.85546875" customWidth="1"/>
    <col min="508" max="510" width="10.7109375" customWidth="1"/>
    <col min="511" max="511" width="12.85546875" customWidth="1"/>
    <col min="512" max="513" width="10.7109375" customWidth="1"/>
    <col min="514" max="514" width="11.7109375" customWidth="1"/>
    <col min="515" max="515" width="6.7109375" customWidth="1"/>
    <col min="516" max="516" width="15.5703125" customWidth="1"/>
    <col min="760" max="760" width="25.42578125" customWidth="1"/>
    <col min="761" max="761" width="27" customWidth="1"/>
    <col min="762" max="762" width="10.7109375" customWidth="1"/>
    <col min="763" max="763" width="12.85546875" customWidth="1"/>
    <col min="764" max="766" width="10.7109375" customWidth="1"/>
    <col min="767" max="767" width="12.85546875" customWidth="1"/>
    <col min="768" max="769" width="10.7109375" customWidth="1"/>
    <col min="770" max="770" width="11.7109375" customWidth="1"/>
    <col min="771" max="771" width="6.7109375" customWidth="1"/>
    <col min="772" max="772" width="15.5703125" customWidth="1"/>
    <col min="1016" max="1016" width="25.42578125" customWidth="1"/>
    <col min="1017" max="1017" width="27" customWidth="1"/>
    <col min="1018" max="1018" width="10.7109375" customWidth="1"/>
    <col min="1019" max="1019" width="12.85546875" customWidth="1"/>
    <col min="1020" max="1022" width="10.7109375" customWidth="1"/>
    <col min="1023" max="1023" width="12.85546875" customWidth="1"/>
    <col min="1024" max="1025" width="10.7109375" customWidth="1"/>
    <col min="1026" max="1026" width="11.7109375" customWidth="1"/>
    <col min="1027" max="1027" width="6.7109375" customWidth="1"/>
    <col min="1028" max="1028" width="15.5703125" customWidth="1"/>
    <col min="1272" max="1272" width="25.42578125" customWidth="1"/>
    <col min="1273" max="1273" width="27" customWidth="1"/>
    <col min="1274" max="1274" width="10.7109375" customWidth="1"/>
    <col min="1275" max="1275" width="12.85546875" customWidth="1"/>
    <col min="1276" max="1278" width="10.7109375" customWidth="1"/>
    <col min="1279" max="1279" width="12.85546875" customWidth="1"/>
    <col min="1280" max="1281" width="10.7109375" customWidth="1"/>
    <col min="1282" max="1282" width="11.7109375" customWidth="1"/>
    <col min="1283" max="1283" width="6.7109375" customWidth="1"/>
    <col min="1284" max="1284" width="15.5703125" customWidth="1"/>
    <col min="1528" max="1528" width="25.42578125" customWidth="1"/>
    <col min="1529" max="1529" width="27" customWidth="1"/>
    <col min="1530" max="1530" width="10.7109375" customWidth="1"/>
    <col min="1531" max="1531" width="12.85546875" customWidth="1"/>
    <col min="1532" max="1534" width="10.7109375" customWidth="1"/>
    <col min="1535" max="1535" width="12.85546875" customWidth="1"/>
    <col min="1536" max="1537" width="10.7109375" customWidth="1"/>
    <col min="1538" max="1538" width="11.7109375" customWidth="1"/>
    <col min="1539" max="1539" width="6.7109375" customWidth="1"/>
    <col min="1540" max="1540" width="15.5703125" customWidth="1"/>
    <col min="1784" max="1784" width="25.42578125" customWidth="1"/>
    <col min="1785" max="1785" width="27" customWidth="1"/>
    <col min="1786" max="1786" width="10.7109375" customWidth="1"/>
    <col min="1787" max="1787" width="12.85546875" customWidth="1"/>
    <col min="1788" max="1790" width="10.7109375" customWidth="1"/>
    <col min="1791" max="1791" width="12.85546875" customWidth="1"/>
    <col min="1792" max="1793" width="10.7109375" customWidth="1"/>
    <col min="1794" max="1794" width="11.7109375" customWidth="1"/>
    <col min="1795" max="1795" width="6.7109375" customWidth="1"/>
    <col min="1796" max="1796" width="15.5703125" customWidth="1"/>
    <col min="2040" max="2040" width="25.42578125" customWidth="1"/>
    <col min="2041" max="2041" width="27" customWidth="1"/>
    <col min="2042" max="2042" width="10.7109375" customWidth="1"/>
    <col min="2043" max="2043" width="12.85546875" customWidth="1"/>
    <col min="2044" max="2046" width="10.7109375" customWidth="1"/>
    <col min="2047" max="2047" width="12.85546875" customWidth="1"/>
    <col min="2048" max="2049" width="10.7109375" customWidth="1"/>
    <col min="2050" max="2050" width="11.7109375" customWidth="1"/>
    <col min="2051" max="2051" width="6.7109375" customWidth="1"/>
    <col min="2052" max="2052" width="15.5703125" customWidth="1"/>
    <col min="2296" max="2296" width="25.42578125" customWidth="1"/>
    <col min="2297" max="2297" width="27" customWidth="1"/>
    <col min="2298" max="2298" width="10.7109375" customWidth="1"/>
    <col min="2299" max="2299" width="12.85546875" customWidth="1"/>
    <col min="2300" max="2302" width="10.7109375" customWidth="1"/>
    <col min="2303" max="2303" width="12.85546875" customWidth="1"/>
    <col min="2304" max="2305" width="10.7109375" customWidth="1"/>
    <col min="2306" max="2306" width="11.7109375" customWidth="1"/>
    <col min="2307" max="2307" width="6.7109375" customWidth="1"/>
    <col min="2308" max="2308" width="15.5703125" customWidth="1"/>
    <col min="2552" max="2552" width="25.42578125" customWidth="1"/>
    <col min="2553" max="2553" width="27" customWidth="1"/>
    <col min="2554" max="2554" width="10.7109375" customWidth="1"/>
    <col min="2555" max="2555" width="12.85546875" customWidth="1"/>
    <col min="2556" max="2558" width="10.7109375" customWidth="1"/>
    <col min="2559" max="2559" width="12.85546875" customWidth="1"/>
    <col min="2560" max="2561" width="10.7109375" customWidth="1"/>
    <col min="2562" max="2562" width="11.7109375" customWidth="1"/>
    <col min="2563" max="2563" width="6.7109375" customWidth="1"/>
    <col min="2564" max="2564" width="15.5703125" customWidth="1"/>
    <col min="2808" max="2808" width="25.42578125" customWidth="1"/>
    <col min="2809" max="2809" width="27" customWidth="1"/>
    <col min="2810" max="2810" width="10.7109375" customWidth="1"/>
    <col min="2811" max="2811" width="12.85546875" customWidth="1"/>
    <col min="2812" max="2814" width="10.7109375" customWidth="1"/>
    <col min="2815" max="2815" width="12.85546875" customWidth="1"/>
    <col min="2816" max="2817" width="10.7109375" customWidth="1"/>
    <col min="2818" max="2818" width="11.7109375" customWidth="1"/>
    <col min="2819" max="2819" width="6.7109375" customWidth="1"/>
    <col min="2820" max="2820" width="15.5703125" customWidth="1"/>
    <col min="3064" max="3064" width="25.42578125" customWidth="1"/>
    <col min="3065" max="3065" width="27" customWidth="1"/>
    <col min="3066" max="3066" width="10.7109375" customWidth="1"/>
    <col min="3067" max="3067" width="12.85546875" customWidth="1"/>
    <col min="3068" max="3070" width="10.7109375" customWidth="1"/>
    <col min="3071" max="3071" width="12.85546875" customWidth="1"/>
    <col min="3072" max="3073" width="10.7109375" customWidth="1"/>
    <col min="3074" max="3074" width="11.7109375" customWidth="1"/>
    <col min="3075" max="3075" width="6.7109375" customWidth="1"/>
    <col min="3076" max="3076" width="15.5703125" customWidth="1"/>
    <col min="3320" max="3320" width="25.42578125" customWidth="1"/>
    <col min="3321" max="3321" width="27" customWidth="1"/>
    <col min="3322" max="3322" width="10.7109375" customWidth="1"/>
    <col min="3323" max="3323" width="12.85546875" customWidth="1"/>
    <col min="3324" max="3326" width="10.7109375" customWidth="1"/>
    <col min="3327" max="3327" width="12.85546875" customWidth="1"/>
    <col min="3328" max="3329" width="10.7109375" customWidth="1"/>
    <col min="3330" max="3330" width="11.7109375" customWidth="1"/>
    <col min="3331" max="3331" width="6.7109375" customWidth="1"/>
    <col min="3332" max="3332" width="15.5703125" customWidth="1"/>
    <col min="3576" max="3576" width="25.42578125" customWidth="1"/>
    <col min="3577" max="3577" width="27" customWidth="1"/>
    <col min="3578" max="3578" width="10.7109375" customWidth="1"/>
    <col min="3579" max="3579" width="12.85546875" customWidth="1"/>
    <col min="3580" max="3582" width="10.7109375" customWidth="1"/>
    <col min="3583" max="3583" width="12.85546875" customWidth="1"/>
    <col min="3584" max="3585" width="10.7109375" customWidth="1"/>
    <col min="3586" max="3586" width="11.7109375" customWidth="1"/>
    <col min="3587" max="3587" width="6.7109375" customWidth="1"/>
    <col min="3588" max="3588" width="15.5703125" customWidth="1"/>
    <col min="3832" max="3832" width="25.42578125" customWidth="1"/>
    <col min="3833" max="3833" width="27" customWidth="1"/>
    <col min="3834" max="3834" width="10.7109375" customWidth="1"/>
    <col min="3835" max="3835" width="12.85546875" customWidth="1"/>
    <col min="3836" max="3838" width="10.7109375" customWidth="1"/>
    <col min="3839" max="3839" width="12.85546875" customWidth="1"/>
    <col min="3840" max="3841" width="10.7109375" customWidth="1"/>
    <col min="3842" max="3842" width="11.7109375" customWidth="1"/>
    <col min="3843" max="3843" width="6.7109375" customWidth="1"/>
    <col min="3844" max="3844" width="15.5703125" customWidth="1"/>
    <col min="4088" max="4088" width="25.42578125" customWidth="1"/>
    <col min="4089" max="4089" width="27" customWidth="1"/>
    <col min="4090" max="4090" width="10.7109375" customWidth="1"/>
    <col min="4091" max="4091" width="12.85546875" customWidth="1"/>
    <col min="4092" max="4094" width="10.7109375" customWidth="1"/>
    <col min="4095" max="4095" width="12.85546875" customWidth="1"/>
    <col min="4096" max="4097" width="10.7109375" customWidth="1"/>
    <col min="4098" max="4098" width="11.7109375" customWidth="1"/>
    <col min="4099" max="4099" width="6.7109375" customWidth="1"/>
    <col min="4100" max="4100" width="15.5703125" customWidth="1"/>
    <col min="4344" max="4344" width="25.42578125" customWidth="1"/>
    <col min="4345" max="4345" width="27" customWidth="1"/>
    <col min="4346" max="4346" width="10.7109375" customWidth="1"/>
    <col min="4347" max="4347" width="12.85546875" customWidth="1"/>
    <col min="4348" max="4350" width="10.7109375" customWidth="1"/>
    <col min="4351" max="4351" width="12.85546875" customWidth="1"/>
    <col min="4352" max="4353" width="10.7109375" customWidth="1"/>
    <col min="4354" max="4354" width="11.7109375" customWidth="1"/>
    <col min="4355" max="4355" width="6.7109375" customWidth="1"/>
    <col min="4356" max="4356" width="15.5703125" customWidth="1"/>
    <col min="4600" max="4600" width="25.42578125" customWidth="1"/>
    <col min="4601" max="4601" width="27" customWidth="1"/>
    <col min="4602" max="4602" width="10.7109375" customWidth="1"/>
    <col min="4603" max="4603" width="12.85546875" customWidth="1"/>
    <col min="4604" max="4606" width="10.7109375" customWidth="1"/>
    <col min="4607" max="4607" width="12.85546875" customWidth="1"/>
    <col min="4608" max="4609" width="10.7109375" customWidth="1"/>
    <col min="4610" max="4610" width="11.7109375" customWidth="1"/>
    <col min="4611" max="4611" width="6.7109375" customWidth="1"/>
    <col min="4612" max="4612" width="15.5703125" customWidth="1"/>
    <col min="4856" max="4856" width="25.42578125" customWidth="1"/>
    <col min="4857" max="4857" width="27" customWidth="1"/>
    <col min="4858" max="4858" width="10.7109375" customWidth="1"/>
    <col min="4859" max="4859" width="12.85546875" customWidth="1"/>
    <col min="4860" max="4862" width="10.7109375" customWidth="1"/>
    <col min="4863" max="4863" width="12.85546875" customWidth="1"/>
    <col min="4864" max="4865" width="10.7109375" customWidth="1"/>
    <col min="4866" max="4866" width="11.7109375" customWidth="1"/>
    <col min="4867" max="4867" width="6.7109375" customWidth="1"/>
    <col min="4868" max="4868" width="15.5703125" customWidth="1"/>
    <col min="5112" max="5112" width="25.42578125" customWidth="1"/>
    <col min="5113" max="5113" width="27" customWidth="1"/>
    <col min="5114" max="5114" width="10.7109375" customWidth="1"/>
    <col min="5115" max="5115" width="12.85546875" customWidth="1"/>
    <col min="5116" max="5118" width="10.7109375" customWidth="1"/>
    <col min="5119" max="5119" width="12.85546875" customWidth="1"/>
    <col min="5120" max="5121" width="10.7109375" customWidth="1"/>
    <col min="5122" max="5122" width="11.7109375" customWidth="1"/>
    <col min="5123" max="5123" width="6.7109375" customWidth="1"/>
    <col min="5124" max="5124" width="15.5703125" customWidth="1"/>
    <col min="5368" max="5368" width="25.42578125" customWidth="1"/>
    <col min="5369" max="5369" width="27" customWidth="1"/>
    <col min="5370" max="5370" width="10.7109375" customWidth="1"/>
    <col min="5371" max="5371" width="12.85546875" customWidth="1"/>
    <col min="5372" max="5374" width="10.7109375" customWidth="1"/>
    <col min="5375" max="5375" width="12.85546875" customWidth="1"/>
    <col min="5376" max="5377" width="10.7109375" customWidth="1"/>
    <col min="5378" max="5378" width="11.7109375" customWidth="1"/>
    <col min="5379" max="5379" width="6.7109375" customWidth="1"/>
    <col min="5380" max="5380" width="15.5703125" customWidth="1"/>
    <col min="5624" max="5624" width="25.42578125" customWidth="1"/>
    <col min="5625" max="5625" width="27" customWidth="1"/>
    <col min="5626" max="5626" width="10.7109375" customWidth="1"/>
    <col min="5627" max="5627" width="12.85546875" customWidth="1"/>
    <col min="5628" max="5630" width="10.7109375" customWidth="1"/>
    <col min="5631" max="5631" width="12.85546875" customWidth="1"/>
    <col min="5632" max="5633" width="10.7109375" customWidth="1"/>
    <col min="5634" max="5634" width="11.7109375" customWidth="1"/>
    <col min="5635" max="5635" width="6.7109375" customWidth="1"/>
    <col min="5636" max="5636" width="15.5703125" customWidth="1"/>
    <col min="5880" max="5880" width="25.42578125" customWidth="1"/>
    <col min="5881" max="5881" width="27" customWidth="1"/>
    <col min="5882" max="5882" width="10.7109375" customWidth="1"/>
    <col min="5883" max="5883" width="12.85546875" customWidth="1"/>
    <col min="5884" max="5886" width="10.7109375" customWidth="1"/>
    <col min="5887" max="5887" width="12.85546875" customWidth="1"/>
    <col min="5888" max="5889" width="10.7109375" customWidth="1"/>
    <col min="5890" max="5890" width="11.7109375" customWidth="1"/>
    <col min="5891" max="5891" width="6.7109375" customWidth="1"/>
    <col min="5892" max="5892" width="15.5703125" customWidth="1"/>
    <col min="6136" max="6136" width="25.42578125" customWidth="1"/>
    <col min="6137" max="6137" width="27" customWidth="1"/>
    <col min="6138" max="6138" width="10.7109375" customWidth="1"/>
    <col min="6139" max="6139" width="12.85546875" customWidth="1"/>
    <col min="6140" max="6142" width="10.7109375" customWidth="1"/>
    <col min="6143" max="6143" width="12.85546875" customWidth="1"/>
    <col min="6144" max="6145" width="10.7109375" customWidth="1"/>
    <col min="6146" max="6146" width="11.7109375" customWidth="1"/>
    <col min="6147" max="6147" width="6.7109375" customWidth="1"/>
    <col min="6148" max="6148" width="15.5703125" customWidth="1"/>
    <col min="6392" max="6392" width="25.42578125" customWidth="1"/>
    <col min="6393" max="6393" width="27" customWidth="1"/>
    <col min="6394" max="6394" width="10.7109375" customWidth="1"/>
    <col min="6395" max="6395" width="12.85546875" customWidth="1"/>
    <col min="6396" max="6398" width="10.7109375" customWidth="1"/>
    <col min="6399" max="6399" width="12.85546875" customWidth="1"/>
    <col min="6400" max="6401" width="10.7109375" customWidth="1"/>
    <col min="6402" max="6402" width="11.7109375" customWidth="1"/>
    <col min="6403" max="6403" width="6.7109375" customWidth="1"/>
    <col min="6404" max="6404" width="15.5703125" customWidth="1"/>
    <col min="6648" max="6648" width="25.42578125" customWidth="1"/>
    <col min="6649" max="6649" width="27" customWidth="1"/>
    <col min="6650" max="6650" width="10.7109375" customWidth="1"/>
    <col min="6651" max="6651" width="12.85546875" customWidth="1"/>
    <col min="6652" max="6654" width="10.7109375" customWidth="1"/>
    <col min="6655" max="6655" width="12.85546875" customWidth="1"/>
    <col min="6656" max="6657" width="10.7109375" customWidth="1"/>
    <col min="6658" max="6658" width="11.7109375" customWidth="1"/>
    <col min="6659" max="6659" width="6.7109375" customWidth="1"/>
    <col min="6660" max="6660" width="15.5703125" customWidth="1"/>
    <col min="6904" max="6904" width="25.42578125" customWidth="1"/>
    <col min="6905" max="6905" width="27" customWidth="1"/>
    <col min="6906" max="6906" width="10.7109375" customWidth="1"/>
    <col min="6907" max="6907" width="12.85546875" customWidth="1"/>
    <col min="6908" max="6910" width="10.7109375" customWidth="1"/>
    <col min="6911" max="6911" width="12.85546875" customWidth="1"/>
    <col min="6912" max="6913" width="10.7109375" customWidth="1"/>
    <col min="6914" max="6914" width="11.7109375" customWidth="1"/>
    <col min="6915" max="6915" width="6.7109375" customWidth="1"/>
    <col min="6916" max="6916" width="15.5703125" customWidth="1"/>
    <col min="7160" max="7160" width="25.42578125" customWidth="1"/>
    <col min="7161" max="7161" width="27" customWidth="1"/>
    <col min="7162" max="7162" width="10.7109375" customWidth="1"/>
    <col min="7163" max="7163" width="12.85546875" customWidth="1"/>
    <col min="7164" max="7166" width="10.7109375" customWidth="1"/>
    <col min="7167" max="7167" width="12.85546875" customWidth="1"/>
    <col min="7168" max="7169" width="10.7109375" customWidth="1"/>
    <col min="7170" max="7170" width="11.7109375" customWidth="1"/>
    <col min="7171" max="7171" width="6.7109375" customWidth="1"/>
    <col min="7172" max="7172" width="15.5703125" customWidth="1"/>
    <col min="7416" max="7416" width="25.42578125" customWidth="1"/>
    <col min="7417" max="7417" width="27" customWidth="1"/>
    <col min="7418" max="7418" width="10.7109375" customWidth="1"/>
    <col min="7419" max="7419" width="12.85546875" customWidth="1"/>
    <col min="7420" max="7422" width="10.7109375" customWidth="1"/>
    <col min="7423" max="7423" width="12.85546875" customWidth="1"/>
    <col min="7424" max="7425" width="10.7109375" customWidth="1"/>
    <col min="7426" max="7426" width="11.7109375" customWidth="1"/>
    <col min="7427" max="7427" width="6.7109375" customWidth="1"/>
    <col min="7428" max="7428" width="15.5703125" customWidth="1"/>
    <col min="7672" max="7672" width="25.42578125" customWidth="1"/>
    <col min="7673" max="7673" width="27" customWidth="1"/>
    <col min="7674" max="7674" width="10.7109375" customWidth="1"/>
    <col min="7675" max="7675" width="12.85546875" customWidth="1"/>
    <col min="7676" max="7678" width="10.7109375" customWidth="1"/>
    <col min="7679" max="7679" width="12.85546875" customWidth="1"/>
    <col min="7680" max="7681" width="10.7109375" customWidth="1"/>
    <col min="7682" max="7682" width="11.7109375" customWidth="1"/>
    <col min="7683" max="7683" width="6.7109375" customWidth="1"/>
    <col min="7684" max="7684" width="15.5703125" customWidth="1"/>
    <col min="7928" max="7928" width="25.42578125" customWidth="1"/>
    <col min="7929" max="7929" width="27" customWidth="1"/>
    <col min="7930" max="7930" width="10.7109375" customWidth="1"/>
    <col min="7931" max="7931" width="12.85546875" customWidth="1"/>
    <col min="7932" max="7934" width="10.7109375" customWidth="1"/>
    <col min="7935" max="7935" width="12.85546875" customWidth="1"/>
    <col min="7936" max="7937" width="10.7109375" customWidth="1"/>
    <col min="7938" max="7938" width="11.7109375" customWidth="1"/>
    <col min="7939" max="7939" width="6.7109375" customWidth="1"/>
    <col min="7940" max="7940" width="15.5703125" customWidth="1"/>
    <col min="8184" max="8184" width="25.42578125" customWidth="1"/>
    <col min="8185" max="8185" width="27" customWidth="1"/>
    <col min="8186" max="8186" width="10.7109375" customWidth="1"/>
    <col min="8187" max="8187" width="12.85546875" customWidth="1"/>
    <col min="8188" max="8190" width="10.7109375" customWidth="1"/>
    <col min="8191" max="8191" width="12.85546875" customWidth="1"/>
    <col min="8192" max="8193" width="10.7109375" customWidth="1"/>
    <col min="8194" max="8194" width="11.7109375" customWidth="1"/>
    <col min="8195" max="8195" width="6.7109375" customWidth="1"/>
    <col min="8196" max="8196" width="15.5703125" customWidth="1"/>
    <col min="8440" max="8440" width="25.42578125" customWidth="1"/>
    <col min="8441" max="8441" width="27" customWidth="1"/>
    <col min="8442" max="8442" width="10.7109375" customWidth="1"/>
    <col min="8443" max="8443" width="12.85546875" customWidth="1"/>
    <col min="8444" max="8446" width="10.7109375" customWidth="1"/>
    <col min="8447" max="8447" width="12.85546875" customWidth="1"/>
    <col min="8448" max="8449" width="10.7109375" customWidth="1"/>
    <col min="8450" max="8450" width="11.7109375" customWidth="1"/>
    <col min="8451" max="8451" width="6.7109375" customWidth="1"/>
    <col min="8452" max="8452" width="15.5703125" customWidth="1"/>
    <col min="8696" max="8696" width="25.42578125" customWidth="1"/>
    <col min="8697" max="8697" width="27" customWidth="1"/>
    <col min="8698" max="8698" width="10.7109375" customWidth="1"/>
    <col min="8699" max="8699" width="12.85546875" customWidth="1"/>
    <col min="8700" max="8702" width="10.7109375" customWidth="1"/>
    <col min="8703" max="8703" width="12.85546875" customWidth="1"/>
    <col min="8704" max="8705" width="10.7109375" customWidth="1"/>
    <col min="8706" max="8706" width="11.7109375" customWidth="1"/>
    <col min="8707" max="8707" width="6.7109375" customWidth="1"/>
    <col min="8708" max="8708" width="15.5703125" customWidth="1"/>
    <col min="8952" max="8952" width="25.42578125" customWidth="1"/>
    <col min="8953" max="8953" width="27" customWidth="1"/>
    <col min="8954" max="8954" width="10.7109375" customWidth="1"/>
    <col min="8955" max="8955" width="12.85546875" customWidth="1"/>
    <col min="8956" max="8958" width="10.7109375" customWidth="1"/>
    <col min="8959" max="8959" width="12.85546875" customWidth="1"/>
    <col min="8960" max="8961" width="10.7109375" customWidth="1"/>
    <col min="8962" max="8962" width="11.7109375" customWidth="1"/>
    <col min="8963" max="8963" width="6.7109375" customWidth="1"/>
    <col min="8964" max="8964" width="15.5703125" customWidth="1"/>
    <col min="9208" max="9208" width="25.42578125" customWidth="1"/>
    <col min="9209" max="9209" width="27" customWidth="1"/>
    <col min="9210" max="9210" width="10.7109375" customWidth="1"/>
    <col min="9211" max="9211" width="12.85546875" customWidth="1"/>
    <col min="9212" max="9214" width="10.7109375" customWidth="1"/>
    <col min="9215" max="9215" width="12.85546875" customWidth="1"/>
    <col min="9216" max="9217" width="10.7109375" customWidth="1"/>
    <col min="9218" max="9218" width="11.7109375" customWidth="1"/>
    <col min="9219" max="9219" width="6.7109375" customWidth="1"/>
    <col min="9220" max="9220" width="15.5703125" customWidth="1"/>
    <col min="9464" max="9464" width="25.42578125" customWidth="1"/>
    <col min="9465" max="9465" width="27" customWidth="1"/>
    <col min="9466" max="9466" width="10.7109375" customWidth="1"/>
    <col min="9467" max="9467" width="12.85546875" customWidth="1"/>
    <col min="9468" max="9470" width="10.7109375" customWidth="1"/>
    <col min="9471" max="9471" width="12.85546875" customWidth="1"/>
    <col min="9472" max="9473" width="10.7109375" customWidth="1"/>
    <col min="9474" max="9474" width="11.7109375" customWidth="1"/>
    <col min="9475" max="9475" width="6.7109375" customWidth="1"/>
    <col min="9476" max="9476" width="15.5703125" customWidth="1"/>
    <col min="9720" max="9720" width="25.42578125" customWidth="1"/>
    <col min="9721" max="9721" width="27" customWidth="1"/>
    <col min="9722" max="9722" width="10.7109375" customWidth="1"/>
    <col min="9723" max="9723" width="12.85546875" customWidth="1"/>
    <col min="9724" max="9726" width="10.7109375" customWidth="1"/>
    <col min="9727" max="9727" width="12.85546875" customWidth="1"/>
    <col min="9728" max="9729" width="10.7109375" customWidth="1"/>
    <col min="9730" max="9730" width="11.7109375" customWidth="1"/>
    <col min="9731" max="9731" width="6.7109375" customWidth="1"/>
    <col min="9732" max="9732" width="15.5703125" customWidth="1"/>
    <col min="9976" max="9976" width="25.42578125" customWidth="1"/>
    <col min="9977" max="9977" width="27" customWidth="1"/>
    <col min="9978" max="9978" width="10.7109375" customWidth="1"/>
    <col min="9979" max="9979" width="12.85546875" customWidth="1"/>
    <col min="9980" max="9982" width="10.7109375" customWidth="1"/>
    <col min="9983" max="9983" width="12.85546875" customWidth="1"/>
    <col min="9984" max="9985" width="10.7109375" customWidth="1"/>
    <col min="9986" max="9986" width="11.7109375" customWidth="1"/>
    <col min="9987" max="9987" width="6.7109375" customWidth="1"/>
    <col min="9988" max="9988" width="15.5703125" customWidth="1"/>
    <col min="10232" max="10232" width="25.42578125" customWidth="1"/>
    <col min="10233" max="10233" width="27" customWidth="1"/>
    <col min="10234" max="10234" width="10.7109375" customWidth="1"/>
    <col min="10235" max="10235" width="12.85546875" customWidth="1"/>
    <col min="10236" max="10238" width="10.7109375" customWidth="1"/>
    <col min="10239" max="10239" width="12.85546875" customWidth="1"/>
    <col min="10240" max="10241" width="10.7109375" customWidth="1"/>
    <col min="10242" max="10242" width="11.7109375" customWidth="1"/>
    <col min="10243" max="10243" width="6.7109375" customWidth="1"/>
    <col min="10244" max="10244" width="15.5703125" customWidth="1"/>
    <col min="10488" max="10488" width="25.42578125" customWidth="1"/>
    <col min="10489" max="10489" width="27" customWidth="1"/>
    <col min="10490" max="10490" width="10.7109375" customWidth="1"/>
    <col min="10491" max="10491" width="12.85546875" customWidth="1"/>
    <col min="10492" max="10494" width="10.7109375" customWidth="1"/>
    <col min="10495" max="10495" width="12.85546875" customWidth="1"/>
    <col min="10496" max="10497" width="10.7109375" customWidth="1"/>
    <col min="10498" max="10498" width="11.7109375" customWidth="1"/>
    <col min="10499" max="10499" width="6.7109375" customWidth="1"/>
    <col min="10500" max="10500" width="15.5703125" customWidth="1"/>
    <col min="10744" max="10744" width="25.42578125" customWidth="1"/>
    <col min="10745" max="10745" width="27" customWidth="1"/>
    <col min="10746" max="10746" width="10.7109375" customWidth="1"/>
    <col min="10747" max="10747" width="12.85546875" customWidth="1"/>
    <col min="10748" max="10750" width="10.7109375" customWidth="1"/>
    <col min="10751" max="10751" width="12.85546875" customWidth="1"/>
    <col min="10752" max="10753" width="10.7109375" customWidth="1"/>
    <col min="10754" max="10754" width="11.7109375" customWidth="1"/>
    <col min="10755" max="10755" width="6.7109375" customWidth="1"/>
    <col min="10756" max="10756" width="15.5703125" customWidth="1"/>
    <col min="11000" max="11000" width="25.42578125" customWidth="1"/>
    <col min="11001" max="11001" width="27" customWidth="1"/>
    <col min="11002" max="11002" width="10.7109375" customWidth="1"/>
    <col min="11003" max="11003" width="12.85546875" customWidth="1"/>
    <col min="11004" max="11006" width="10.7109375" customWidth="1"/>
    <col min="11007" max="11007" width="12.85546875" customWidth="1"/>
    <col min="11008" max="11009" width="10.7109375" customWidth="1"/>
    <col min="11010" max="11010" width="11.7109375" customWidth="1"/>
    <col min="11011" max="11011" width="6.7109375" customWidth="1"/>
    <col min="11012" max="11012" width="15.5703125" customWidth="1"/>
    <col min="11256" max="11256" width="25.42578125" customWidth="1"/>
    <col min="11257" max="11257" width="27" customWidth="1"/>
    <col min="11258" max="11258" width="10.7109375" customWidth="1"/>
    <col min="11259" max="11259" width="12.85546875" customWidth="1"/>
    <col min="11260" max="11262" width="10.7109375" customWidth="1"/>
    <col min="11263" max="11263" width="12.85546875" customWidth="1"/>
    <col min="11264" max="11265" width="10.7109375" customWidth="1"/>
    <col min="11266" max="11266" width="11.7109375" customWidth="1"/>
    <col min="11267" max="11267" width="6.7109375" customWidth="1"/>
    <col min="11268" max="11268" width="15.5703125" customWidth="1"/>
    <col min="11512" max="11512" width="25.42578125" customWidth="1"/>
    <col min="11513" max="11513" width="27" customWidth="1"/>
    <col min="11514" max="11514" width="10.7109375" customWidth="1"/>
    <col min="11515" max="11515" width="12.85546875" customWidth="1"/>
    <col min="11516" max="11518" width="10.7109375" customWidth="1"/>
    <col min="11519" max="11519" width="12.85546875" customWidth="1"/>
    <col min="11520" max="11521" width="10.7109375" customWidth="1"/>
    <col min="11522" max="11522" width="11.7109375" customWidth="1"/>
    <col min="11523" max="11523" width="6.7109375" customWidth="1"/>
    <col min="11524" max="11524" width="15.5703125" customWidth="1"/>
    <col min="11768" max="11768" width="25.42578125" customWidth="1"/>
    <col min="11769" max="11769" width="27" customWidth="1"/>
    <col min="11770" max="11770" width="10.7109375" customWidth="1"/>
    <col min="11771" max="11771" width="12.85546875" customWidth="1"/>
    <col min="11772" max="11774" width="10.7109375" customWidth="1"/>
    <col min="11775" max="11775" width="12.85546875" customWidth="1"/>
    <col min="11776" max="11777" width="10.7109375" customWidth="1"/>
    <col min="11778" max="11778" width="11.7109375" customWidth="1"/>
    <col min="11779" max="11779" width="6.7109375" customWidth="1"/>
    <col min="11780" max="11780" width="15.5703125" customWidth="1"/>
    <col min="12024" max="12024" width="25.42578125" customWidth="1"/>
    <col min="12025" max="12025" width="27" customWidth="1"/>
    <col min="12026" max="12026" width="10.7109375" customWidth="1"/>
    <col min="12027" max="12027" width="12.85546875" customWidth="1"/>
    <col min="12028" max="12030" width="10.7109375" customWidth="1"/>
    <col min="12031" max="12031" width="12.85546875" customWidth="1"/>
    <col min="12032" max="12033" width="10.7109375" customWidth="1"/>
    <col min="12034" max="12034" width="11.7109375" customWidth="1"/>
    <col min="12035" max="12035" width="6.7109375" customWidth="1"/>
    <col min="12036" max="12036" width="15.5703125" customWidth="1"/>
    <col min="12280" max="12280" width="25.42578125" customWidth="1"/>
    <col min="12281" max="12281" width="27" customWidth="1"/>
    <col min="12282" max="12282" width="10.7109375" customWidth="1"/>
    <col min="12283" max="12283" width="12.85546875" customWidth="1"/>
    <col min="12284" max="12286" width="10.7109375" customWidth="1"/>
    <col min="12287" max="12287" width="12.85546875" customWidth="1"/>
    <col min="12288" max="12289" width="10.7109375" customWidth="1"/>
    <col min="12290" max="12290" width="11.7109375" customWidth="1"/>
    <col min="12291" max="12291" width="6.7109375" customWidth="1"/>
    <col min="12292" max="12292" width="15.5703125" customWidth="1"/>
    <col min="12536" max="12536" width="25.42578125" customWidth="1"/>
    <col min="12537" max="12537" width="27" customWidth="1"/>
    <col min="12538" max="12538" width="10.7109375" customWidth="1"/>
    <col min="12539" max="12539" width="12.85546875" customWidth="1"/>
    <col min="12540" max="12542" width="10.7109375" customWidth="1"/>
    <col min="12543" max="12543" width="12.85546875" customWidth="1"/>
    <col min="12544" max="12545" width="10.7109375" customWidth="1"/>
    <col min="12546" max="12546" width="11.7109375" customWidth="1"/>
    <col min="12547" max="12547" width="6.7109375" customWidth="1"/>
    <col min="12548" max="12548" width="15.5703125" customWidth="1"/>
    <col min="12792" max="12792" width="25.42578125" customWidth="1"/>
    <col min="12793" max="12793" width="27" customWidth="1"/>
    <col min="12794" max="12794" width="10.7109375" customWidth="1"/>
    <col min="12795" max="12795" width="12.85546875" customWidth="1"/>
    <col min="12796" max="12798" width="10.7109375" customWidth="1"/>
    <col min="12799" max="12799" width="12.85546875" customWidth="1"/>
    <col min="12800" max="12801" width="10.7109375" customWidth="1"/>
    <col min="12802" max="12802" width="11.7109375" customWidth="1"/>
    <col min="12803" max="12803" width="6.7109375" customWidth="1"/>
    <col min="12804" max="12804" width="15.5703125" customWidth="1"/>
    <col min="13048" max="13048" width="25.42578125" customWidth="1"/>
    <col min="13049" max="13049" width="27" customWidth="1"/>
    <col min="13050" max="13050" width="10.7109375" customWidth="1"/>
    <col min="13051" max="13051" width="12.85546875" customWidth="1"/>
    <col min="13052" max="13054" width="10.7109375" customWidth="1"/>
    <col min="13055" max="13055" width="12.85546875" customWidth="1"/>
    <col min="13056" max="13057" width="10.7109375" customWidth="1"/>
    <col min="13058" max="13058" width="11.7109375" customWidth="1"/>
    <col min="13059" max="13059" width="6.7109375" customWidth="1"/>
    <col min="13060" max="13060" width="15.5703125" customWidth="1"/>
    <col min="13304" max="13304" width="25.42578125" customWidth="1"/>
    <col min="13305" max="13305" width="27" customWidth="1"/>
    <col min="13306" max="13306" width="10.7109375" customWidth="1"/>
    <col min="13307" max="13307" width="12.85546875" customWidth="1"/>
    <col min="13308" max="13310" width="10.7109375" customWidth="1"/>
    <col min="13311" max="13311" width="12.85546875" customWidth="1"/>
    <col min="13312" max="13313" width="10.7109375" customWidth="1"/>
    <col min="13314" max="13314" width="11.7109375" customWidth="1"/>
    <col min="13315" max="13315" width="6.7109375" customWidth="1"/>
    <col min="13316" max="13316" width="15.5703125" customWidth="1"/>
    <col min="13560" max="13560" width="25.42578125" customWidth="1"/>
    <col min="13561" max="13561" width="27" customWidth="1"/>
    <col min="13562" max="13562" width="10.7109375" customWidth="1"/>
    <col min="13563" max="13563" width="12.85546875" customWidth="1"/>
    <col min="13564" max="13566" width="10.7109375" customWidth="1"/>
    <col min="13567" max="13567" width="12.85546875" customWidth="1"/>
    <col min="13568" max="13569" width="10.7109375" customWidth="1"/>
    <col min="13570" max="13570" width="11.7109375" customWidth="1"/>
    <col min="13571" max="13571" width="6.7109375" customWidth="1"/>
    <col min="13572" max="13572" width="15.5703125" customWidth="1"/>
    <col min="13816" max="13816" width="25.42578125" customWidth="1"/>
    <col min="13817" max="13817" width="27" customWidth="1"/>
    <col min="13818" max="13818" width="10.7109375" customWidth="1"/>
    <col min="13819" max="13819" width="12.85546875" customWidth="1"/>
    <col min="13820" max="13822" width="10.7109375" customWidth="1"/>
    <col min="13823" max="13823" width="12.85546875" customWidth="1"/>
    <col min="13824" max="13825" width="10.7109375" customWidth="1"/>
    <col min="13826" max="13826" width="11.7109375" customWidth="1"/>
    <col min="13827" max="13827" width="6.7109375" customWidth="1"/>
    <col min="13828" max="13828" width="15.5703125" customWidth="1"/>
    <col min="14072" max="14072" width="25.42578125" customWidth="1"/>
    <col min="14073" max="14073" width="27" customWidth="1"/>
    <col min="14074" max="14074" width="10.7109375" customWidth="1"/>
    <col min="14075" max="14075" width="12.85546875" customWidth="1"/>
    <col min="14076" max="14078" width="10.7109375" customWidth="1"/>
    <col min="14079" max="14079" width="12.85546875" customWidth="1"/>
    <col min="14080" max="14081" width="10.7109375" customWidth="1"/>
    <col min="14082" max="14082" width="11.7109375" customWidth="1"/>
    <col min="14083" max="14083" width="6.7109375" customWidth="1"/>
    <col min="14084" max="14084" width="15.5703125" customWidth="1"/>
    <col min="14328" max="14328" width="25.42578125" customWidth="1"/>
    <col min="14329" max="14329" width="27" customWidth="1"/>
    <col min="14330" max="14330" width="10.7109375" customWidth="1"/>
    <col min="14331" max="14331" width="12.85546875" customWidth="1"/>
    <col min="14332" max="14334" width="10.7109375" customWidth="1"/>
    <col min="14335" max="14335" width="12.85546875" customWidth="1"/>
    <col min="14336" max="14337" width="10.7109375" customWidth="1"/>
    <col min="14338" max="14338" width="11.7109375" customWidth="1"/>
    <col min="14339" max="14339" width="6.7109375" customWidth="1"/>
    <col min="14340" max="14340" width="15.5703125" customWidth="1"/>
    <col min="14584" max="14584" width="25.42578125" customWidth="1"/>
    <col min="14585" max="14585" width="27" customWidth="1"/>
    <col min="14586" max="14586" width="10.7109375" customWidth="1"/>
    <col min="14587" max="14587" width="12.85546875" customWidth="1"/>
    <col min="14588" max="14590" width="10.7109375" customWidth="1"/>
    <col min="14591" max="14591" width="12.85546875" customWidth="1"/>
    <col min="14592" max="14593" width="10.7109375" customWidth="1"/>
    <col min="14594" max="14594" width="11.7109375" customWidth="1"/>
    <col min="14595" max="14595" width="6.7109375" customWidth="1"/>
    <col min="14596" max="14596" width="15.5703125" customWidth="1"/>
    <col min="14840" max="14840" width="25.42578125" customWidth="1"/>
    <col min="14841" max="14841" width="27" customWidth="1"/>
    <col min="14842" max="14842" width="10.7109375" customWidth="1"/>
    <col min="14843" max="14843" width="12.85546875" customWidth="1"/>
    <col min="14844" max="14846" width="10.7109375" customWidth="1"/>
    <col min="14847" max="14847" width="12.85546875" customWidth="1"/>
    <col min="14848" max="14849" width="10.7109375" customWidth="1"/>
    <col min="14850" max="14850" width="11.7109375" customWidth="1"/>
    <col min="14851" max="14851" width="6.7109375" customWidth="1"/>
    <col min="14852" max="14852" width="15.5703125" customWidth="1"/>
    <col min="15096" max="15096" width="25.42578125" customWidth="1"/>
    <col min="15097" max="15097" width="27" customWidth="1"/>
    <col min="15098" max="15098" width="10.7109375" customWidth="1"/>
    <col min="15099" max="15099" width="12.85546875" customWidth="1"/>
    <col min="15100" max="15102" width="10.7109375" customWidth="1"/>
    <col min="15103" max="15103" width="12.85546875" customWidth="1"/>
    <col min="15104" max="15105" width="10.7109375" customWidth="1"/>
    <col min="15106" max="15106" width="11.7109375" customWidth="1"/>
    <col min="15107" max="15107" width="6.7109375" customWidth="1"/>
    <col min="15108" max="15108" width="15.5703125" customWidth="1"/>
    <col min="15352" max="15352" width="25.42578125" customWidth="1"/>
    <col min="15353" max="15353" width="27" customWidth="1"/>
    <col min="15354" max="15354" width="10.7109375" customWidth="1"/>
    <col min="15355" max="15355" width="12.85546875" customWidth="1"/>
    <col min="15356" max="15358" width="10.7109375" customWidth="1"/>
    <col min="15359" max="15359" width="12.85546875" customWidth="1"/>
    <col min="15360" max="15361" width="10.7109375" customWidth="1"/>
    <col min="15362" max="15362" width="11.7109375" customWidth="1"/>
    <col min="15363" max="15363" width="6.7109375" customWidth="1"/>
    <col min="15364" max="15364" width="15.5703125" customWidth="1"/>
    <col min="15608" max="15608" width="25.42578125" customWidth="1"/>
    <col min="15609" max="15609" width="27" customWidth="1"/>
    <col min="15610" max="15610" width="10.7109375" customWidth="1"/>
    <col min="15611" max="15611" width="12.85546875" customWidth="1"/>
    <col min="15612" max="15614" width="10.7109375" customWidth="1"/>
    <col min="15615" max="15615" width="12.85546875" customWidth="1"/>
    <col min="15616" max="15617" width="10.7109375" customWidth="1"/>
    <col min="15618" max="15618" width="11.7109375" customWidth="1"/>
    <col min="15619" max="15619" width="6.7109375" customWidth="1"/>
    <col min="15620" max="15620" width="15.5703125" customWidth="1"/>
    <col min="15864" max="15864" width="25.42578125" customWidth="1"/>
    <col min="15865" max="15865" width="27" customWidth="1"/>
    <col min="15866" max="15866" width="10.7109375" customWidth="1"/>
    <col min="15867" max="15867" width="12.85546875" customWidth="1"/>
    <col min="15868" max="15870" width="10.7109375" customWidth="1"/>
    <col min="15871" max="15871" width="12.85546875" customWidth="1"/>
    <col min="15872" max="15873" width="10.7109375" customWidth="1"/>
    <col min="15874" max="15874" width="11.7109375" customWidth="1"/>
    <col min="15875" max="15875" width="6.7109375" customWidth="1"/>
    <col min="15876" max="15876" width="15.5703125" customWidth="1"/>
    <col min="16120" max="16120" width="25.42578125" customWidth="1"/>
    <col min="16121" max="16121" width="27" customWidth="1"/>
    <col min="16122" max="16122" width="10.7109375" customWidth="1"/>
    <col min="16123" max="16123" width="12.85546875" customWidth="1"/>
    <col min="16124" max="16126" width="10.7109375" customWidth="1"/>
    <col min="16127" max="16127" width="12.85546875" customWidth="1"/>
    <col min="16128" max="16129" width="10.7109375" customWidth="1"/>
    <col min="16130" max="16130" width="11.7109375" customWidth="1"/>
    <col min="16131" max="16131" width="6.7109375" customWidth="1"/>
    <col min="16132" max="16132" width="15.5703125" customWidth="1"/>
  </cols>
  <sheetData>
    <row r="1" spans="1:15" ht="27.75" customHeight="1" x14ac:dyDescent="0.3">
      <c r="A1" s="259" t="s">
        <v>150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5" ht="24.95" customHeight="1" x14ac:dyDescent="0.25">
      <c r="A2" s="34"/>
      <c r="B2" s="34"/>
      <c r="C2" s="34"/>
      <c r="D2" s="246" t="s">
        <v>142</v>
      </c>
      <c r="E2" s="247"/>
      <c r="F2" s="258"/>
      <c r="G2" s="246" t="s">
        <v>143</v>
      </c>
      <c r="H2" s="247"/>
      <c r="I2" s="258"/>
      <c r="J2" s="246" t="s">
        <v>144</v>
      </c>
      <c r="K2" s="247"/>
      <c r="L2" s="258"/>
      <c r="M2" s="246" t="s">
        <v>145</v>
      </c>
      <c r="N2" s="247"/>
      <c r="O2" s="258"/>
    </row>
    <row r="3" spans="1:15" ht="22.5" customHeight="1" x14ac:dyDescent="0.25">
      <c r="A3" s="266" t="s">
        <v>0</v>
      </c>
      <c r="B3" s="267" t="s">
        <v>1</v>
      </c>
      <c r="C3" s="261" t="s">
        <v>2</v>
      </c>
      <c r="D3" s="261" t="s">
        <v>3</v>
      </c>
      <c r="E3" s="261" t="s">
        <v>4</v>
      </c>
      <c r="F3" s="262" t="s">
        <v>151</v>
      </c>
      <c r="G3" s="261" t="s">
        <v>3</v>
      </c>
      <c r="H3" s="261" t="s">
        <v>4</v>
      </c>
      <c r="I3" s="262" t="s">
        <v>151</v>
      </c>
      <c r="J3" s="261" t="s">
        <v>3</v>
      </c>
      <c r="K3" s="261" t="s">
        <v>4</v>
      </c>
      <c r="L3" s="262" t="s">
        <v>151</v>
      </c>
      <c r="M3" s="261" t="s">
        <v>3</v>
      </c>
      <c r="N3" s="261" t="s">
        <v>4</v>
      </c>
      <c r="O3" s="262" t="s">
        <v>151</v>
      </c>
    </row>
    <row r="4" spans="1:15" ht="22.5" customHeight="1" x14ac:dyDescent="0.25">
      <c r="A4" s="266"/>
      <c r="B4" s="267"/>
      <c r="C4" s="261"/>
      <c r="D4" s="261"/>
      <c r="E4" s="261"/>
      <c r="F4" s="262"/>
      <c r="G4" s="261"/>
      <c r="H4" s="261"/>
      <c r="I4" s="262"/>
      <c r="J4" s="261"/>
      <c r="K4" s="261"/>
      <c r="L4" s="262"/>
      <c r="M4" s="261"/>
      <c r="N4" s="261"/>
      <c r="O4" s="262"/>
    </row>
    <row r="5" spans="1:15" ht="54.95" customHeight="1" x14ac:dyDescent="0.25">
      <c r="A5" s="266"/>
      <c r="B5" s="267"/>
      <c r="C5" s="261"/>
      <c r="D5" s="261"/>
      <c r="E5" s="261"/>
      <c r="F5" s="262"/>
      <c r="G5" s="261"/>
      <c r="H5" s="261"/>
      <c r="I5" s="262"/>
      <c r="J5" s="261"/>
      <c r="K5" s="261"/>
      <c r="L5" s="262"/>
      <c r="M5" s="261"/>
      <c r="N5" s="261"/>
      <c r="O5" s="262"/>
    </row>
    <row r="6" spans="1:15" ht="15.75" customHeight="1" x14ac:dyDescent="0.25">
      <c r="A6" s="263" t="s">
        <v>6</v>
      </c>
      <c r="B6" s="264" t="s">
        <v>7</v>
      </c>
      <c r="C6" s="2" t="s">
        <v>8</v>
      </c>
      <c r="D6" s="3"/>
      <c r="E6" s="4"/>
      <c r="F6" s="5"/>
      <c r="G6" s="3"/>
      <c r="H6" s="4"/>
      <c r="I6" s="5"/>
      <c r="J6" s="3"/>
      <c r="K6" s="4"/>
      <c r="L6" s="5"/>
      <c r="M6" s="3"/>
      <c r="N6" s="4"/>
      <c r="O6" s="5"/>
    </row>
    <row r="7" spans="1:15" ht="15.75" customHeight="1" x14ac:dyDescent="0.25">
      <c r="A7" s="263"/>
      <c r="B7" s="264"/>
      <c r="C7" s="2" t="s">
        <v>9</v>
      </c>
      <c r="D7" s="3"/>
      <c r="E7" s="4"/>
      <c r="F7" s="5"/>
      <c r="G7" s="3"/>
      <c r="H7" s="4"/>
      <c r="I7" s="5"/>
      <c r="J7" s="3"/>
      <c r="K7" s="4"/>
      <c r="L7" s="5"/>
      <c r="M7" s="3"/>
      <c r="N7" s="4"/>
      <c r="O7" s="5"/>
    </row>
    <row r="8" spans="1:15" ht="15.75" customHeight="1" x14ac:dyDescent="0.25">
      <c r="A8" s="263"/>
      <c r="B8" s="265" t="s">
        <v>10</v>
      </c>
      <c r="C8" s="2" t="s">
        <v>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25">
      <c r="A9" s="263"/>
      <c r="B9" s="265"/>
      <c r="C9" s="7" t="s">
        <v>12</v>
      </c>
      <c r="D9" s="8">
        <v>1</v>
      </c>
      <c r="E9" s="9">
        <v>300</v>
      </c>
      <c r="F9" s="10">
        <f>938/300</f>
        <v>3.1266666666666665</v>
      </c>
      <c r="G9" s="8">
        <v>1</v>
      </c>
      <c r="H9" s="9">
        <v>300</v>
      </c>
      <c r="I9" s="10">
        <f>962/300</f>
        <v>3.2066666666666666</v>
      </c>
      <c r="J9" s="8">
        <v>1</v>
      </c>
      <c r="K9" s="9">
        <v>300</v>
      </c>
      <c r="L9" s="10">
        <f>963/300</f>
        <v>3.21</v>
      </c>
      <c r="M9" s="8">
        <v>1</v>
      </c>
      <c r="N9" s="9">
        <v>300</v>
      </c>
      <c r="O9" s="10">
        <f>726/300</f>
        <v>2.42</v>
      </c>
    </row>
    <row r="10" spans="1:15" ht="15.75" customHeight="1" x14ac:dyDescent="0.25">
      <c r="A10" s="263"/>
      <c r="B10" s="265"/>
      <c r="C10" s="2" t="s">
        <v>13</v>
      </c>
      <c r="D10" s="6"/>
      <c r="E10" s="11"/>
      <c r="F10" s="6"/>
      <c r="G10" s="6"/>
      <c r="H10" s="11"/>
      <c r="I10" s="6"/>
      <c r="J10" s="6"/>
      <c r="K10" s="11"/>
      <c r="L10" s="6"/>
      <c r="M10" s="6"/>
      <c r="N10" s="11"/>
      <c r="O10" s="6"/>
    </row>
    <row r="11" spans="1:15" ht="15.75" customHeight="1" x14ac:dyDescent="0.25">
      <c r="A11" s="263"/>
      <c r="B11" s="265" t="s">
        <v>14</v>
      </c>
      <c r="C11" s="7" t="s">
        <v>15</v>
      </c>
      <c r="D11" s="12">
        <v>1</v>
      </c>
      <c r="E11" s="13">
        <v>200</v>
      </c>
      <c r="F11" s="14">
        <f>407/200</f>
        <v>2.0350000000000001</v>
      </c>
      <c r="G11" s="12">
        <v>1</v>
      </c>
      <c r="H11" s="13">
        <v>200</v>
      </c>
      <c r="I11" s="14">
        <f>371/200</f>
        <v>1.855</v>
      </c>
      <c r="J11" s="12">
        <v>1</v>
      </c>
      <c r="K11" s="13">
        <v>200</v>
      </c>
      <c r="L11" s="14">
        <f>451/200</f>
        <v>2.2549999999999999</v>
      </c>
      <c r="M11" s="12">
        <v>1</v>
      </c>
      <c r="N11" s="13">
        <v>200</v>
      </c>
      <c r="O11" s="14">
        <f>441/200</f>
        <v>2.2050000000000001</v>
      </c>
    </row>
    <row r="12" spans="1:15" ht="15.75" customHeight="1" x14ac:dyDescent="0.25">
      <c r="A12" s="263"/>
      <c r="B12" s="265"/>
      <c r="C12" s="2" t="s">
        <v>16</v>
      </c>
      <c r="D12" s="6"/>
      <c r="E12" s="11"/>
      <c r="F12" s="6"/>
      <c r="G12" s="6"/>
      <c r="H12" s="11"/>
      <c r="I12" s="6"/>
      <c r="J12" s="6"/>
      <c r="K12" s="11"/>
      <c r="L12" s="6"/>
      <c r="M12" s="6"/>
      <c r="N12" s="11"/>
      <c r="O12" s="6"/>
    </row>
    <row r="13" spans="1:15" ht="15.75" customHeight="1" x14ac:dyDescent="0.25">
      <c r="A13" s="263"/>
      <c r="B13" s="265"/>
      <c r="C13" s="2" t="s">
        <v>17</v>
      </c>
      <c r="D13" s="6"/>
      <c r="E13" s="11"/>
      <c r="F13" s="6"/>
      <c r="G13" s="6"/>
      <c r="H13" s="11"/>
      <c r="I13" s="6"/>
      <c r="J13" s="6"/>
      <c r="K13" s="11"/>
      <c r="L13" s="6"/>
      <c r="M13" s="6"/>
      <c r="N13" s="11"/>
      <c r="O13" s="6"/>
    </row>
    <row r="14" spans="1:15" ht="15.75" customHeight="1" x14ac:dyDescent="0.25">
      <c r="A14" s="263" t="s">
        <v>18</v>
      </c>
      <c r="B14" s="265" t="s">
        <v>19</v>
      </c>
      <c r="C14" s="2" t="s">
        <v>20</v>
      </c>
      <c r="D14" s="6"/>
      <c r="E14" s="11"/>
      <c r="F14" s="6"/>
      <c r="G14" s="6"/>
      <c r="H14" s="11"/>
      <c r="I14" s="6"/>
      <c r="J14" s="6"/>
      <c r="K14" s="11"/>
      <c r="L14" s="6"/>
      <c r="M14" s="6"/>
      <c r="N14" s="11"/>
      <c r="O14" s="6"/>
    </row>
    <row r="15" spans="1:15" ht="15.75" customHeight="1" x14ac:dyDescent="0.25">
      <c r="A15" s="263"/>
      <c r="B15" s="265"/>
      <c r="C15" s="7" t="s">
        <v>21</v>
      </c>
      <c r="D15" s="8">
        <v>1</v>
      </c>
      <c r="E15" s="13">
        <v>200</v>
      </c>
      <c r="F15" s="14">
        <f>299/200</f>
        <v>1.4950000000000001</v>
      </c>
      <c r="G15" s="8">
        <v>1</v>
      </c>
      <c r="H15" s="13">
        <v>200</v>
      </c>
      <c r="I15" s="14">
        <f>312/200</f>
        <v>1.56</v>
      </c>
      <c r="J15" s="8">
        <v>1</v>
      </c>
      <c r="K15" s="13">
        <v>200</v>
      </c>
      <c r="L15" s="14">
        <f>383/200</f>
        <v>1.915</v>
      </c>
      <c r="M15" s="8">
        <v>1</v>
      </c>
      <c r="N15" s="13">
        <v>200</v>
      </c>
      <c r="O15" s="14">
        <f>352/200</f>
        <v>1.76</v>
      </c>
    </row>
    <row r="16" spans="1:15" ht="15.75" customHeight="1" x14ac:dyDescent="0.25">
      <c r="A16" s="263"/>
      <c r="B16" s="265"/>
      <c r="C16" s="2" t="s">
        <v>22</v>
      </c>
      <c r="D16" s="6"/>
      <c r="E16" s="11"/>
      <c r="F16" s="6"/>
      <c r="G16" s="6"/>
      <c r="H16" s="11"/>
      <c r="I16" s="6"/>
      <c r="J16" s="6"/>
      <c r="K16" s="11"/>
      <c r="L16" s="6"/>
      <c r="M16" s="6"/>
      <c r="N16" s="11"/>
      <c r="O16" s="6"/>
    </row>
    <row r="17" spans="1:15" ht="15.75" customHeight="1" x14ac:dyDescent="0.25">
      <c r="A17" s="263"/>
      <c r="B17" s="264" t="s">
        <v>23</v>
      </c>
      <c r="C17" s="2" t="s">
        <v>24</v>
      </c>
      <c r="D17" s="3"/>
      <c r="E17" s="4"/>
      <c r="F17" s="16"/>
      <c r="G17" s="3"/>
      <c r="H17" s="4"/>
      <c r="I17" s="16"/>
      <c r="J17" s="3"/>
      <c r="K17" s="4"/>
      <c r="L17" s="16"/>
      <c r="M17" s="3"/>
      <c r="N17" s="4"/>
      <c r="O17" s="16"/>
    </row>
    <row r="18" spans="1:15" ht="15.75" x14ac:dyDescent="0.25">
      <c r="A18" s="263"/>
      <c r="B18" s="264"/>
      <c r="C18" s="2" t="s">
        <v>25</v>
      </c>
      <c r="D18" s="3"/>
      <c r="E18" s="4"/>
      <c r="F18" s="16"/>
      <c r="G18" s="3"/>
      <c r="H18" s="4"/>
      <c r="I18" s="16"/>
      <c r="J18" s="3"/>
      <c r="K18" s="4"/>
      <c r="L18" s="16"/>
      <c r="M18" s="3"/>
      <c r="N18" s="4"/>
      <c r="O18" s="16"/>
    </row>
    <row r="19" spans="1:15" ht="15.75" x14ac:dyDescent="0.25">
      <c r="A19" s="263"/>
      <c r="B19" s="265" t="s">
        <v>26</v>
      </c>
      <c r="C19" s="2" t="s">
        <v>27</v>
      </c>
      <c r="D19" s="3"/>
      <c r="E19" s="4"/>
      <c r="F19" s="16"/>
      <c r="G19" s="6"/>
      <c r="H19" s="6"/>
      <c r="I19" s="6"/>
      <c r="J19" s="6"/>
      <c r="K19" s="6"/>
      <c r="L19" s="6"/>
      <c r="M19" s="6"/>
      <c r="N19" s="6"/>
      <c r="O19" s="6"/>
    </row>
    <row r="20" spans="1:15" ht="15.75" x14ac:dyDescent="0.25">
      <c r="A20" s="263"/>
      <c r="B20" s="265"/>
      <c r="C20" s="7" t="s">
        <v>28</v>
      </c>
      <c r="D20" s="3"/>
      <c r="E20" s="4"/>
      <c r="F20" s="16"/>
      <c r="G20" s="8">
        <v>1</v>
      </c>
      <c r="H20" s="13">
        <v>100</v>
      </c>
      <c r="I20" s="14">
        <f>67/100</f>
        <v>0.67</v>
      </c>
      <c r="J20" s="8">
        <v>1</v>
      </c>
      <c r="K20" s="13">
        <v>100</v>
      </c>
      <c r="L20" s="14">
        <f>33/100</f>
        <v>0.33</v>
      </c>
      <c r="M20" s="8">
        <v>1</v>
      </c>
      <c r="N20" s="13">
        <v>100</v>
      </c>
      <c r="O20" s="14">
        <f>108/100</f>
        <v>1.08</v>
      </c>
    </row>
    <row r="21" spans="1:15" ht="15.75" x14ac:dyDescent="0.25">
      <c r="A21" s="263"/>
      <c r="B21" s="264" t="s">
        <v>29</v>
      </c>
      <c r="C21" s="2" t="s">
        <v>30</v>
      </c>
      <c r="D21" s="3"/>
      <c r="E21" s="4"/>
      <c r="F21" s="16"/>
      <c r="G21" s="3"/>
      <c r="H21" s="4"/>
      <c r="I21" s="16"/>
      <c r="J21" s="3"/>
      <c r="K21" s="4"/>
      <c r="L21" s="16"/>
      <c r="M21" s="3"/>
      <c r="N21" s="4"/>
      <c r="O21" s="16"/>
    </row>
    <row r="22" spans="1:15" ht="15.75" x14ac:dyDescent="0.25">
      <c r="A22" s="263"/>
      <c r="B22" s="264"/>
      <c r="C22" s="2" t="s">
        <v>31</v>
      </c>
      <c r="D22" s="3"/>
      <c r="E22" s="4"/>
      <c r="F22" s="16"/>
      <c r="G22" s="3"/>
      <c r="H22" s="4"/>
      <c r="I22" s="16"/>
      <c r="J22" s="3"/>
      <c r="K22" s="4"/>
      <c r="L22" s="16"/>
      <c r="M22" s="3"/>
      <c r="N22" s="4"/>
      <c r="O22" s="16"/>
    </row>
    <row r="23" spans="1:15" ht="15.75" x14ac:dyDescent="0.25">
      <c r="A23" s="263"/>
      <c r="B23" s="264"/>
      <c r="C23" s="2" t="s">
        <v>32</v>
      </c>
      <c r="D23" s="3"/>
      <c r="E23" s="4"/>
      <c r="F23" s="16"/>
      <c r="G23" s="3"/>
      <c r="H23" s="4"/>
      <c r="I23" s="16"/>
      <c r="J23" s="3"/>
      <c r="K23" s="4"/>
      <c r="L23" s="16"/>
      <c r="M23" s="3"/>
      <c r="N23" s="4"/>
      <c r="O23" s="16"/>
    </row>
    <row r="24" spans="1:15" ht="15.75" x14ac:dyDescent="0.25">
      <c r="A24" s="263" t="s">
        <v>33</v>
      </c>
      <c r="B24" s="263" t="s">
        <v>34</v>
      </c>
      <c r="C24" s="7" t="s">
        <v>35</v>
      </c>
      <c r="D24" s="8">
        <v>1</v>
      </c>
      <c r="E24" s="13">
        <v>100</v>
      </c>
      <c r="F24" s="14">
        <f>197/100</f>
        <v>1.97</v>
      </c>
      <c r="G24" s="8">
        <v>1</v>
      </c>
      <c r="H24" s="13">
        <v>100</v>
      </c>
      <c r="I24" s="14">
        <f>183/100</f>
        <v>1.83</v>
      </c>
      <c r="J24" s="8">
        <v>1</v>
      </c>
      <c r="K24" s="13">
        <v>100</v>
      </c>
      <c r="L24" s="14">
        <f>198/100</f>
        <v>1.98</v>
      </c>
      <c r="M24" s="8">
        <v>1</v>
      </c>
      <c r="N24" s="13">
        <v>100</v>
      </c>
      <c r="O24" s="14">
        <f>171/100</f>
        <v>1.71</v>
      </c>
    </row>
    <row r="25" spans="1:15" ht="15.75" x14ac:dyDescent="0.25">
      <c r="A25" s="263"/>
      <c r="B25" s="263"/>
      <c r="C25" s="35" t="s">
        <v>36</v>
      </c>
      <c r="D25" s="6"/>
      <c r="E25" s="11"/>
      <c r="F25" s="6"/>
      <c r="G25" s="6"/>
      <c r="H25" s="11"/>
      <c r="I25" s="6"/>
      <c r="J25" s="6"/>
      <c r="K25" s="11"/>
      <c r="L25" s="6"/>
      <c r="M25" s="6"/>
      <c r="N25" s="11"/>
      <c r="O25" s="6"/>
    </row>
    <row r="26" spans="1:15" ht="15.75" x14ac:dyDescent="0.25">
      <c r="A26" s="263"/>
      <c r="B26" s="263"/>
      <c r="C26" s="35" t="s">
        <v>37</v>
      </c>
      <c r="D26" s="6"/>
      <c r="E26" s="11"/>
      <c r="F26" s="6"/>
      <c r="G26" s="6"/>
      <c r="H26" s="11"/>
      <c r="I26" s="6"/>
      <c r="J26" s="6"/>
      <c r="K26" s="11"/>
      <c r="L26" s="6"/>
      <c r="M26" s="6"/>
      <c r="N26" s="11"/>
      <c r="O26" s="6"/>
    </row>
    <row r="27" spans="1:15" ht="15.75" x14ac:dyDescent="0.25">
      <c r="A27" s="263"/>
      <c r="B27" s="263"/>
      <c r="C27" s="35" t="s">
        <v>38</v>
      </c>
      <c r="D27" s="6"/>
      <c r="E27" s="11"/>
      <c r="F27" s="6"/>
      <c r="G27" s="6"/>
      <c r="H27" s="11"/>
      <c r="I27" s="6"/>
      <c r="J27" s="6"/>
      <c r="K27" s="11"/>
      <c r="L27" s="6"/>
      <c r="M27" s="6"/>
      <c r="N27" s="11"/>
      <c r="O27" s="6"/>
    </row>
    <row r="28" spans="1:15" ht="15.75" x14ac:dyDescent="0.25">
      <c r="A28" s="263"/>
      <c r="B28" s="263"/>
      <c r="C28" s="35" t="s">
        <v>39</v>
      </c>
      <c r="D28" s="6"/>
      <c r="E28" s="11"/>
      <c r="F28" s="6"/>
      <c r="G28" s="6"/>
      <c r="H28" s="11"/>
      <c r="I28" s="6"/>
      <c r="J28" s="6"/>
      <c r="K28" s="11"/>
      <c r="L28" s="6"/>
      <c r="M28" s="6"/>
      <c r="N28" s="11"/>
      <c r="O28" s="6"/>
    </row>
    <row r="29" spans="1:15" ht="15.75" x14ac:dyDescent="0.25">
      <c r="A29" s="263"/>
      <c r="B29" s="263" t="s">
        <v>40</v>
      </c>
      <c r="C29" s="35" t="s">
        <v>41</v>
      </c>
      <c r="D29" s="6"/>
      <c r="E29" s="11"/>
      <c r="F29" s="6"/>
      <c r="G29" s="6"/>
      <c r="H29" s="11"/>
      <c r="I29" s="6"/>
      <c r="J29" s="6"/>
      <c r="K29" s="11"/>
      <c r="L29" s="6"/>
      <c r="M29" s="6"/>
      <c r="N29" s="11"/>
      <c r="O29" s="6"/>
    </row>
    <row r="30" spans="1:15" ht="15.75" x14ac:dyDescent="0.25">
      <c r="A30" s="263"/>
      <c r="B30" s="263"/>
      <c r="C30" s="35" t="s">
        <v>42</v>
      </c>
      <c r="D30" s="6"/>
      <c r="E30" s="11"/>
      <c r="F30" s="6"/>
      <c r="G30" s="6"/>
      <c r="H30" s="11"/>
      <c r="I30" s="6"/>
      <c r="J30" s="6"/>
      <c r="K30" s="11"/>
      <c r="L30" s="6"/>
      <c r="M30" s="6"/>
      <c r="N30" s="11"/>
      <c r="O30" s="6"/>
    </row>
    <row r="31" spans="1:15" ht="15.75" x14ac:dyDescent="0.25">
      <c r="A31" s="263"/>
      <c r="B31" s="263"/>
      <c r="C31" s="35" t="s">
        <v>43</v>
      </c>
      <c r="D31" s="6"/>
      <c r="E31" s="11"/>
      <c r="F31" s="6"/>
      <c r="G31" s="6"/>
      <c r="H31" s="11"/>
      <c r="I31" s="6"/>
      <c r="J31" s="6"/>
      <c r="K31" s="11"/>
      <c r="L31" s="6"/>
      <c r="M31" s="6"/>
      <c r="N31" s="11"/>
      <c r="O31" s="6"/>
    </row>
    <row r="32" spans="1:15" ht="15.75" x14ac:dyDescent="0.25">
      <c r="A32" s="263"/>
      <c r="B32" s="263"/>
      <c r="C32" s="7" t="s">
        <v>44</v>
      </c>
      <c r="D32" s="8">
        <v>1</v>
      </c>
      <c r="E32" s="13">
        <v>400</v>
      </c>
      <c r="F32" s="14">
        <f>630/400</f>
        <v>1.575</v>
      </c>
      <c r="G32" s="8">
        <v>1</v>
      </c>
      <c r="H32" s="13">
        <v>400</v>
      </c>
      <c r="I32" s="14">
        <f>650/400</f>
        <v>1.625</v>
      </c>
      <c r="J32" s="8">
        <v>1</v>
      </c>
      <c r="K32" s="13">
        <v>400</v>
      </c>
      <c r="L32" s="14">
        <f>718/400</f>
        <v>1.7949999999999999</v>
      </c>
      <c r="M32" s="8">
        <v>1</v>
      </c>
      <c r="N32" s="13">
        <v>400</v>
      </c>
      <c r="O32" s="14">
        <f>686/400</f>
        <v>1.7150000000000001</v>
      </c>
    </row>
    <row r="33" spans="1:15" ht="15.75" x14ac:dyDescent="0.25">
      <c r="A33" s="263"/>
      <c r="B33" s="263"/>
      <c r="C33" s="35" t="s">
        <v>45</v>
      </c>
      <c r="D33" s="6"/>
      <c r="E33" s="11"/>
      <c r="F33" s="6"/>
      <c r="G33" s="6"/>
      <c r="H33" s="11"/>
      <c r="I33" s="6"/>
      <c r="J33" s="6"/>
      <c r="K33" s="11"/>
      <c r="L33" s="6"/>
      <c r="M33" s="6"/>
      <c r="N33" s="11"/>
      <c r="O33" s="6"/>
    </row>
    <row r="34" spans="1:15" ht="15.75" x14ac:dyDescent="0.25">
      <c r="A34" s="263"/>
      <c r="B34" s="263"/>
      <c r="C34" s="35" t="s">
        <v>46</v>
      </c>
      <c r="D34" s="6"/>
      <c r="E34" s="11"/>
      <c r="F34" s="6"/>
      <c r="G34" s="6"/>
      <c r="H34" s="11"/>
      <c r="I34" s="6"/>
      <c r="J34" s="6"/>
      <c r="K34" s="11"/>
      <c r="L34" s="6"/>
      <c r="M34" s="6"/>
      <c r="N34" s="11"/>
      <c r="O34" s="6"/>
    </row>
    <row r="35" spans="1:15" ht="15.75" x14ac:dyDescent="0.25">
      <c r="A35" s="263"/>
      <c r="B35" s="263" t="s">
        <v>47</v>
      </c>
      <c r="C35" s="35" t="s">
        <v>48</v>
      </c>
      <c r="D35" s="6"/>
      <c r="E35" s="11"/>
      <c r="F35" s="6"/>
      <c r="G35" s="6"/>
      <c r="H35" s="11"/>
      <c r="I35" s="6"/>
      <c r="J35" s="6"/>
      <c r="K35" s="11"/>
      <c r="L35" s="6"/>
      <c r="M35" s="6"/>
      <c r="N35" s="11"/>
      <c r="O35" s="6"/>
    </row>
    <row r="36" spans="1:15" ht="15.75" x14ac:dyDescent="0.25">
      <c r="A36" s="263"/>
      <c r="B36" s="263"/>
      <c r="C36" s="35" t="s">
        <v>49</v>
      </c>
      <c r="D36" s="6"/>
      <c r="E36" s="11"/>
      <c r="F36" s="6"/>
      <c r="G36" s="6"/>
      <c r="H36" s="11"/>
      <c r="I36" s="6"/>
      <c r="J36" s="6"/>
      <c r="K36" s="11"/>
      <c r="L36" s="6"/>
      <c r="M36" s="6"/>
      <c r="N36" s="11"/>
      <c r="O36" s="6"/>
    </row>
    <row r="37" spans="1:15" ht="15.75" x14ac:dyDescent="0.25">
      <c r="A37" s="263"/>
      <c r="B37" s="263"/>
      <c r="C37" s="35" t="s">
        <v>50</v>
      </c>
      <c r="D37" s="6"/>
      <c r="E37" s="11"/>
      <c r="F37" s="6"/>
      <c r="G37" s="6"/>
      <c r="H37" s="11"/>
      <c r="I37" s="6"/>
      <c r="J37" s="6"/>
      <c r="K37" s="11"/>
      <c r="L37" s="6"/>
      <c r="M37" s="6"/>
      <c r="N37" s="11"/>
      <c r="O37" s="6"/>
    </row>
    <row r="38" spans="1:15" ht="15.75" x14ac:dyDescent="0.25">
      <c r="A38" s="263"/>
      <c r="B38" s="263"/>
      <c r="C38" s="7" t="s">
        <v>51</v>
      </c>
      <c r="D38" s="8">
        <v>1</v>
      </c>
      <c r="E38" s="18">
        <v>150</v>
      </c>
      <c r="F38" s="19">
        <f>270/150</f>
        <v>1.8</v>
      </c>
      <c r="G38" s="8">
        <v>1</v>
      </c>
      <c r="H38" s="18">
        <v>150</v>
      </c>
      <c r="I38" s="19">
        <f>264/150</f>
        <v>1.76</v>
      </c>
      <c r="J38" s="8">
        <v>1</v>
      </c>
      <c r="K38" s="18">
        <v>150</v>
      </c>
      <c r="L38" s="19">
        <f>272/150</f>
        <v>1.8133333333333332</v>
      </c>
      <c r="M38" s="8">
        <v>1</v>
      </c>
      <c r="N38" s="18">
        <v>150</v>
      </c>
      <c r="O38" s="19">
        <f>279/150</f>
        <v>1.86</v>
      </c>
    </row>
    <row r="39" spans="1:15" ht="15.75" x14ac:dyDescent="0.25">
      <c r="A39" s="263" t="s">
        <v>52</v>
      </c>
      <c r="B39" s="263" t="s">
        <v>53</v>
      </c>
      <c r="C39" s="35" t="s">
        <v>54</v>
      </c>
      <c r="D39" s="6"/>
      <c r="E39" s="11"/>
      <c r="F39" s="6"/>
      <c r="G39" s="6"/>
      <c r="H39" s="11"/>
      <c r="I39" s="6"/>
      <c r="J39" s="6"/>
      <c r="K39" s="11"/>
      <c r="L39" s="6"/>
      <c r="M39" s="6"/>
      <c r="N39" s="11"/>
      <c r="O39" s="6"/>
    </row>
    <row r="40" spans="1:15" ht="15.75" x14ac:dyDescent="0.25">
      <c r="A40" s="263"/>
      <c r="B40" s="263"/>
      <c r="C40" s="35" t="s">
        <v>55</v>
      </c>
      <c r="D40" s="12"/>
      <c r="E40" s="13"/>
      <c r="F40" s="14"/>
      <c r="G40" s="12"/>
      <c r="H40" s="13"/>
      <c r="I40" s="14"/>
      <c r="J40" s="12"/>
      <c r="K40" s="13"/>
      <c r="L40" s="14"/>
      <c r="M40" s="12"/>
      <c r="N40" s="13"/>
      <c r="O40" s="14"/>
    </row>
    <row r="41" spans="1:15" ht="15.75" x14ac:dyDescent="0.25">
      <c r="A41" s="263"/>
      <c r="B41" s="263"/>
      <c r="C41" s="35" t="s">
        <v>56</v>
      </c>
      <c r="D41" s="6"/>
      <c r="E41" s="11"/>
      <c r="F41" s="6"/>
      <c r="G41" s="6"/>
      <c r="H41" s="11"/>
      <c r="I41" s="6"/>
      <c r="J41" s="6"/>
      <c r="K41" s="11"/>
      <c r="L41" s="6"/>
      <c r="M41" s="6"/>
      <c r="N41" s="11"/>
      <c r="O41" s="6"/>
    </row>
    <row r="42" spans="1:15" ht="15.75" x14ac:dyDescent="0.25">
      <c r="A42" s="263"/>
      <c r="B42" s="263"/>
      <c r="C42" s="35" t="s">
        <v>57</v>
      </c>
      <c r="D42" s="6"/>
      <c r="E42" s="11"/>
      <c r="F42" s="6"/>
      <c r="G42" s="6"/>
      <c r="H42" s="11"/>
      <c r="I42" s="6"/>
      <c r="J42" s="6"/>
      <c r="K42" s="11"/>
      <c r="L42" s="6"/>
      <c r="M42" s="6"/>
      <c r="N42" s="11"/>
      <c r="O42" s="6"/>
    </row>
    <row r="43" spans="1:15" ht="15.75" x14ac:dyDescent="0.25">
      <c r="A43" s="263"/>
      <c r="B43" s="263"/>
      <c r="C43" s="35" t="s">
        <v>58</v>
      </c>
      <c r="D43" s="6"/>
      <c r="E43" s="11"/>
      <c r="F43" s="6"/>
      <c r="G43" s="6"/>
      <c r="H43" s="11"/>
      <c r="I43" s="6"/>
      <c r="J43" s="6"/>
      <c r="K43" s="11"/>
      <c r="L43" s="6"/>
      <c r="M43" s="6"/>
      <c r="N43" s="11"/>
      <c r="O43" s="6"/>
    </row>
    <row r="44" spans="1:15" ht="15.75" x14ac:dyDescent="0.25">
      <c r="A44" s="263"/>
      <c r="B44" s="263"/>
      <c r="C44" s="7" t="s">
        <v>59</v>
      </c>
      <c r="D44" s="6">
        <v>1</v>
      </c>
      <c r="E44" s="13">
        <v>1200</v>
      </c>
      <c r="F44" s="162">
        <f>1586/1200</f>
        <v>1.3216666666666668</v>
      </c>
      <c r="G44" s="25">
        <v>1</v>
      </c>
      <c r="H44" s="13">
        <v>1200</v>
      </c>
      <c r="I44" s="162">
        <f>1262/1200</f>
        <v>1.0516666666666667</v>
      </c>
      <c r="J44" s="25">
        <v>1</v>
      </c>
      <c r="K44" s="13">
        <v>1200</v>
      </c>
      <c r="L44" s="162">
        <f>1422/1200</f>
        <v>1.1850000000000001</v>
      </c>
      <c r="M44" s="25">
        <v>1</v>
      </c>
      <c r="N44" s="13">
        <v>1200</v>
      </c>
      <c r="O44" s="162">
        <f>1172/1200</f>
        <v>0.97666666666666668</v>
      </c>
    </row>
    <row r="45" spans="1:15" ht="15.75" x14ac:dyDescent="0.25">
      <c r="A45" s="263"/>
      <c r="B45" s="263"/>
      <c r="C45" s="7" t="s">
        <v>60</v>
      </c>
      <c r="D45" s="6">
        <v>1</v>
      </c>
      <c r="E45" s="13">
        <v>2400</v>
      </c>
      <c r="F45" s="162">
        <f>2436/2400</f>
        <v>1.0149999999999999</v>
      </c>
      <c r="G45" s="25">
        <v>1</v>
      </c>
      <c r="H45" s="13">
        <v>2400</v>
      </c>
      <c r="I45" s="162">
        <f>3408/2400</f>
        <v>1.42</v>
      </c>
      <c r="J45" s="25">
        <v>1</v>
      </c>
      <c r="K45" s="13">
        <v>2400</v>
      </c>
      <c r="L45" s="162">
        <f>4804/2400</f>
        <v>2.0016666666666665</v>
      </c>
      <c r="M45" s="25">
        <v>1</v>
      </c>
      <c r="N45" s="13">
        <v>2400</v>
      </c>
      <c r="O45" s="162">
        <f>3246/2400</f>
        <v>1.3525</v>
      </c>
    </row>
    <row r="46" spans="1:15" ht="15.75" x14ac:dyDescent="0.25">
      <c r="A46" s="263"/>
      <c r="B46" s="263"/>
      <c r="C46" s="7" t="s">
        <v>61</v>
      </c>
      <c r="D46" s="12">
        <v>1</v>
      </c>
      <c r="E46" s="13">
        <v>1300</v>
      </c>
      <c r="F46" s="19">
        <f>1216/1300</f>
        <v>0.93538461538461537</v>
      </c>
      <c r="G46" s="12">
        <v>1</v>
      </c>
      <c r="H46" s="13">
        <v>1300</v>
      </c>
      <c r="I46" s="19">
        <f>1403/1300</f>
        <v>1.0792307692307692</v>
      </c>
      <c r="J46" s="12">
        <v>1</v>
      </c>
      <c r="K46" s="13">
        <v>1300</v>
      </c>
      <c r="L46" s="19">
        <f>1778/1300</f>
        <v>1.3676923076923078</v>
      </c>
      <c r="M46" s="12">
        <v>1</v>
      </c>
      <c r="N46" s="13">
        <v>1300</v>
      </c>
      <c r="O46" s="19">
        <f>2253/1300</f>
        <v>1.7330769230769232</v>
      </c>
    </row>
    <row r="47" spans="1:15" ht="15" customHeight="1" x14ac:dyDescent="0.25">
      <c r="A47" s="263"/>
      <c r="B47" s="265"/>
      <c r="C47" s="36" t="s">
        <v>65</v>
      </c>
      <c r="D47" s="6"/>
      <c r="E47" s="11"/>
      <c r="F47" s="6"/>
      <c r="G47" s="6"/>
      <c r="H47" s="11"/>
      <c r="I47" s="6"/>
      <c r="J47" s="6"/>
      <c r="K47" s="11"/>
      <c r="L47" s="6"/>
      <c r="M47" s="6"/>
      <c r="N47" s="11"/>
      <c r="O47" s="6"/>
    </row>
    <row r="48" spans="1:15" ht="15" customHeight="1" x14ac:dyDescent="0.25">
      <c r="A48" s="263"/>
      <c r="B48" s="265"/>
      <c r="C48" s="20" t="s">
        <v>66</v>
      </c>
      <c r="D48" s="8">
        <v>1</v>
      </c>
      <c r="E48" s="21">
        <v>200</v>
      </c>
      <c r="F48" s="14">
        <f>287/200</f>
        <v>1.4350000000000001</v>
      </c>
      <c r="G48" s="8">
        <v>1</v>
      </c>
      <c r="H48" s="21">
        <v>200</v>
      </c>
      <c r="I48" s="14">
        <f>336/200</f>
        <v>1.68</v>
      </c>
      <c r="J48" s="8">
        <v>1</v>
      </c>
      <c r="K48" s="21">
        <v>200</v>
      </c>
      <c r="L48" s="14">
        <f>318/200</f>
        <v>1.59</v>
      </c>
      <c r="M48" s="8">
        <v>1</v>
      </c>
      <c r="N48" s="21">
        <v>200</v>
      </c>
      <c r="O48" s="14">
        <f>302/200</f>
        <v>1.51</v>
      </c>
    </row>
    <row r="49" spans="1:15" ht="15" customHeight="1" x14ac:dyDescent="0.25">
      <c r="A49" s="263"/>
      <c r="B49" s="265" t="s">
        <v>67</v>
      </c>
      <c r="C49" s="36" t="s">
        <v>68</v>
      </c>
      <c r="D49" s="6"/>
      <c r="E49" s="11"/>
      <c r="F49" s="6"/>
      <c r="G49" s="6"/>
      <c r="H49" s="11"/>
      <c r="I49" s="6"/>
      <c r="J49" s="6"/>
      <c r="K49" s="11"/>
      <c r="L49" s="6"/>
      <c r="M49" s="6"/>
      <c r="N49" s="11"/>
      <c r="O49" s="6"/>
    </row>
    <row r="50" spans="1:15" ht="15" customHeight="1" x14ac:dyDescent="0.25">
      <c r="A50" s="263"/>
      <c r="B50" s="265"/>
      <c r="C50" s="36" t="s">
        <v>69</v>
      </c>
      <c r="D50" s="6"/>
      <c r="E50" s="11"/>
      <c r="F50" s="6"/>
      <c r="G50" s="6"/>
      <c r="H50" s="11"/>
      <c r="I50" s="6"/>
      <c r="J50" s="6"/>
      <c r="K50" s="11"/>
      <c r="L50" s="6"/>
      <c r="M50" s="6"/>
      <c r="N50" s="11"/>
      <c r="O50" s="6"/>
    </row>
    <row r="51" spans="1:15" ht="15" customHeight="1" x14ac:dyDescent="0.25">
      <c r="A51" s="263"/>
      <c r="B51" s="265"/>
      <c r="C51" s="36" t="s">
        <v>70</v>
      </c>
      <c r="D51" s="6"/>
      <c r="E51" s="11"/>
      <c r="F51" s="6"/>
      <c r="G51" s="6"/>
      <c r="H51" s="11"/>
      <c r="I51" s="6"/>
      <c r="J51" s="6"/>
      <c r="K51" s="11"/>
      <c r="L51" s="6"/>
      <c r="M51" s="6"/>
      <c r="N51" s="11"/>
      <c r="O51" s="6"/>
    </row>
    <row r="52" spans="1:15" ht="15" customHeight="1" x14ac:dyDescent="0.25">
      <c r="A52" s="263"/>
      <c r="B52" s="265"/>
      <c r="C52" s="36" t="s">
        <v>71</v>
      </c>
      <c r="D52" s="6"/>
      <c r="E52" s="11"/>
      <c r="F52" s="6"/>
      <c r="G52" s="6"/>
      <c r="H52" s="11"/>
      <c r="I52" s="6"/>
      <c r="J52" s="6"/>
      <c r="K52" s="11"/>
      <c r="L52" s="6"/>
      <c r="M52" s="6"/>
      <c r="N52" s="11"/>
      <c r="O52" s="6"/>
    </row>
    <row r="53" spans="1:15" ht="15" customHeight="1" x14ac:dyDescent="0.25">
      <c r="A53" s="263"/>
      <c r="B53" s="265"/>
      <c r="C53" s="36" t="s">
        <v>72</v>
      </c>
      <c r="D53" s="6"/>
      <c r="E53" s="11"/>
      <c r="F53" s="6"/>
      <c r="G53" s="6"/>
      <c r="H53" s="11"/>
      <c r="I53" s="6"/>
      <c r="J53" s="6"/>
      <c r="K53" s="11"/>
      <c r="L53" s="6"/>
      <c r="M53" s="6"/>
      <c r="N53" s="11"/>
      <c r="O53" s="6"/>
    </row>
    <row r="54" spans="1:15" ht="15" customHeight="1" x14ac:dyDescent="0.25">
      <c r="A54" s="263"/>
      <c r="B54" s="265"/>
      <c r="C54" s="20" t="s">
        <v>73</v>
      </c>
      <c r="D54" s="22">
        <v>1</v>
      </c>
      <c r="E54" s="21">
        <v>900</v>
      </c>
      <c r="F54" s="14">
        <f>1080/900</f>
        <v>1.2</v>
      </c>
      <c r="G54" s="22">
        <v>1</v>
      </c>
      <c r="H54" s="21">
        <v>900</v>
      </c>
      <c r="I54" s="14">
        <f>1047/900</f>
        <v>1.1633333333333333</v>
      </c>
      <c r="J54" s="22">
        <v>1</v>
      </c>
      <c r="K54" s="21">
        <v>900</v>
      </c>
      <c r="L54" s="14">
        <f>1072/900</f>
        <v>1.191111111111111</v>
      </c>
      <c r="M54" s="22">
        <v>1</v>
      </c>
      <c r="N54" s="21">
        <v>900</v>
      </c>
      <c r="O54" s="14">
        <f>824/900</f>
        <v>0.91555555555555557</v>
      </c>
    </row>
    <row r="55" spans="1:15" ht="15" customHeight="1" x14ac:dyDescent="0.25">
      <c r="A55" s="263"/>
      <c r="B55" s="265" t="s">
        <v>74</v>
      </c>
      <c r="C55" s="36" t="s">
        <v>75</v>
      </c>
      <c r="D55" s="6"/>
      <c r="E55" s="11"/>
      <c r="F55" s="6"/>
      <c r="G55" s="6"/>
      <c r="H55" s="11"/>
      <c r="I55" s="6"/>
      <c r="J55" s="6"/>
      <c r="K55" s="11"/>
      <c r="L55" s="6"/>
      <c r="M55" s="6"/>
      <c r="N55" s="11"/>
      <c r="O55" s="6"/>
    </row>
    <row r="56" spans="1:15" ht="15" customHeight="1" x14ac:dyDescent="0.25">
      <c r="A56" s="263"/>
      <c r="B56" s="265"/>
      <c r="C56" s="36" t="s">
        <v>76</v>
      </c>
      <c r="D56" s="6"/>
      <c r="E56" s="11"/>
      <c r="F56" s="6"/>
      <c r="G56" s="6"/>
      <c r="H56" s="11"/>
      <c r="I56" s="6"/>
      <c r="J56" s="6"/>
      <c r="K56" s="11"/>
      <c r="L56" s="6"/>
      <c r="M56" s="6"/>
      <c r="N56" s="11"/>
      <c r="O56" s="6"/>
    </row>
    <row r="57" spans="1:15" ht="15.75" x14ac:dyDescent="0.25">
      <c r="A57" s="263"/>
      <c r="B57" s="265"/>
      <c r="C57" s="36" t="s">
        <v>77</v>
      </c>
      <c r="D57" s="6"/>
      <c r="E57" s="11"/>
      <c r="F57" s="6"/>
      <c r="G57" s="6"/>
      <c r="H57" s="11"/>
      <c r="I57" s="6"/>
      <c r="J57" s="6"/>
      <c r="K57" s="11"/>
      <c r="L57" s="6"/>
      <c r="M57" s="6"/>
      <c r="N57" s="11"/>
      <c r="O57" s="6"/>
    </row>
    <row r="58" spans="1:15" ht="15.75" x14ac:dyDescent="0.25">
      <c r="A58" s="263"/>
      <c r="B58" s="265"/>
      <c r="C58" s="20" t="s">
        <v>78</v>
      </c>
      <c r="D58" s="12">
        <v>1</v>
      </c>
      <c r="E58" s="13">
        <v>100</v>
      </c>
      <c r="F58" s="14">
        <f>238/100</f>
        <v>2.38</v>
      </c>
      <c r="G58" s="12">
        <v>1</v>
      </c>
      <c r="H58" s="13">
        <v>100</v>
      </c>
      <c r="I58" s="14">
        <f>210/100</f>
        <v>2.1</v>
      </c>
      <c r="J58" s="12">
        <v>1</v>
      </c>
      <c r="K58" s="13">
        <v>100</v>
      </c>
      <c r="L58" s="14">
        <f>201/100</f>
        <v>2.0099999999999998</v>
      </c>
      <c r="M58" s="12">
        <v>1</v>
      </c>
      <c r="N58" s="13">
        <v>100</v>
      </c>
      <c r="O58" s="14">
        <f>213/100</f>
        <v>2.13</v>
      </c>
    </row>
    <row r="59" spans="1:15" ht="15.75" x14ac:dyDescent="0.25">
      <c r="A59" s="263"/>
      <c r="B59" s="39" t="s">
        <v>147</v>
      </c>
      <c r="C59" s="36" t="s">
        <v>80</v>
      </c>
      <c r="D59" s="3"/>
      <c r="E59" s="23"/>
      <c r="F59" s="3"/>
      <c r="G59" s="3"/>
      <c r="H59" s="23"/>
      <c r="I59" s="3"/>
      <c r="J59" s="3"/>
      <c r="K59" s="23"/>
      <c r="L59" s="3"/>
      <c r="M59" s="3"/>
      <c r="N59" s="23"/>
      <c r="O59" s="3"/>
    </row>
    <row r="60" spans="1:15" ht="15" customHeight="1" x14ac:dyDescent="0.25">
      <c r="A60" s="263"/>
      <c r="B60" s="268" t="s">
        <v>148</v>
      </c>
      <c r="C60" s="36" t="s">
        <v>79</v>
      </c>
      <c r="D60" s="3"/>
      <c r="E60" s="23"/>
      <c r="F60" s="3"/>
      <c r="G60" s="3"/>
      <c r="H60" s="23"/>
      <c r="I60" s="3"/>
      <c r="J60" s="3"/>
      <c r="K60" s="23"/>
      <c r="L60" s="3"/>
      <c r="M60" s="3"/>
      <c r="N60" s="23"/>
      <c r="O60" s="3"/>
    </row>
    <row r="61" spans="1:15" ht="15.75" x14ac:dyDescent="0.25">
      <c r="A61" s="263"/>
      <c r="B61" s="268"/>
      <c r="C61" s="36" t="s">
        <v>81</v>
      </c>
      <c r="D61" s="3"/>
      <c r="E61" s="23"/>
      <c r="F61" s="3"/>
      <c r="G61" s="3"/>
      <c r="H61" s="23"/>
      <c r="I61" s="3"/>
      <c r="J61" s="3"/>
      <c r="K61" s="23"/>
      <c r="L61" s="3"/>
      <c r="M61" s="3"/>
      <c r="N61" s="23"/>
      <c r="O61" s="3"/>
    </row>
    <row r="62" spans="1:15" ht="31.5" x14ac:dyDescent="0.25">
      <c r="A62" s="263" t="s">
        <v>82</v>
      </c>
      <c r="B62" s="156" t="s">
        <v>83</v>
      </c>
      <c r="C62" s="35" t="s">
        <v>84</v>
      </c>
      <c r="D62" s="3"/>
      <c r="E62" s="23"/>
      <c r="F62" s="3"/>
      <c r="G62" s="3"/>
      <c r="H62" s="23"/>
      <c r="I62" s="3"/>
      <c r="J62" s="3"/>
      <c r="K62" s="23"/>
      <c r="L62" s="3"/>
      <c r="M62" s="3"/>
      <c r="N62" s="23"/>
      <c r="O62" s="3"/>
    </row>
    <row r="63" spans="1:15" ht="15.75" x14ac:dyDescent="0.25">
      <c r="A63" s="263"/>
      <c r="B63" s="268" t="s">
        <v>85</v>
      </c>
      <c r="C63" s="35" t="s">
        <v>86</v>
      </c>
      <c r="D63" s="3"/>
      <c r="E63" s="23"/>
      <c r="F63" s="3"/>
      <c r="G63" s="3"/>
      <c r="H63" s="23"/>
      <c r="I63" s="3"/>
      <c r="J63" s="3"/>
      <c r="K63" s="23"/>
      <c r="L63" s="3"/>
      <c r="M63" s="3"/>
      <c r="N63" s="23"/>
      <c r="O63" s="3"/>
    </row>
    <row r="64" spans="1:15" ht="15.75" x14ac:dyDescent="0.25">
      <c r="A64" s="263"/>
      <c r="B64" s="268"/>
      <c r="C64" s="35" t="s">
        <v>87</v>
      </c>
      <c r="D64" s="3"/>
      <c r="E64" s="23"/>
      <c r="F64" s="3"/>
      <c r="G64" s="3"/>
      <c r="H64" s="23"/>
      <c r="I64" s="3"/>
      <c r="J64" s="3"/>
      <c r="K64" s="23"/>
      <c r="L64" s="3"/>
      <c r="M64" s="3"/>
      <c r="N64" s="23"/>
      <c r="O64" s="3"/>
    </row>
    <row r="65" spans="1:15" ht="15.75" x14ac:dyDescent="0.25">
      <c r="A65" s="263"/>
      <c r="B65" s="265" t="s">
        <v>88</v>
      </c>
      <c r="C65" s="7" t="s">
        <v>236</v>
      </c>
      <c r="D65" s="3"/>
      <c r="E65" s="23"/>
      <c r="F65" s="3"/>
      <c r="G65" s="3"/>
      <c r="H65" s="23"/>
      <c r="I65" s="3"/>
      <c r="J65" s="8">
        <v>1</v>
      </c>
      <c r="K65" s="13">
        <v>100</v>
      </c>
      <c r="L65" s="14">
        <f>245/100</f>
        <v>2.4500000000000002</v>
      </c>
      <c r="M65" s="8">
        <v>1</v>
      </c>
      <c r="N65" s="13">
        <v>100</v>
      </c>
      <c r="O65" s="14">
        <f>157/100</f>
        <v>1.57</v>
      </c>
    </row>
    <row r="66" spans="1:15" ht="15.75" x14ac:dyDescent="0.25">
      <c r="A66" s="263"/>
      <c r="B66" s="265"/>
      <c r="C66" s="35" t="s">
        <v>90</v>
      </c>
      <c r="D66" s="3"/>
      <c r="E66" s="23"/>
      <c r="F66" s="3"/>
      <c r="G66" s="3"/>
      <c r="H66" s="23"/>
      <c r="I66" s="3"/>
      <c r="J66" s="14"/>
      <c r="K66" s="14"/>
      <c r="L66" s="14"/>
      <c r="M66" s="14"/>
      <c r="N66" s="14"/>
      <c r="O66" s="14"/>
    </row>
    <row r="67" spans="1:15" ht="15.75" x14ac:dyDescent="0.25">
      <c r="A67" s="263"/>
      <c r="B67" s="265" t="s">
        <v>91</v>
      </c>
      <c r="C67" s="7" t="s">
        <v>92</v>
      </c>
      <c r="D67" s="8">
        <v>1</v>
      </c>
      <c r="E67" s="13">
        <v>100</v>
      </c>
      <c r="F67" s="14">
        <f>248/100</f>
        <v>2.48</v>
      </c>
      <c r="G67" s="8">
        <v>1</v>
      </c>
      <c r="H67" s="13">
        <v>100</v>
      </c>
      <c r="I67" s="14">
        <f>246/100</f>
        <v>2.46</v>
      </c>
      <c r="J67" s="8">
        <v>1</v>
      </c>
      <c r="K67" s="13">
        <v>100</v>
      </c>
      <c r="L67" s="14">
        <f>318/100</f>
        <v>3.18</v>
      </c>
      <c r="M67" s="8">
        <v>1</v>
      </c>
      <c r="N67" s="13">
        <v>100</v>
      </c>
      <c r="O67" s="14">
        <f>278/100</f>
        <v>2.78</v>
      </c>
    </row>
    <row r="68" spans="1:15" ht="15.75" x14ac:dyDescent="0.25">
      <c r="A68" s="263"/>
      <c r="B68" s="265"/>
      <c r="C68" s="35" t="s">
        <v>93</v>
      </c>
      <c r="D68" s="6"/>
      <c r="E68" s="11"/>
      <c r="F68" s="6"/>
      <c r="G68" s="6"/>
      <c r="H68" s="11"/>
      <c r="I68" s="6"/>
      <c r="J68" s="6"/>
      <c r="K68" s="11"/>
      <c r="L68" s="6"/>
      <c r="M68" s="6"/>
      <c r="N68" s="11"/>
      <c r="O68" s="6"/>
    </row>
    <row r="69" spans="1:15" ht="15.75" x14ac:dyDescent="0.25">
      <c r="A69" s="263"/>
      <c r="B69" s="265" t="s">
        <v>94</v>
      </c>
      <c r="C69" s="7" t="s">
        <v>95</v>
      </c>
      <c r="D69" s="8">
        <v>1</v>
      </c>
      <c r="E69" s="13">
        <v>80</v>
      </c>
      <c r="F69" s="14">
        <f>342/80</f>
        <v>4.2750000000000004</v>
      </c>
      <c r="G69" s="8">
        <v>1</v>
      </c>
      <c r="H69" s="13">
        <v>80</v>
      </c>
      <c r="I69" s="14">
        <f>306/80</f>
        <v>3.8250000000000002</v>
      </c>
      <c r="J69" s="8">
        <v>1</v>
      </c>
      <c r="K69" s="13">
        <v>80</v>
      </c>
      <c r="L69" s="14">
        <f>439/80</f>
        <v>5.4874999999999998</v>
      </c>
      <c r="M69" s="8">
        <v>1</v>
      </c>
      <c r="N69" s="13">
        <v>80</v>
      </c>
      <c r="O69" s="14">
        <f>386/80</f>
        <v>4.8250000000000002</v>
      </c>
    </row>
    <row r="70" spans="1:15" ht="15.75" x14ac:dyDescent="0.25">
      <c r="A70" s="263"/>
      <c r="B70" s="265"/>
      <c r="C70" s="35" t="s">
        <v>96</v>
      </c>
      <c r="D70" s="6"/>
      <c r="E70" s="11"/>
      <c r="F70" s="6"/>
      <c r="G70" s="6"/>
      <c r="H70" s="11"/>
      <c r="I70" s="6"/>
      <c r="J70" s="6"/>
      <c r="K70" s="11"/>
      <c r="L70" s="6"/>
      <c r="M70" s="6"/>
      <c r="N70" s="11"/>
      <c r="O70" s="6"/>
    </row>
    <row r="71" spans="1:15" ht="15.75" x14ac:dyDescent="0.25">
      <c r="A71" s="263"/>
      <c r="B71" s="265"/>
      <c r="C71" s="35" t="s">
        <v>97</v>
      </c>
      <c r="D71" s="6"/>
      <c r="E71" s="11"/>
      <c r="F71" s="6"/>
      <c r="G71" s="6"/>
      <c r="H71" s="11"/>
      <c r="I71" s="6"/>
      <c r="J71" s="6"/>
      <c r="K71" s="11"/>
      <c r="L71" s="6"/>
      <c r="M71" s="6"/>
      <c r="N71" s="11"/>
      <c r="O71" s="6"/>
    </row>
    <row r="72" spans="1:15" ht="15.75" x14ac:dyDescent="0.25">
      <c r="A72" s="263"/>
      <c r="B72" s="265"/>
      <c r="C72" s="35" t="s">
        <v>98</v>
      </c>
      <c r="D72" s="6"/>
      <c r="E72" s="11"/>
      <c r="F72" s="6"/>
      <c r="G72" s="6"/>
      <c r="H72" s="11"/>
      <c r="I72" s="6"/>
      <c r="J72" s="6"/>
      <c r="K72" s="11"/>
      <c r="L72" s="6"/>
      <c r="M72" s="6"/>
      <c r="N72" s="11"/>
      <c r="O72" s="6"/>
    </row>
    <row r="73" spans="1:15" ht="15.75" x14ac:dyDescent="0.25">
      <c r="A73" s="263"/>
      <c r="B73" s="265" t="s">
        <v>99</v>
      </c>
      <c r="C73" s="35" t="s">
        <v>100</v>
      </c>
      <c r="D73" s="3"/>
      <c r="E73" s="23"/>
      <c r="F73" s="3"/>
      <c r="G73" s="3"/>
      <c r="H73" s="23"/>
      <c r="I73" s="3"/>
      <c r="J73" s="14"/>
      <c r="K73" s="14"/>
      <c r="L73" s="14"/>
      <c r="M73" s="14"/>
      <c r="N73" s="14"/>
      <c r="O73" s="14"/>
    </row>
    <row r="74" spans="1:15" ht="15.75" x14ac:dyDescent="0.25">
      <c r="A74" s="263"/>
      <c r="B74" s="265"/>
      <c r="C74" s="7" t="s">
        <v>101</v>
      </c>
      <c r="D74" s="3"/>
      <c r="E74" s="23"/>
      <c r="F74" s="3"/>
      <c r="G74" s="3"/>
      <c r="H74" s="23"/>
      <c r="I74" s="3"/>
      <c r="J74" s="8">
        <v>1</v>
      </c>
      <c r="K74" s="13">
        <v>100</v>
      </c>
      <c r="L74" s="14">
        <f>107/100</f>
        <v>1.07</v>
      </c>
      <c r="M74" s="8">
        <v>1</v>
      </c>
      <c r="N74" s="13">
        <v>100</v>
      </c>
      <c r="O74" s="14">
        <f>232/100</f>
        <v>2.3199999999999998</v>
      </c>
    </row>
    <row r="75" spans="1:15" ht="15.75" x14ac:dyDescent="0.25">
      <c r="A75" s="263"/>
      <c r="B75" s="265"/>
      <c r="C75" s="35" t="s">
        <v>102</v>
      </c>
      <c r="D75" s="3"/>
      <c r="E75" s="23"/>
      <c r="F75" s="3"/>
      <c r="G75" s="3"/>
      <c r="H75" s="23"/>
      <c r="I75" s="3"/>
      <c r="J75" s="14"/>
      <c r="K75" s="14"/>
      <c r="L75" s="14"/>
      <c r="M75" s="14"/>
      <c r="N75" s="14"/>
      <c r="O75" s="14"/>
    </row>
    <row r="76" spans="1:15" ht="15.75" x14ac:dyDescent="0.25">
      <c r="A76" s="263"/>
      <c r="B76" s="268" t="s">
        <v>103</v>
      </c>
      <c r="C76" s="35" t="s">
        <v>104</v>
      </c>
      <c r="D76" s="3"/>
      <c r="E76" s="23"/>
      <c r="F76" s="3"/>
      <c r="G76" s="3"/>
      <c r="H76" s="23"/>
      <c r="I76" s="3"/>
      <c r="J76" s="3"/>
      <c r="K76" s="23"/>
      <c r="L76" s="3"/>
      <c r="M76" s="3"/>
      <c r="N76" s="23"/>
      <c r="O76" s="3"/>
    </row>
    <row r="77" spans="1:15" ht="15.75" x14ac:dyDescent="0.25">
      <c r="A77" s="263"/>
      <c r="B77" s="268"/>
      <c r="C77" s="35" t="s">
        <v>105</v>
      </c>
      <c r="D77" s="3"/>
      <c r="E77" s="23"/>
      <c r="F77" s="3"/>
      <c r="G77" s="3"/>
      <c r="H77" s="23"/>
      <c r="I77" s="3"/>
      <c r="J77" s="3"/>
      <c r="K77" s="23"/>
      <c r="L77" s="3"/>
      <c r="M77" s="3"/>
      <c r="N77" s="23"/>
      <c r="O77" s="3"/>
    </row>
    <row r="78" spans="1:15" ht="15.75" x14ac:dyDescent="0.25">
      <c r="A78" s="263"/>
      <c r="B78" s="268"/>
      <c r="C78" s="35" t="s">
        <v>106</v>
      </c>
      <c r="D78" s="3"/>
      <c r="E78" s="23"/>
      <c r="F78" s="3"/>
      <c r="G78" s="3"/>
      <c r="H78" s="23"/>
      <c r="I78" s="3"/>
      <c r="J78" s="3"/>
      <c r="K78" s="23"/>
      <c r="L78" s="3"/>
      <c r="M78" s="3"/>
      <c r="N78" s="23"/>
      <c r="O78" s="3"/>
    </row>
    <row r="79" spans="1:15" ht="15" customHeight="1" x14ac:dyDescent="0.25">
      <c r="A79" s="263" t="s">
        <v>107</v>
      </c>
      <c r="B79" s="263" t="s">
        <v>108</v>
      </c>
      <c r="C79" s="35" t="s">
        <v>109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ht="15.75" x14ac:dyDescent="0.25">
      <c r="A80" s="263"/>
      <c r="B80" s="263"/>
      <c r="C80" s="7" t="s">
        <v>110</v>
      </c>
      <c r="D80" s="25">
        <v>1</v>
      </c>
      <c r="E80" s="13">
        <v>100</v>
      </c>
      <c r="F80" s="14">
        <f>209/100</f>
        <v>2.09</v>
      </c>
      <c r="G80" s="25">
        <v>1</v>
      </c>
      <c r="H80" s="13">
        <v>100</v>
      </c>
      <c r="I80" s="14">
        <f>191/100</f>
        <v>1.91</v>
      </c>
      <c r="J80" s="25">
        <v>1</v>
      </c>
      <c r="K80" s="13">
        <v>100</v>
      </c>
      <c r="L80" s="14">
        <f>171/100</f>
        <v>1.71</v>
      </c>
      <c r="M80" s="25">
        <v>1</v>
      </c>
      <c r="N80" s="13">
        <v>100</v>
      </c>
      <c r="O80" s="14">
        <f>174/100</f>
        <v>1.74</v>
      </c>
    </row>
    <row r="81" spans="1:15" ht="15.75" x14ac:dyDescent="0.25">
      <c r="A81" s="263"/>
      <c r="B81" s="263"/>
      <c r="C81" s="35" t="s">
        <v>111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ht="15.75" x14ac:dyDescent="0.25">
      <c r="A82" s="263"/>
      <c r="B82" s="155" t="s">
        <v>112</v>
      </c>
      <c r="C82" s="7" t="s">
        <v>113</v>
      </c>
      <c r="D82" s="12">
        <v>1</v>
      </c>
      <c r="E82" s="13">
        <v>100</v>
      </c>
      <c r="F82" s="14">
        <f>306/100</f>
        <v>3.06</v>
      </c>
      <c r="G82" s="12">
        <v>1</v>
      </c>
      <c r="H82" s="13">
        <v>100</v>
      </c>
      <c r="I82" s="14">
        <f>265/100</f>
        <v>2.65</v>
      </c>
      <c r="J82" s="12">
        <v>1</v>
      </c>
      <c r="K82" s="13">
        <v>100</v>
      </c>
      <c r="L82" s="14">
        <f>272/100</f>
        <v>2.72</v>
      </c>
      <c r="M82" s="12">
        <v>1</v>
      </c>
      <c r="N82" s="13">
        <v>100</v>
      </c>
      <c r="O82" s="14">
        <f>282/100</f>
        <v>2.82</v>
      </c>
    </row>
    <row r="83" spans="1:15" ht="15.75" x14ac:dyDescent="0.25">
      <c r="A83" s="263"/>
      <c r="B83" s="263" t="s">
        <v>114</v>
      </c>
      <c r="C83" s="35" t="s">
        <v>115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ht="15.75" x14ac:dyDescent="0.25">
      <c r="A84" s="263"/>
      <c r="B84" s="263"/>
      <c r="C84" s="35" t="s">
        <v>116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ht="15.75" x14ac:dyDescent="0.25">
      <c r="A85" s="263"/>
      <c r="B85" s="263"/>
      <c r="C85" s="7" t="s">
        <v>117</v>
      </c>
      <c r="D85" s="12">
        <v>1</v>
      </c>
      <c r="E85" s="13">
        <v>100</v>
      </c>
      <c r="F85" s="14">
        <f>212/100</f>
        <v>2.12</v>
      </c>
      <c r="G85" s="12">
        <v>1</v>
      </c>
      <c r="H85" s="13">
        <v>100</v>
      </c>
      <c r="I85" s="14">
        <f>189/100</f>
        <v>1.89</v>
      </c>
      <c r="J85" s="12">
        <v>1</v>
      </c>
      <c r="K85" s="13">
        <v>100</v>
      </c>
      <c r="L85" s="14">
        <f>255/100</f>
        <v>2.5499999999999998</v>
      </c>
      <c r="M85" s="12">
        <v>1</v>
      </c>
      <c r="N85" s="13">
        <v>100</v>
      </c>
      <c r="O85" s="14">
        <f>188/100</f>
        <v>1.88</v>
      </c>
    </row>
    <row r="86" spans="1:15" ht="15.75" x14ac:dyDescent="0.25">
      <c r="A86" s="263" t="s">
        <v>118</v>
      </c>
      <c r="B86" s="263" t="s">
        <v>119</v>
      </c>
      <c r="C86" s="35" t="s">
        <v>120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ht="15.75" x14ac:dyDescent="0.25">
      <c r="A87" s="263"/>
      <c r="B87" s="263"/>
      <c r="C87" s="7" t="s">
        <v>121</v>
      </c>
      <c r="D87" s="12">
        <v>1</v>
      </c>
      <c r="E87" s="13">
        <v>100</v>
      </c>
      <c r="F87" s="14">
        <f>119/100</f>
        <v>1.19</v>
      </c>
      <c r="G87" s="12">
        <v>1</v>
      </c>
      <c r="H87" s="13">
        <v>100</v>
      </c>
      <c r="I87" s="14">
        <f>114/100</f>
        <v>1.1399999999999999</v>
      </c>
      <c r="J87" s="12">
        <v>1</v>
      </c>
      <c r="K87" s="13">
        <v>100</v>
      </c>
      <c r="L87" s="14">
        <f>200/100</f>
        <v>2</v>
      </c>
      <c r="M87" s="12">
        <v>1</v>
      </c>
      <c r="N87" s="13">
        <v>100</v>
      </c>
      <c r="O87" s="14">
        <f>189/100</f>
        <v>1.89</v>
      </c>
    </row>
    <row r="88" spans="1:15" ht="15.75" x14ac:dyDescent="0.25">
      <c r="A88" s="263"/>
      <c r="B88" s="263"/>
      <c r="C88" s="35" t="s">
        <v>122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1:15" ht="15.75" x14ac:dyDescent="0.25">
      <c r="A89" s="263"/>
      <c r="B89" s="263" t="s">
        <v>123</v>
      </c>
      <c r="C89" s="7" t="s">
        <v>124</v>
      </c>
      <c r="D89" s="12">
        <v>1</v>
      </c>
      <c r="E89" s="13">
        <v>100</v>
      </c>
      <c r="F89" s="14">
        <f>317/100</f>
        <v>3.17</v>
      </c>
      <c r="G89" s="12">
        <v>1</v>
      </c>
      <c r="H89" s="13">
        <v>100</v>
      </c>
      <c r="I89" s="14">
        <f>331/100</f>
        <v>3.31</v>
      </c>
      <c r="J89" s="12">
        <v>1</v>
      </c>
      <c r="K89" s="13">
        <v>100</v>
      </c>
      <c r="L89" s="14">
        <f>414/100</f>
        <v>4.1399999999999997</v>
      </c>
      <c r="M89" s="12">
        <v>1</v>
      </c>
      <c r="N89" s="13">
        <v>100</v>
      </c>
      <c r="O89" s="14">
        <f>406/100</f>
        <v>4.0599999999999996</v>
      </c>
    </row>
    <row r="90" spans="1:15" ht="15.75" x14ac:dyDescent="0.25">
      <c r="A90" s="263"/>
      <c r="B90" s="263"/>
      <c r="C90" s="35" t="s">
        <v>125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 ht="15.75" x14ac:dyDescent="0.25">
      <c r="A91" s="263"/>
      <c r="B91" s="263"/>
      <c r="C91" s="35" t="s">
        <v>126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 ht="15.75" x14ac:dyDescent="0.25">
      <c r="A92" s="263"/>
      <c r="B92" s="263" t="s">
        <v>127</v>
      </c>
      <c r="C92" s="7" t="s">
        <v>128</v>
      </c>
      <c r="D92" s="12">
        <v>1</v>
      </c>
      <c r="E92" s="13">
        <v>100</v>
      </c>
      <c r="F92" s="14">
        <f>192/100</f>
        <v>1.92</v>
      </c>
      <c r="G92" s="12">
        <v>1</v>
      </c>
      <c r="H92" s="13">
        <v>100</v>
      </c>
      <c r="I92" s="14">
        <f>177/100</f>
        <v>1.77</v>
      </c>
      <c r="J92" s="12">
        <v>1</v>
      </c>
      <c r="K92" s="13">
        <v>100</v>
      </c>
      <c r="L92" s="14">
        <f>219/100</f>
        <v>2.19</v>
      </c>
      <c r="M92" s="12">
        <v>1</v>
      </c>
      <c r="N92" s="13">
        <v>100</v>
      </c>
      <c r="O92" s="14">
        <f>222/100</f>
        <v>2.2200000000000002</v>
      </c>
    </row>
    <row r="93" spans="1:15" ht="15.75" x14ac:dyDescent="0.25">
      <c r="A93" s="263"/>
      <c r="B93" s="263"/>
      <c r="C93" s="35" t="s">
        <v>129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1:15" ht="15.75" x14ac:dyDescent="0.25">
      <c r="A94" s="263"/>
      <c r="B94" s="263" t="s">
        <v>130</v>
      </c>
      <c r="C94" s="35" t="s">
        <v>131</v>
      </c>
      <c r="D94" s="3"/>
      <c r="E94" s="23"/>
      <c r="F94" s="3"/>
      <c r="G94" s="3"/>
      <c r="H94" s="23"/>
      <c r="I94" s="3"/>
      <c r="J94" s="24"/>
      <c r="K94" s="24"/>
      <c r="L94" s="24"/>
      <c r="M94" s="24"/>
      <c r="N94" s="24"/>
      <c r="O94" s="24"/>
    </row>
    <row r="95" spans="1:15" ht="15.75" x14ac:dyDescent="0.25">
      <c r="A95" s="263"/>
      <c r="B95" s="263"/>
      <c r="C95" s="7" t="s">
        <v>132</v>
      </c>
      <c r="D95" s="3"/>
      <c r="E95" s="23"/>
      <c r="F95" s="3"/>
      <c r="G95" s="3"/>
      <c r="H95" s="23"/>
      <c r="I95" s="3"/>
      <c r="J95" s="18">
        <v>1</v>
      </c>
      <c r="K95" s="18">
        <v>100</v>
      </c>
      <c r="L95" s="18"/>
      <c r="M95" s="18">
        <v>1</v>
      </c>
      <c r="N95" s="18">
        <v>100</v>
      </c>
      <c r="O95" s="24"/>
    </row>
    <row r="96" spans="1:15" ht="15.75" x14ac:dyDescent="0.25">
      <c r="A96" s="263"/>
      <c r="B96" s="270" t="s">
        <v>133</v>
      </c>
      <c r="C96" s="35" t="s">
        <v>134</v>
      </c>
      <c r="D96" s="3"/>
      <c r="E96" s="23"/>
      <c r="F96" s="3"/>
      <c r="G96" s="3"/>
      <c r="H96" s="23"/>
      <c r="I96" s="3"/>
      <c r="J96" s="3"/>
      <c r="K96" s="23"/>
      <c r="L96" s="3"/>
      <c r="M96" s="3"/>
      <c r="N96" s="23"/>
      <c r="O96" s="3"/>
    </row>
    <row r="97" spans="1:15" ht="15.75" x14ac:dyDescent="0.25">
      <c r="A97" s="263"/>
      <c r="B97" s="270"/>
      <c r="C97" s="35" t="s">
        <v>135</v>
      </c>
      <c r="D97" s="3"/>
      <c r="E97" s="23"/>
      <c r="F97" s="3"/>
      <c r="G97" s="3"/>
      <c r="H97" s="23"/>
      <c r="I97" s="3"/>
      <c r="J97" s="3"/>
      <c r="K97" s="23"/>
      <c r="L97" s="3"/>
      <c r="M97" s="3"/>
      <c r="N97" s="23"/>
      <c r="O97" s="3"/>
    </row>
    <row r="98" spans="1:15" ht="15.75" x14ac:dyDescent="0.25">
      <c r="A98" s="263"/>
      <c r="B98" s="263" t="s">
        <v>136</v>
      </c>
      <c r="C98" s="35" t="s">
        <v>137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99" spans="1:15" ht="15.75" x14ac:dyDescent="0.25">
      <c r="A99" s="263"/>
      <c r="B99" s="263"/>
      <c r="C99" s="35" t="s">
        <v>138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1:15" ht="15.75" x14ac:dyDescent="0.25">
      <c r="A100" s="263"/>
      <c r="B100" s="263"/>
      <c r="C100" s="7" t="s">
        <v>139</v>
      </c>
      <c r="D100" s="12">
        <v>1</v>
      </c>
      <c r="E100" s="13">
        <v>300</v>
      </c>
      <c r="F100" s="19">
        <f>586/300</f>
        <v>1.9533333333333334</v>
      </c>
      <c r="G100" s="12">
        <v>1</v>
      </c>
      <c r="H100" s="13">
        <v>300</v>
      </c>
      <c r="I100" s="19">
        <f>657/300</f>
        <v>2.19</v>
      </c>
      <c r="J100" s="12">
        <v>1</v>
      </c>
      <c r="K100" s="13">
        <v>300</v>
      </c>
      <c r="L100" s="19">
        <f>670/300</f>
        <v>2.2333333333333334</v>
      </c>
      <c r="M100" s="12">
        <v>1</v>
      </c>
      <c r="N100" s="13">
        <v>300</v>
      </c>
      <c r="O100" s="19">
        <f>683/100</f>
        <v>6.83</v>
      </c>
    </row>
    <row r="101" spans="1:15" ht="15.75" x14ac:dyDescent="0.25">
      <c r="A101" s="269" t="s">
        <v>140</v>
      </c>
      <c r="B101" s="269"/>
      <c r="C101" s="269"/>
      <c r="D101" s="27">
        <f>SUM(D6:D100)</f>
        <v>21</v>
      </c>
      <c r="E101" s="27">
        <f>SUM(E6:E100)</f>
        <v>8530</v>
      </c>
      <c r="F101" s="17">
        <f>AVERAGE(F6:F100)</f>
        <v>2.0260500610500607</v>
      </c>
      <c r="G101" s="27">
        <f t="shared" ref="G101:H101" si="0">SUM(G6:G100)</f>
        <v>22</v>
      </c>
      <c r="H101" s="27">
        <f t="shared" si="0"/>
        <v>8630</v>
      </c>
      <c r="I101" s="17">
        <f>AVERAGE(I6:I100)</f>
        <v>1.9157226107226109</v>
      </c>
      <c r="J101" s="27">
        <f t="shared" ref="J101:K101" si="1">SUM(J6:J100)</f>
        <v>25</v>
      </c>
      <c r="K101" s="27">
        <f t="shared" si="1"/>
        <v>8930</v>
      </c>
      <c r="L101" s="17">
        <f>AVERAGE(L6:L100)</f>
        <v>2.1822765313390313</v>
      </c>
      <c r="M101" s="27">
        <f t="shared" ref="M101:N101" si="2">SUM(M6:M100)</f>
        <v>25</v>
      </c>
      <c r="N101" s="27">
        <f t="shared" si="2"/>
        <v>8930</v>
      </c>
      <c r="O101" s="17">
        <f>AVERAGE(O6:O100)</f>
        <v>2.2626166310541311</v>
      </c>
    </row>
    <row r="102" spans="1:15" x14ac:dyDescent="0.25">
      <c r="A102" s="37" t="s">
        <v>146</v>
      </c>
      <c r="C102" s="28"/>
      <c r="D102" s="28"/>
      <c r="E102" s="28"/>
      <c r="F102" s="29"/>
      <c r="G102" s="1"/>
      <c r="H102" s="1"/>
    </row>
    <row r="103" spans="1:15" x14ac:dyDescent="0.25">
      <c r="A103" s="38" t="s">
        <v>149</v>
      </c>
      <c r="B103" s="30"/>
      <c r="C103" s="31"/>
      <c r="D103" s="31"/>
      <c r="E103" s="31"/>
      <c r="F103" s="32"/>
      <c r="G103" s="31"/>
      <c r="H103" s="31"/>
      <c r="I103" s="31"/>
      <c r="J103" s="31"/>
    </row>
    <row r="104" spans="1:15" x14ac:dyDescent="0.25">
      <c r="A104" s="1" t="s">
        <v>237</v>
      </c>
      <c r="B104" s="1"/>
      <c r="C104" s="1"/>
      <c r="D104" s="29"/>
      <c r="E104" s="1"/>
      <c r="F104" s="1"/>
      <c r="G104" s="1"/>
      <c r="H104" s="1"/>
    </row>
    <row r="105" spans="1:15" x14ac:dyDescent="0.25">
      <c r="A105" s="1" t="s">
        <v>235</v>
      </c>
      <c r="B105" s="1"/>
      <c r="C105" s="1"/>
      <c r="D105" s="29"/>
      <c r="E105" s="1"/>
      <c r="F105" s="1"/>
      <c r="G105" s="1"/>
      <c r="H105" s="1"/>
    </row>
    <row r="106" spans="1:15" x14ac:dyDescent="0.25">
      <c r="A106" t="s">
        <v>238</v>
      </c>
    </row>
  </sheetData>
  <mergeCells count="58">
    <mergeCell ref="A101:C101"/>
    <mergeCell ref="A79:A85"/>
    <mergeCell ref="B79:B81"/>
    <mergeCell ref="B83:B85"/>
    <mergeCell ref="A86:A100"/>
    <mergeCell ref="B86:B88"/>
    <mergeCell ref="B89:B91"/>
    <mergeCell ref="B92:B93"/>
    <mergeCell ref="B94:B95"/>
    <mergeCell ref="B96:B97"/>
    <mergeCell ref="B98:B100"/>
    <mergeCell ref="A62:A78"/>
    <mergeCell ref="B63:B64"/>
    <mergeCell ref="B65:B66"/>
    <mergeCell ref="B67:B68"/>
    <mergeCell ref="B69:B72"/>
    <mergeCell ref="B73:B75"/>
    <mergeCell ref="B76:B78"/>
    <mergeCell ref="A39:A46"/>
    <mergeCell ref="B39:B46"/>
    <mergeCell ref="A47:A61"/>
    <mergeCell ref="B47:B48"/>
    <mergeCell ref="B49:B54"/>
    <mergeCell ref="B55:B58"/>
    <mergeCell ref="B60:B61"/>
    <mergeCell ref="A24:A38"/>
    <mergeCell ref="B24:B28"/>
    <mergeCell ref="B29:B34"/>
    <mergeCell ref="B35:B38"/>
    <mergeCell ref="L3:L5"/>
    <mergeCell ref="D3:D5"/>
    <mergeCell ref="E3:E5"/>
    <mergeCell ref="A14:A23"/>
    <mergeCell ref="B14:B16"/>
    <mergeCell ref="B17:B18"/>
    <mergeCell ref="B19:B20"/>
    <mergeCell ref="B21:B23"/>
    <mergeCell ref="M3:M5"/>
    <mergeCell ref="N3:N5"/>
    <mergeCell ref="O3:O5"/>
    <mergeCell ref="A6:A13"/>
    <mergeCell ref="B6:B7"/>
    <mergeCell ref="B8:B10"/>
    <mergeCell ref="B11:B13"/>
    <mergeCell ref="F3:F5"/>
    <mergeCell ref="G3:G5"/>
    <mergeCell ref="H3:H5"/>
    <mergeCell ref="I3:I5"/>
    <mergeCell ref="J3:J5"/>
    <mergeCell ref="K3:K5"/>
    <mergeCell ref="A3:A5"/>
    <mergeCell ref="B3:B5"/>
    <mergeCell ref="C3:C5"/>
    <mergeCell ref="A1:O1"/>
    <mergeCell ref="D2:F2"/>
    <mergeCell ref="G2:I2"/>
    <mergeCell ref="J2:L2"/>
    <mergeCell ref="M2:O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7" orientation="portrait" verticalDpi="4" r:id="rId1"/>
  <rowBreaks count="1" manualBreakCount="1">
    <brk id="23" min="1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F00F-57C6-4E5A-8CDA-C78CACB9CEA7}">
  <dimension ref="A1:M22"/>
  <sheetViews>
    <sheetView zoomScale="90" zoomScaleNormal="90" workbookViewId="0">
      <pane xSplit="1" topLeftCell="B1" activePane="topRight" state="frozen"/>
      <selection activeCell="A7" sqref="A7"/>
      <selection pane="topRight" sqref="A1:M1"/>
    </sheetView>
  </sheetViews>
  <sheetFormatPr defaultRowHeight="15" x14ac:dyDescent="0.25"/>
  <cols>
    <col min="1" max="1" width="29.28515625" customWidth="1"/>
    <col min="2" max="2" width="10.28515625" customWidth="1"/>
    <col min="3" max="3" width="10.42578125" customWidth="1"/>
    <col min="4" max="4" width="13.85546875" style="44" customWidth="1"/>
    <col min="5" max="5" width="10.5703125" customWidth="1"/>
    <col min="7" max="7" width="13" customWidth="1"/>
    <col min="8" max="8" width="9.7109375" customWidth="1"/>
    <col min="10" max="10" width="13.5703125" customWidth="1"/>
    <col min="11" max="11" width="10.5703125" customWidth="1"/>
    <col min="13" max="13" width="13.28515625" customWidth="1"/>
  </cols>
  <sheetData>
    <row r="1" spans="1:13" ht="15.75" x14ac:dyDescent="0.25">
      <c r="A1" s="271" t="s">
        <v>152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ht="15.75" x14ac:dyDescent="0.25">
      <c r="A2" s="170"/>
      <c r="B2" s="246" t="s">
        <v>142</v>
      </c>
      <c r="C2" s="247"/>
      <c r="D2" s="258"/>
      <c r="E2" s="246" t="s">
        <v>143</v>
      </c>
      <c r="F2" s="247"/>
      <c r="G2" s="258"/>
      <c r="H2" s="246" t="s">
        <v>144</v>
      </c>
      <c r="I2" s="247"/>
      <c r="J2" s="258"/>
      <c r="K2" s="246" t="s">
        <v>145</v>
      </c>
      <c r="L2" s="247"/>
      <c r="M2" s="258"/>
    </row>
    <row r="3" spans="1:13" ht="21.75" customHeight="1" x14ac:dyDescent="0.25">
      <c r="A3" s="272" t="s">
        <v>1</v>
      </c>
      <c r="B3" s="272" t="s">
        <v>153</v>
      </c>
      <c r="C3" s="272" t="s">
        <v>154</v>
      </c>
      <c r="D3" s="272" t="s">
        <v>155</v>
      </c>
      <c r="E3" s="272" t="s">
        <v>153</v>
      </c>
      <c r="F3" s="272" t="s">
        <v>154</v>
      </c>
      <c r="G3" s="272" t="s">
        <v>155</v>
      </c>
      <c r="H3" s="272" t="s">
        <v>153</v>
      </c>
      <c r="I3" s="272" t="s">
        <v>154</v>
      </c>
      <c r="J3" s="272" t="s">
        <v>155</v>
      </c>
      <c r="K3" s="272" t="s">
        <v>153</v>
      </c>
      <c r="L3" s="272" t="s">
        <v>154</v>
      </c>
      <c r="M3" s="272" t="s">
        <v>155</v>
      </c>
    </row>
    <row r="4" spans="1:13" ht="30" customHeight="1" x14ac:dyDescent="0.25">
      <c r="A4" s="272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</row>
    <row r="5" spans="1:13" x14ac:dyDescent="0.25">
      <c r="A5" s="171" t="s">
        <v>34</v>
      </c>
      <c r="B5" s="41">
        <v>1</v>
      </c>
      <c r="C5" s="41">
        <v>60</v>
      </c>
      <c r="D5" s="172">
        <f>56/60</f>
        <v>0.93333333333333335</v>
      </c>
      <c r="E5" s="41">
        <v>1</v>
      </c>
      <c r="F5" s="41">
        <v>60</v>
      </c>
      <c r="G5" s="173">
        <f>51/60</f>
        <v>0.85</v>
      </c>
      <c r="H5" s="41">
        <v>1</v>
      </c>
      <c r="I5" s="41">
        <v>60</v>
      </c>
      <c r="J5" s="173">
        <f>57/60</f>
        <v>0.95</v>
      </c>
      <c r="K5" s="41">
        <v>1</v>
      </c>
      <c r="L5" s="41">
        <v>60</v>
      </c>
      <c r="M5" s="173">
        <f>58/60</f>
        <v>0.96666666666666667</v>
      </c>
    </row>
    <row r="6" spans="1:13" ht="15.75" customHeight="1" x14ac:dyDescent="0.25">
      <c r="A6" s="171" t="s">
        <v>119</v>
      </c>
      <c r="B6" s="41">
        <v>1</v>
      </c>
      <c r="C6" s="41">
        <v>60</v>
      </c>
      <c r="D6" s="172">
        <f>32/60</f>
        <v>0.53333333333333333</v>
      </c>
      <c r="E6" s="41">
        <v>1</v>
      </c>
      <c r="F6" s="41">
        <v>60</v>
      </c>
      <c r="G6" s="173">
        <f>37/60</f>
        <v>0.6166666666666667</v>
      </c>
      <c r="H6" s="41">
        <v>1</v>
      </c>
      <c r="I6" s="41">
        <v>60</v>
      </c>
      <c r="J6" s="173">
        <f>56/60</f>
        <v>0.93333333333333335</v>
      </c>
      <c r="K6" s="41">
        <v>1</v>
      </c>
      <c r="L6" s="41">
        <v>60</v>
      </c>
      <c r="M6" s="173">
        <f>58/60</f>
        <v>0.96666666666666667</v>
      </c>
    </row>
    <row r="7" spans="1:13" x14ac:dyDescent="0.25">
      <c r="A7" s="171" t="s">
        <v>123</v>
      </c>
      <c r="B7" s="8">
        <v>1</v>
      </c>
      <c r="C7" s="8">
        <v>30</v>
      </c>
      <c r="D7" s="172">
        <f>26/30</f>
        <v>0.8666666666666667</v>
      </c>
      <c r="E7" s="8">
        <v>1</v>
      </c>
      <c r="F7" s="8">
        <v>30</v>
      </c>
      <c r="G7" s="173">
        <f>26/30</f>
        <v>0.8666666666666667</v>
      </c>
      <c r="H7" s="8">
        <v>1</v>
      </c>
      <c r="I7" s="8">
        <v>30</v>
      </c>
      <c r="J7" s="173">
        <f>26/30</f>
        <v>0.8666666666666667</v>
      </c>
      <c r="K7" s="8">
        <v>1</v>
      </c>
      <c r="L7" s="8">
        <v>30</v>
      </c>
      <c r="M7" s="173">
        <f>26/30</f>
        <v>0.8666666666666667</v>
      </c>
    </row>
    <row r="8" spans="1:13" x14ac:dyDescent="0.25">
      <c r="A8" s="171" t="s">
        <v>19</v>
      </c>
      <c r="B8" s="41">
        <v>1</v>
      </c>
      <c r="C8" s="41">
        <v>30</v>
      </c>
      <c r="D8" s="173">
        <f>29/30</f>
        <v>0.96666666666666667</v>
      </c>
      <c r="E8" s="41">
        <v>1</v>
      </c>
      <c r="F8" s="41">
        <v>30</v>
      </c>
      <c r="G8" s="173">
        <f>30/30</f>
        <v>1</v>
      </c>
      <c r="H8" s="41">
        <v>1</v>
      </c>
      <c r="I8" s="41">
        <v>30</v>
      </c>
      <c r="J8" s="173">
        <f>28/30</f>
        <v>0.93333333333333335</v>
      </c>
      <c r="K8" s="41">
        <v>1</v>
      </c>
      <c r="L8" s="41">
        <v>30</v>
      </c>
      <c r="M8" s="173">
        <f>30/30</f>
        <v>1</v>
      </c>
    </row>
    <row r="9" spans="1:13" x14ac:dyDescent="0.25">
      <c r="A9" s="171" t="s">
        <v>91</v>
      </c>
      <c r="B9" s="41">
        <v>1</v>
      </c>
      <c r="C9" s="41">
        <v>30</v>
      </c>
      <c r="D9" s="173">
        <f>29/30</f>
        <v>0.96666666666666667</v>
      </c>
      <c r="E9" s="41">
        <v>1</v>
      </c>
      <c r="F9" s="41">
        <v>30</v>
      </c>
      <c r="G9" s="173">
        <f>31/30</f>
        <v>1.0333333333333334</v>
      </c>
      <c r="H9" s="41">
        <v>1</v>
      </c>
      <c r="I9" s="41">
        <v>30</v>
      </c>
      <c r="J9" s="173">
        <f>29/30</f>
        <v>0.96666666666666667</v>
      </c>
      <c r="K9" s="41">
        <v>1</v>
      </c>
      <c r="L9" s="41">
        <v>30</v>
      </c>
      <c r="M9" s="173">
        <f>29/30</f>
        <v>0.96666666666666667</v>
      </c>
    </row>
    <row r="10" spans="1:13" x14ac:dyDescent="0.25">
      <c r="A10" s="171" t="s">
        <v>7</v>
      </c>
      <c r="B10" s="41">
        <v>1</v>
      </c>
      <c r="C10" s="41">
        <v>30</v>
      </c>
      <c r="D10" s="173">
        <f>30/30</f>
        <v>1</v>
      </c>
      <c r="E10" s="41">
        <v>1</v>
      </c>
      <c r="F10" s="41">
        <v>30</v>
      </c>
      <c r="G10" s="173">
        <f>28/30</f>
        <v>0.93333333333333335</v>
      </c>
      <c r="H10" s="41">
        <v>1</v>
      </c>
      <c r="I10" s="41">
        <v>30</v>
      </c>
      <c r="J10" s="173">
        <f>28/30</f>
        <v>0.93333333333333335</v>
      </c>
      <c r="K10" s="41">
        <v>1</v>
      </c>
      <c r="L10" s="41">
        <v>30</v>
      </c>
      <c r="M10" s="173">
        <f>26/30</f>
        <v>0.8666666666666667</v>
      </c>
    </row>
    <row r="11" spans="1:13" x14ac:dyDescent="0.25">
      <c r="A11" s="171" t="s">
        <v>67</v>
      </c>
      <c r="B11" s="8">
        <v>2</v>
      </c>
      <c r="C11" s="8">
        <v>90</v>
      </c>
      <c r="D11" s="173">
        <f>86/90</f>
        <v>0.9555555555555556</v>
      </c>
      <c r="E11" s="8">
        <v>2</v>
      </c>
      <c r="F11" s="8">
        <v>90</v>
      </c>
      <c r="G11" s="173">
        <f>89/90</f>
        <v>0.98888888888888893</v>
      </c>
      <c r="H11" s="8">
        <v>2</v>
      </c>
      <c r="I11" s="8">
        <v>90</v>
      </c>
      <c r="J11" s="173">
        <f>89/90</f>
        <v>0.98888888888888893</v>
      </c>
      <c r="K11" s="8">
        <v>2</v>
      </c>
      <c r="L11" s="8">
        <v>90</v>
      </c>
      <c r="M11" s="173">
        <f>86/90</f>
        <v>0.9555555555555556</v>
      </c>
    </row>
    <row r="12" spans="1:13" x14ac:dyDescent="0.25">
      <c r="A12" s="171" t="s">
        <v>133</v>
      </c>
      <c r="B12" s="8">
        <v>1</v>
      </c>
      <c r="C12" s="8">
        <v>30</v>
      </c>
      <c r="D12" s="173">
        <f>30/30</f>
        <v>1</v>
      </c>
      <c r="E12" s="8">
        <v>1</v>
      </c>
      <c r="F12" s="8">
        <v>30</v>
      </c>
      <c r="G12" s="173">
        <f>30/30</f>
        <v>1</v>
      </c>
      <c r="H12" s="8">
        <v>1</v>
      </c>
      <c r="I12" s="8">
        <v>30</v>
      </c>
      <c r="J12" s="173">
        <f>30/30</f>
        <v>1</v>
      </c>
      <c r="K12" s="8">
        <v>1</v>
      </c>
      <c r="L12" s="8">
        <v>30</v>
      </c>
      <c r="M12" s="173">
        <f>29/30</f>
        <v>0.96666666666666667</v>
      </c>
    </row>
    <row r="13" spans="1:13" x14ac:dyDescent="0.25">
      <c r="A13" s="171" t="s">
        <v>47</v>
      </c>
      <c r="B13" s="8">
        <v>1</v>
      </c>
      <c r="C13" s="8">
        <v>30</v>
      </c>
      <c r="D13" s="173">
        <f>28/30</f>
        <v>0.93333333333333335</v>
      </c>
      <c r="E13" s="8">
        <v>1</v>
      </c>
      <c r="F13" s="8">
        <v>30</v>
      </c>
      <c r="G13" s="173">
        <f>29/30</f>
        <v>0.96666666666666667</v>
      </c>
      <c r="H13" s="8">
        <v>1</v>
      </c>
      <c r="I13" s="8">
        <v>30</v>
      </c>
      <c r="J13" s="173">
        <f>30/30</f>
        <v>1</v>
      </c>
      <c r="K13" s="8">
        <v>1</v>
      </c>
      <c r="L13" s="8">
        <v>30</v>
      </c>
      <c r="M13" s="173">
        <f>30/30</f>
        <v>1</v>
      </c>
    </row>
    <row r="14" spans="1:13" x14ac:dyDescent="0.25">
      <c r="A14" s="171" t="s">
        <v>158</v>
      </c>
      <c r="B14" s="41">
        <v>1</v>
      </c>
      <c r="C14" s="41">
        <v>30</v>
      </c>
      <c r="D14" s="173">
        <f>30/30</f>
        <v>1</v>
      </c>
      <c r="E14" s="41">
        <v>1</v>
      </c>
      <c r="F14" s="41">
        <v>30</v>
      </c>
      <c r="G14" s="173">
        <f>30/30</f>
        <v>1</v>
      </c>
      <c r="H14" s="41">
        <v>1</v>
      </c>
      <c r="I14" s="41">
        <v>30</v>
      </c>
      <c r="J14" s="173">
        <f>30/30</f>
        <v>1</v>
      </c>
      <c r="K14" s="41">
        <v>1</v>
      </c>
      <c r="L14" s="41">
        <v>30</v>
      </c>
      <c r="M14" s="173">
        <f>30/30</f>
        <v>1</v>
      </c>
    </row>
    <row r="15" spans="1:13" x14ac:dyDescent="0.25">
      <c r="A15" s="171" t="s">
        <v>159</v>
      </c>
      <c r="B15" s="8">
        <v>1</v>
      </c>
      <c r="C15" s="8">
        <v>30</v>
      </c>
      <c r="D15" s="173">
        <f>29/30</f>
        <v>0.96666666666666667</v>
      </c>
      <c r="E15" s="8">
        <v>1</v>
      </c>
      <c r="F15" s="8">
        <v>30</v>
      </c>
      <c r="G15" s="173">
        <f>31/30</f>
        <v>1.0333333333333334</v>
      </c>
      <c r="H15" s="8">
        <v>1</v>
      </c>
      <c r="I15" s="8">
        <v>30</v>
      </c>
      <c r="J15" s="173">
        <f>30/30</f>
        <v>1</v>
      </c>
      <c r="K15" s="8">
        <v>1</v>
      </c>
      <c r="L15" s="8">
        <v>60</v>
      </c>
      <c r="M15" s="173">
        <f>49/60</f>
        <v>0.81666666666666665</v>
      </c>
    </row>
    <row r="16" spans="1:13" x14ac:dyDescent="0.25">
      <c r="A16" s="171" t="s">
        <v>10</v>
      </c>
      <c r="B16" s="42">
        <v>1</v>
      </c>
      <c r="C16" s="42">
        <v>30</v>
      </c>
      <c r="D16" s="173">
        <f>30/30</f>
        <v>1</v>
      </c>
      <c r="E16" s="42">
        <v>1</v>
      </c>
      <c r="F16" s="42">
        <v>30</v>
      </c>
      <c r="G16" s="173">
        <f>30/30</f>
        <v>1</v>
      </c>
      <c r="H16" s="42">
        <v>1</v>
      </c>
      <c r="I16" s="42">
        <v>30</v>
      </c>
      <c r="J16" s="173">
        <f>31/30</f>
        <v>1.0333333333333334</v>
      </c>
      <c r="K16" s="42">
        <v>1</v>
      </c>
      <c r="L16" s="42">
        <v>30</v>
      </c>
      <c r="M16" s="173">
        <f>30/30</f>
        <v>1</v>
      </c>
    </row>
    <row r="17" spans="1:13" x14ac:dyDescent="0.25">
      <c r="A17" s="171" t="s">
        <v>160</v>
      </c>
      <c r="B17" s="8">
        <v>1</v>
      </c>
      <c r="C17" s="8">
        <v>30</v>
      </c>
      <c r="D17" s="173">
        <f>28/30</f>
        <v>0.93333333333333335</v>
      </c>
      <c r="E17" s="8">
        <v>1</v>
      </c>
      <c r="F17" s="8">
        <v>30</v>
      </c>
      <c r="G17" s="173">
        <f>30/30</f>
        <v>1</v>
      </c>
      <c r="H17" s="8">
        <v>1</v>
      </c>
      <c r="I17" s="8">
        <v>30</v>
      </c>
      <c r="J17" s="173">
        <f>29/30</f>
        <v>0.96666666666666667</v>
      </c>
      <c r="K17" s="8">
        <v>1</v>
      </c>
      <c r="L17" s="8">
        <v>30</v>
      </c>
      <c r="M17" s="173">
        <f>29/30</f>
        <v>0.96666666666666667</v>
      </c>
    </row>
    <row r="18" spans="1:13" ht="15.75" x14ac:dyDescent="0.25">
      <c r="A18" s="164" t="s">
        <v>140</v>
      </c>
      <c r="B18" s="43">
        <f>SUM(B5:B17)</f>
        <v>14</v>
      </c>
      <c r="C18" s="43">
        <f>SUM(C5:C17)</f>
        <v>510</v>
      </c>
      <c r="D18" s="174">
        <f>AVERAGE(D5:D17)</f>
        <v>0.92735042735042739</v>
      </c>
      <c r="E18" s="43">
        <f t="shared" ref="E18:F18" si="0">SUM(E5:E17)</f>
        <v>14</v>
      </c>
      <c r="F18" s="43">
        <f t="shared" si="0"/>
        <v>510</v>
      </c>
      <c r="G18" s="174">
        <f>AVERAGE(G5:G17)</f>
        <v>0.94529914529914538</v>
      </c>
      <c r="H18" s="43">
        <f>SUM(H5:H17)</f>
        <v>14</v>
      </c>
      <c r="I18" s="43">
        <f>SUM(I5:I17)</f>
        <v>510</v>
      </c>
      <c r="J18" s="174">
        <f>AVERAGE(J5:J17)</f>
        <v>0.9670940170940171</v>
      </c>
      <c r="K18" s="43">
        <f>SUM(K5:K17)</f>
        <v>14</v>
      </c>
      <c r="L18" s="43">
        <f>SUM(L5:L17)</f>
        <v>540</v>
      </c>
      <c r="M18" s="174">
        <f>AVERAGE(M5:M17)</f>
        <v>0.9491452991452991</v>
      </c>
    </row>
    <row r="19" spans="1:13" x14ac:dyDescent="0.25">
      <c r="A19" s="37" t="s">
        <v>183</v>
      </c>
    </row>
    <row r="20" spans="1:13" x14ac:dyDescent="0.25">
      <c r="A20" s="37" t="s">
        <v>149</v>
      </c>
    </row>
    <row r="21" spans="1:13" x14ac:dyDescent="0.25">
      <c r="A21" t="s">
        <v>239</v>
      </c>
    </row>
    <row r="22" spans="1:13" x14ac:dyDescent="0.25">
      <c r="A22" t="s">
        <v>240</v>
      </c>
    </row>
  </sheetData>
  <mergeCells count="18">
    <mergeCell ref="J3:J4"/>
    <mergeCell ref="K3:K4"/>
    <mergeCell ref="A1:M1"/>
    <mergeCell ref="A3:A4"/>
    <mergeCell ref="B3:B4"/>
    <mergeCell ref="C3:C4"/>
    <mergeCell ref="D3:D4"/>
    <mergeCell ref="E3:E4"/>
    <mergeCell ref="L3:L4"/>
    <mergeCell ref="B2:D2"/>
    <mergeCell ref="E2:G2"/>
    <mergeCell ref="H2:J2"/>
    <mergeCell ref="K2:M2"/>
    <mergeCell ref="F3:F4"/>
    <mergeCell ref="M3:M4"/>
    <mergeCell ref="G3:G4"/>
    <mergeCell ref="H3:H4"/>
    <mergeCell ref="I3:I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6</vt:i4>
      </vt:variant>
    </vt:vector>
  </HeadingPairs>
  <TitlesOfParts>
    <vt:vector size="32" baseType="lpstr">
      <vt:lpstr>NPJ CPOP</vt:lpstr>
      <vt:lpstr> NPJ CREAS</vt:lpstr>
      <vt:lpstr>NCPOPR</vt:lpstr>
      <vt:lpstr>CIRCO SOCIAL</vt:lpstr>
      <vt:lpstr>CRECI</vt:lpstr>
      <vt:lpstr>FAMÍLIA ACOLHEDORA</vt:lpstr>
      <vt:lpstr>Abordagem_CCr_Adol (2)</vt:lpstr>
      <vt:lpstr>Abordagem_Adultos (2)</vt:lpstr>
      <vt:lpstr>ILPI (2)</vt:lpstr>
      <vt:lpstr>Casa Lar (2)</vt:lpstr>
      <vt:lpstr>SAICA (2)</vt:lpstr>
      <vt:lpstr>CAE Famílias (2)</vt:lpstr>
      <vt:lpstr>CA_Convalescente (2)</vt:lpstr>
      <vt:lpstr>República Adultos (2)</vt:lpstr>
      <vt:lpstr>República Jovem</vt:lpstr>
      <vt:lpstr>CA Mulheres Pop Rua_Trans_Imigr</vt:lpstr>
      <vt:lpstr>CAE Idoso (2)</vt:lpstr>
      <vt:lpstr>CA 24h (2)</vt:lpstr>
      <vt:lpstr>CCA</vt:lpstr>
      <vt:lpstr>CJ</vt:lpstr>
      <vt:lpstr>CEDESP</vt:lpstr>
      <vt:lpstr>CCINTER (2)</vt:lpstr>
      <vt:lpstr>SASF (2)</vt:lpstr>
      <vt:lpstr>NCI_Domiciliar</vt:lpstr>
      <vt:lpstr>NCI_Convivência</vt:lpstr>
      <vt:lpstr>NAISPD</vt:lpstr>
      <vt:lpstr>'Abordagem_Adultos (2)'!Area_de_impressao</vt:lpstr>
      <vt:lpstr>'Abordagem_CCr_Adol (2)'!Area_de_impressao</vt:lpstr>
      <vt:lpstr>'CAE Famílias (2)'!Area_de_impressao</vt:lpstr>
      <vt:lpstr>CCA!Area_de_impressao</vt:lpstr>
      <vt:lpstr>CJ!Area_de_impressao</vt:lpstr>
      <vt:lpstr>'SAICA (2)'!Area_de_impressao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d544574</dc:creator>
  <cp:lastModifiedBy>d544574</cp:lastModifiedBy>
  <dcterms:created xsi:type="dcterms:W3CDTF">2022-02-25T17:11:21Z</dcterms:created>
  <dcterms:modified xsi:type="dcterms:W3CDTF">2023-05-10T14:45:35Z</dcterms:modified>
</cp:coreProperties>
</file>