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operações" sheetId="1" r:id="rId3"/>
    <sheet state="hidden" name="ID" sheetId="2" r:id="rId4"/>
    <sheet state="hidden" name="Entes" sheetId="3" r:id="rId5"/>
  </sheets>
  <definedNames/>
  <calcPr/>
</workbook>
</file>

<file path=xl/sharedStrings.xml><?xml version="1.0" encoding="utf-8"?>
<sst xmlns="http://schemas.openxmlformats.org/spreadsheetml/2006/main" count="4582" uniqueCount="1602">
  <si>
    <t>Subprefeitura Butantã</t>
  </si>
  <si>
    <t>SUB-BT</t>
  </si>
  <si>
    <t>Butantã</t>
  </si>
  <si>
    <t>Praça Dr.Jose Benedicto Decoussau na Rua Augusto Faria e Rua Sebastião Martins</t>
  </si>
  <si>
    <t>Nº48/PR-BT/2018</t>
  </si>
  <si>
    <t>6031.2018/0000371-0</t>
  </si>
  <si>
    <t>EDSON YUKIO ARAGUCHI</t>
  </si>
  <si>
    <t>113.910.448-94</t>
  </si>
  <si>
    <t>Termo de Cooperação</t>
  </si>
  <si>
    <t>Praça</t>
  </si>
  <si>
    <t>Conservação / Limpeza e Plantio</t>
  </si>
  <si>
    <t>Praça entre as Ruas Padre Justino e Dr. Cicero de Alencar-Butantã</t>
  </si>
  <si>
    <t>Nº91/SUB0BT/2019</t>
  </si>
  <si>
    <t>6031.2019/0004.446-9</t>
  </si>
  <si>
    <t>PAULO CAMPOS JUNIOR</t>
  </si>
  <si>
    <t>04.052.854/0001-72</t>
  </si>
  <si>
    <t>13/12/2019</t>
  </si>
  <si>
    <t>19/02/2020</t>
  </si>
  <si>
    <t>Praça Debora de Souza Alexandre,</t>
  </si>
  <si>
    <t>Nº26/SUB-BT/2021</t>
  </si>
  <si>
    <t>6031.2020/0003.975-0</t>
  </si>
  <si>
    <t>CARLOS EDUARDO PAIVA</t>
  </si>
  <si>
    <t>05.498.826/0001-46</t>
  </si>
  <si>
    <t>Cconservação/limpeza e Platnio</t>
  </si>
  <si>
    <t>27/02/2021</t>
  </si>
  <si>
    <t>Tunel Sebastião Camargo</t>
  </si>
  <si>
    <t>Nº93/SUB-BT/2019</t>
  </si>
  <si>
    <t>6031.2019/0004.445-0</t>
  </si>
  <si>
    <t>CARLOS FRANCO NEVES</t>
  </si>
  <si>
    <t>03.504.892/0001-56</t>
  </si>
  <si>
    <t>Outros (Descrito na Finalidade)</t>
  </si>
  <si>
    <t>13/12/2022</t>
  </si>
  <si>
    <t>15/12/2020</t>
  </si>
  <si>
    <t>Morumbi</t>
  </si>
  <si>
    <t>Roberto Gomes Pedrosa</t>
  </si>
  <si>
    <t>Nº11/SUB-BT/2021</t>
  </si>
  <si>
    <t>6031.2020/0004.074-0</t>
  </si>
  <si>
    <t>São Paulo Futebol Clube</t>
  </si>
  <si>
    <t>60.517.984/001-04</t>
  </si>
  <si>
    <t>Conservação/Limpeza e Plano</t>
  </si>
  <si>
    <t>21/01/2023</t>
  </si>
  <si>
    <t>Praça na Rua Alexandre Jose  Barbosa, esquina com a Av. Vital Brasil e Av. Caxingui</t>
  </si>
  <si>
    <t>Nº17/SUB-BT/2021</t>
  </si>
  <si>
    <t>6031.2020/0004.073-2</t>
  </si>
  <si>
    <t>POSTO UNIVERSIDADE LTDA</t>
  </si>
  <si>
    <t>61.250.288/0001-47</t>
  </si>
  <si>
    <t>Vila Sonia</t>
  </si>
  <si>
    <t>Praça Santo Antonio do Caxingui, Rua Padre Eugenio Lopes em frente ao nº361, Vila Progredior</t>
  </si>
  <si>
    <t>Nº19/SUB-BT/2021</t>
  </si>
  <si>
    <t>6031.2020/0004.079-1</t>
  </si>
  <si>
    <t>CRISTALIA PRODUTOS QUIMICOS FARMACEUTICOS LTDA</t>
  </si>
  <si>
    <t>44.734.671/0021.03</t>
  </si>
  <si>
    <t>Praça Três Corações</t>
  </si>
  <si>
    <t>Nº65/SUB-BT/2021</t>
  </si>
  <si>
    <t>6031.2021/0002.085-7</t>
  </si>
  <si>
    <t>CARLOS ROBERTO CAMPOS</t>
  </si>
  <si>
    <t>10.518.977/0001-59</t>
  </si>
  <si>
    <t>Av. Tajura/Rua Fonseca Teixeira</t>
  </si>
  <si>
    <t>Nº06/PR-BT/2019</t>
  </si>
  <si>
    <t>6031.2019/0000126-3</t>
  </si>
  <si>
    <t>Eutimiro Antonio Muniz Lisoni</t>
  </si>
  <si>
    <t>43.488.642/0001-94</t>
  </si>
  <si>
    <t>Área Púbica: Conservação / Limpeza e Plantio</t>
  </si>
  <si>
    <t>Vila Sônia</t>
  </si>
  <si>
    <t>Praça Ressurreição</t>
  </si>
  <si>
    <t>Nº101/SUB-BT/2021</t>
  </si>
  <si>
    <t>6031.2021/0004.456-0</t>
  </si>
  <si>
    <t>Nilson de Almeida Oliveira</t>
  </si>
  <si>
    <t>61.378.766/0107-57</t>
  </si>
  <si>
    <t>Av. Gal Cavalcante de Albuquerque , ao lado do numero 531</t>
  </si>
  <si>
    <t>6031.2021/0004.845-0</t>
  </si>
  <si>
    <t>Renato Restivo</t>
  </si>
  <si>
    <t>129.201.038-06</t>
  </si>
  <si>
    <t>Praça Oliveira Penteado</t>
  </si>
  <si>
    <t>94/PR-BT/2018</t>
  </si>
  <si>
    <t>6031.2018/0000.988-2</t>
  </si>
  <si>
    <t>Debora Rhein Silva</t>
  </si>
  <si>
    <t>18.943.327/0001-62</t>
  </si>
  <si>
    <t>Praça Senador Auro Soares de Moura Andrade</t>
  </si>
  <si>
    <t>Nº61/SUB-BT/2021</t>
  </si>
  <si>
    <t>6031.2021/0003.131-0</t>
  </si>
  <si>
    <t>FABIANA JHSF</t>
  </si>
  <si>
    <t>10.139.781/0001-94</t>
  </si>
  <si>
    <t>Praça Vitória Regia</t>
  </si>
  <si>
    <t>Nº69/SUB-BT/2021</t>
  </si>
  <si>
    <t>6031.2021/0003.132-8</t>
  </si>
  <si>
    <t>17/08/2021</t>
  </si>
  <si>
    <t>Praça Olimar Feder Agosti</t>
  </si>
  <si>
    <t>Nº60/SUB-BT/2021</t>
  </si>
  <si>
    <t>6031.2021/0003.130-1</t>
  </si>
  <si>
    <t>10.139.781/0001-62</t>
  </si>
  <si>
    <t>Av. Jorge João Saad/Av. Prof. Francisco Morato</t>
  </si>
  <si>
    <t>111/SUB-BT/2018</t>
  </si>
  <si>
    <t>6031.2018/0001.429-0</t>
  </si>
  <si>
    <t>Maria José Leite Sangion</t>
  </si>
  <si>
    <t>03.576.826/0001-91</t>
  </si>
  <si>
    <t>Canteiro Central</t>
  </si>
  <si>
    <t>Av. Lineu de Paula Machado/Av.São Valério/Rua Dr. Augusto Queiroz</t>
  </si>
  <si>
    <t>126/SUB-BT/2018</t>
  </si>
  <si>
    <t>6031.2018/0001.803-2</t>
  </si>
  <si>
    <t>Praça Professor Americo de Moura/São Valério</t>
  </si>
  <si>
    <t>127/SUB-BT/2018</t>
  </si>
  <si>
    <t>6031.2018/0001.801-6</t>
  </si>
  <si>
    <t>Praça Isaí Leiner</t>
  </si>
  <si>
    <t>Nº20/SUB-BT/2019</t>
  </si>
  <si>
    <t>6031.2019/0000.718-0</t>
  </si>
  <si>
    <t>Fabio Augusto Afonso Fadel</t>
  </si>
  <si>
    <t>04.238.897/0002-28</t>
  </si>
  <si>
    <t>Vila Dalva</t>
  </si>
  <si>
    <t>Rua Pedro da Costa Ribeiro, 295/Rua Embuia</t>
  </si>
  <si>
    <t>130/PR-BT/2018</t>
  </si>
  <si>
    <t>6031.2018/0001.983-7</t>
  </si>
  <si>
    <t>Taiko Tomita Tiano</t>
  </si>
  <si>
    <t>006.946.358-12</t>
  </si>
  <si>
    <t>Rua Otavio Ferrari</t>
  </si>
  <si>
    <t>115/SUB-BT/2018</t>
  </si>
  <si>
    <t>6031.2018/0001.583-1</t>
  </si>
  <si>
    <t>Fauzi Nacle Hamuche</t>
  </si>
  <si>
    <t>56.940.158/0001-04</t>
  </si>
  <si>
    <t xml:space="preserve">Av. Pirajussara </t>
  </si>
  <si>
    <t>110/SUB-BT/2018</t>
  </si>
  <si>
    <t>6031.2018/0001.430-4</t>
  </si>
  <si>
    <t>Av. Eng. Oscar Americano/Rua das Amoreiras</t>
  </si>
  <si>
    <t>120/SUB-BT/2018</t>
  </si>
  <si>
    <t>6031.2018/0001.728-1</t>
  </si>
  <si>
    <t>Carlos Franco Neves</t>
  </si>
  <si>
    <t>Bico de Praça: Conservação / Limpeza e Plantio</t>
  </si>
  <si>
    <t>Av. Eliseu de Almeida/Av. Imigrante Japonês</t>
  </si>
  <si>
    <t>109/SUB-BT/2018</t>
  </si>
  <si>
    <t>6031.2018/0001.432-0</t>
  </si>
  <si>
    <t>Antonio Reche Canovas</t>
  </si>
  <si>
    <t>46.269.510/0001-60</t>
  </si>
  <si>
    <t>Av. Eliseu de Almeida 3.307</t>
  </si>
  <si>
    <t>Nº23/SUB-BT/2019</t>
  </si>
  <si>
    <t>6031.2019/0000.400-9</t>
  </si>
  <si>
    <t>Vinicius Ottone Mastrorosa</t>
  </si>
  <si>
    <t>18.529.062/0001-50</t>
  </si>
  <si>
    <t>Rua Vicente Oropallo</t>
  </si>
  <si>
    <t>125/SUB-BT/2018</t>
  </si>
  <si>
    <t>6031.2018/0001.829-6</t>
  </si>
  <si>
    <t>Carlos Eduardo Hasegawa</t>
  </si>
  <si>
    <t>02.378.423/0001-75</t>
  </si>
  <si>
    <t>Lisboa, Rua Francisco Preto</t>
  </si>
  <si>
    <t>123/SUB-BT/2018</t>
  </si>
  <si>
    <t>6031.2018/0001.834-2</t>
  </si>
  <si>
    <t>Rua Dr. Jose Benedito Viana de Moraes</t>
  </si>
  <si>
    <t>124/SUB-BT/2018</t>
  </si>
  <si>
    <t>6031.2018/0001.831-8</t>
  </si>
  <si>
    <t>02.378423/0001-75</t>
  </si>
  <si>
    <t>R. Prof. Dr. Antonio Barros de Ulhoa Cintra/Rua Joapé/RuaInocêncio Nogueira/Av. Marginal Pinheiros</t>
  </si>
  <si>
    <t>Praça na Rua Sebastião Anuciate/Natal Pigasso e Av.Inter Continental</t>
  </si>
  <si>
    <t>92/PR-BT/2018</t>
  </si>
  <si>
    <t>6031.2018/0000845-2</t>
  </si>
  <si>
    <t>Francilene Martins Vieira Fernandes</t>
  </si>
  <si>
    <t>045.845.194-04</t>
  </si>
  <si>
    <t>Raposo Tavares</t>
  </si>
  <si>
    <t>Praça Emile Bernard</t>
  </si>
  <si>
    <t>96/PR-BT/2016</t>
  </si>
  <si>
    <t>6031.2018/0001.066-0</t>
  </si>
  <si>
    <t>Sueli Bragança</t>
  </si>
  <si>
    <t>156.316.588-01</t>
  </si>
  <si>
    <t>Praça Desembargador Percival de Oliveira</t>
  </si>
  <si>
    <t>Nº79/SUB-BT/2019</t>
  </si>
  <si>
    <t>6031.2019/0003.017-4</t>
  </si>
  <si>
    <t>Ricardo Franco Zuccolo</t>
  </si>
  <si>
    <t>05.820.497/0001-08</t>
  </si>
  <si>
    <t>Av. Alcides Sangiardi - Cidade Jardim</t>
  </si>
  <si>
    <t>Nº76/SUB-BT/2019</t>
  </si>
  <si>
    <t>6031.2019/0002.867-6</t>
  </si>
  <si>
    <t>00.126.464/0001-49</t>
  </si>
  <si>
    <t>Av. Pirajussara, 4203</t>
  </si>
  <si>
    <t>Nº82/SUB-BT/2019</t>
  </si>
  <si>
    <t>6031.2019/0003.044-1</t>
  </si>
  <si>
    <t>SS&amp;P PROJETOS LTDA</t>
  </si>
  <si>
    <t>55.634.596/0001-73</t>
  </si>
  <si>
    <t>Av. Pirajussara, entre as Ruas Ivo de Campos Marques e Batolomeu Bandinelli</t>
  </si>
  <si>
    <t>Nº83/SUB-BT/2019</t>
  </si>
  <si>
    <t>6031.2019/0003.046-8</t>
  </si>
  <si>
    <t>Rio Pequeno</t>
  </si>
  <si>
    <t>Rua Cineasta Alberto Cavalcanti</t>
  </si>
  <si>
    <t>Nº41/SUB-BT/2021</t>
  </si>
  <si>
    <t>6031.2021/0000.831-8</t>
  </si>
  <si>
    <t>Maria Estela Guedes</t>
  </si>
  <si>
    <t>12.430.935/0001-97</t>
  </si>
  <si>
    <t>Praça Jose Guilherme de Araujo Jorge, nas confl.das Ruas Amoreiras com Pessegueiros em Cidade Jardim</t>
  </si>
  <si>
    <t>Nº30/SUB-BT/2021</t>
  </si>
  <si>
    <t>6031.2021/0000.307-3</t>
  </si>
  <si>
    <t>SOCIEDADE AMIGOS COLINA DAS FLORES</t>
  </si>
  <si>
    <t>Area Publica Conservação/Limpeza e Plantio</t>
  </si>
  <si>
    <t>Ponte Eng. Roberto Rossi Zuccolo</t>
  </si>
  <si>
    <t>15/PR-BT/2017</t>
  </si>
  <si>
    <t>2017-0.029.632-5</t>
  </si>
  <si>
    <t>VR Entreposto Dec e Comercio Ltda</t>
  </si>
  <si>
    <t>Rua Cinco Folhas, 110</t>
  </si>
  <si>
    <t>16/PR-BT/2017</t>
  </si>
  <si>
    <t>2017-0.038.485-2</t>
  </si>
  <si>
    <t>Washington A. Correa</t>
  </si>
  <si>
    <t>914.060.138-20</t>
  </si>
  <si>
    <t>Rua Pasquale Gallupi</t>
  </si>
  <si>
    <t>17/PR-BT/2017</t>
  </si>
  <si>
    <t>2017-0.040.128-5</t>
  </si>
  <si>
    <t>Roberto Kalil Issa</t>
  </si>
  <si>
    <t>374.193.078-49</t>
  </si>
  <si>
    <t>Praça Embaixador Alcides da Costa Filho</t>
  </si>
  <si>
    <t>02/SUB-BT/2021</t>
  </si>
  <si>
    <t>6031.2020/0003.976-9</t>
  </si>
  <si>
    <t>Carlos Eduardo Lima Paiva</t>
  </si>
  <si>
    <t>05.498.826/0001-46.</t>
  </si>
  <si>
    <t>21/01/2021</t>
  </si>
  <si>
    <t>Rua Prof. José Horácio M. Teixeira/Av.Guilherme Dumont Villares</t>
  </si>
  <si>
    <t>19/PR-BT/2017</t>
  </si>
  <si>
    <t>2017-0.042.790-0</t>
  </si>
  <si>
    <t>Ari Piestum</t>
  </si>
  <si>
    <t>042.146.538-74</t>
  </si>
  <si>
    <t>Av. Jorge João Saad/Rua Regente Leon Kanefskay</t>
  </si>
  <si>
    <t>20/PR-BT/2017</t>
  </si>
  <si>
    <t>2017-0.044.321-2</t>
  </si>
  <si>
    <t>Rogerio Aparecido Silva Souza</t>
  </si>
  <si>
    <t>68.293.877/0001-51</t>
  </si>
  <si>
    <t>Av. Monsenhor Manfredo Leite</t>
  </si>
  <si>
    <t>23/PR-BT/2017</t>
  </si>
  <si>
    <t>2017-0.049.094-6</t>
  </si>
  <si>
    <t>Alexandre Gonsales Alonso</t>
  </si>
  <si>
    <t>49.725.674/0001-42</t>
  </si>
  <si>
    <t>Canteiro Lateral : Conservação / Limpeza e Plantio</t>
  </si>
  <si>
    <t>Av. dos Três Poderes/Rua Valdomiro Fleury</t>
  </si>
  <si>
    <t>Nº10/SUB-BT/2021</t>
  </si>
  <si>
    <t>6031.2020/0004.003-1</t>
  </si>
  <si>
    <t xml:space="preserve">Supermercado Recanto da Economia </t>
  </si>
  <si>
    <t>62.568.589/0001-86</t>
  </si>
  <si>
    <t>21/01/2024</t>
  </si>
  <si>
    <t>23/06/2021</t>
  </si>
  <si>
    <t>Rua Bernardo de Moraes, 100</t>
  </si>
  <si>
    <t>26/PR-BT/2017</t>
  </si>
  <si>
    <t>2017-0.055.294-1</t>
  </si>
  <si>
    <t>Claudio do Nascimento</t>
  </si>
  <si>
    <t>220.471.638-38</t>
  </si>
  <si>
    <t>Praça Alberto Shneeberger</t>
  </si>
  <si>
    <t>Nº09/SUB-BT/2021</t>
  </si>
  <si>
    <t>6031.2020/0004.002-3</t>
  </si>
  <si>
    <t>Condominio Portal do Morumbi</t>
  </si>
  <si>
    <t>58.822.003.0001-77</t>
  </si>
  <si>
    <t>Rua Mal. Hastinfilo de Moura, 338</t>
  </si>
  <si>
    <t>Nº08/SUB-BT/2021</t>
  </si>
  <si>
    <t>6031.2020/0004.001-5</t>
  </si>
  <si>
    <t>53.822.003/0001-77</t>
  </si>
  <si>
    <t>Av. Pirajussara, alt. Do 5000</t>
  </si>
  <si>
    <t>Nº45/SUB-BT/2020</t>
  </si>
  <si>
    <t>6031.2020/0003.160-1</t>
  </si>
  <si>
    <t>Antonio Monaco</t>
  </si>
  <si>
    <t>53.633.665/0001-07</t>
  </si>
  <si>
    <t>22/10/2020</t>
  </si>
  <si>
    <t>Av. Francisco Morato, 3363/Rua Canio Rizzo</t>
  </si>
  <si>
    <t>Nº44/SUB-BT/2020</t>
  </si>
  <si>
    <t>6031.2020/0003.159-8</t>
  </si>
  <si>
    <t>Antônio Monaco</t>
  </si>
  <si>
    <t>25/PR-BT/2017</t>
  </si>
  <si>
    <t>2017-0.075.239-8</t>
  </si>
  <si>
    <t>Taula Montesano Armentano Honain</t>
  </si>
  <si>
    <t>109.136.148-74</t>
  </si>
  <si>
    <t>Avenida Morumbi ao lado nº 1722 Rua Madureira</t>
  </si>
  <si>
    <t>2017-0.077.614-9</t>
  </si>
  <si>
    <t>Luiz Ricardo Stocco Coelho</t>
  </si>
  <si>
    <t>nd</t>
  </si>
  <si>
    <t>Viela: Conservação / Limpeza e Plantio</t>
  </si>
  <si>
    <t>Gehard Ett na Rua Dr. Edmundo de Jose Lima alt. 162</t>
  </si>
  <si>
    <t>32/PR-BT/2017</t>
  </si>
  <si>
    <t>2017-0.082.358-9</t>
  </si>
  <si>
    <t>Carlos Eduardo de NC.Coutinho</t>
  </si>
  <si>
    <t>Professor Cardim, Jardim Everest</t>
  </si>
  <si>
    <t>Nº41/SUB-BT/2020</t>
  </si>
  <si>
    <t>6031.2020/0002.277-7</t>
  </si>
  <si>
    <t>Felipe</t>
  </si>
  <si>
    <t>48.060.727/0001-90</t>
  </si>
  <si>
    <t>30/09/2020</t>
  </si>
  <si>
    <t>Rua Bento de Barros com Alcides Moreira com Hugo Prado e Jose Martioli e Jd. Amaralina</t>
  </si>
  <si>
    <t>Nº71/PR-BT/2019</t>
  </si>
  <si>
    <t>6031.2019/0002.729-7</t>
  </si>
  <si>
    <t>VITOR BARBOSA DA SILVA</t>
  </si>
  <si>
    <t>352.609.058-06</t>
  </si>
  <si>
    <t>Avenida da Mata com Jose Callander dos Reis</t>
  </si>
  <si>
    <t>04/PR-BT/2017</t>
  </si>
  <si>
    <t>2017-0.090.410-4</t>
  </si>
  <si>
    <t>Lindenberg Sena Guimarães</t>
  </si>
  <si>
    <t>348.280.418-42</t>
  </si>
  <si>
    <t>Praça Eduardo Antonio dos Santos</t>
  </si>
  <si>
    <t>Nº44/PR-BT/2018</t>
  </si>
  <si>
    <t>6031.2018/0000345-0</t>
  </si>
  <si>
    <t>Davi Manoel da Silva</t>
  </si>
  <si>
    <t>27.767.637/0001-64</t>
  </si>
  <si>
    <t>Praça Santo Antonio do Caxingui</t>
  </si>
  <si>
    <t>N°10/SP-BT/2017</t>
  </si>
  <si>
    <t>2017-0.093.346-5</t>
  </si>
  <si>
    <t>Ogari de Castro Pacheco</t>
  </si>
  <si>
    <t>44.734.671/0021-03</t>
  </si>
  <si>
    <t>Prox. Rua Pier Cavali</t>
  </si>
  <si>
    <t>47m</t>
  </si>
  <si>
    <t>Nº91/PR-BT/2017</t>
  </si>
  <si>
    <t>2017-0.097.714-4</t>
  </si>
  <si>
    <t>Magno Silva</t>
  </si>
  <si>
    <t>769.206.588-87</t>
  </si>
  <si>
    <t>Padre Lindolfo Esteves</t>
  </si>
  <si>
    <t>Nº23/SUB-BT/2021</t>
  </si>
  <si>
    <t>6031.2021/0000.309-0</t>
  </si>
  <si>
    <t>Catapari</t>
  </si>
  <si>
    <t>Nº31/SUB-BT/2021</t>
  </si>
  <si>
    <t>6031.2021/0000.308-1</t>
  </si>
  <si>
    <t>23/09/2021</t>
  </si>
  <si>
    <t>R. Jorge João Saad com Leon Kaniesfskay</t>
  </si>
  <si>
    <t>Nº34/SUB-BT/2021</t>
  </si>
  <si>
    <t>6031.2021/0000.755-9</t>
  </si>
  <si>
    <t>Wilma Arbol</t>
  </si>
  <si>
    <t>08-379.764/0001.74</t>
  </si>
  <si>
    <t>17/04/2021</t>
  </si>
  <si>
    <t>17/04/2024</t>
  </si>
  <si>
    <t>Rua Julieta do Espirito Santo Pinheiro, nº 256 e 372</t>
  </si>
  <si>
    <t>411m</t>
  </si>
  <si>
    <t>Nº48/SUB-BT/2020</t>
  </si>
  <si>
    <t>6031.2020/0003.387-6</t>
  </si>
  <si>
    <t>Antonio Carlos Parente</t>
  </si>
  <si>
    <t>61.061.875-0001/98</t>
  </si>
  <si>
    <t>Avenida Oscar Americano</t>
  </si>
  <si>
    <t>Nº63/PR-BT/2017</t>
  </si>
  <si>
    <t>6031.2017/0000388-2</t>
  </si>
  <si>
    <t>Gilberto Lucio Ferreira</t>
  </si>
  <si>
    <t>07.970.576/0001-20</t>
  </si>
  <si>
    <t>Jose Maria Homen de Montes</t>
  </si>
  <si>
    <t>Nº66/PR-BT/2017</t>
  </si>
  <si>
    <t>6031.2017/0000389-0</t>
  </si>
  <si>
    <t>Marcos Lima Verde Guimarães Jr.</t>
  </si>
  <si>
    <t>04.310.392/0001-46</t>
  </si>
  <si>
    <t>Rua Ramondetti Giacomo, n º 545,</t>
  </si>
  <si>
    <t>96m</t>
  </si>
  <si>
    <t>Nº67/PR-BT/2017</t>
  </si>
  <si>
    <t>6031.2017/0000391-2</t>
  </si>
  <si>
    <t>Aguinaldo Inacir Ferreira</t>
  </si>
  <si>
    <t>62.955.505/3240-60</t>
  </si>
  <si>
    <t>Vera Ferraz Donnini</t>
  </si>
  <si>
    <t>Nº49/SUB-BT/2020</t>
  </si>
  <si>
    <t>6031.2020/0003.392-2</t>
  </si>
  <si>
    <t>Antônio Carlos Parente</t>
  </si>
  <si>
    <t>61.061.875/0001-98</t>
  </si>
  <si>
    <t>Deputado Dario de Barros</t>
  </si>
  <si>
    <t>Nº53/SUB-BT/2021</t>
  </si>
  <si>
    <t>6031.2021/0001.325-7</t>
  </si>
  <si>
    <t>Isabella Yuki Kobayashi</t>
  </si>
  <si>
    <t>07.303.492/0001-33</t>
  </si>
  <si>
    <t>18/06/2021</t>
  </si>
  <si>
    <t>21/06/2021</t>
  </si>
  <si>
    <t>Luiz Vieira da Silva</t>
  </si>
  <si>
    <t>Nº64/PR-BR/2017</t>
  </si>
  <si>
    <t>6031.2017/0000395-5</t>
  </si>
  <si>
    <t>Pedro Jose de Santana</t>
  </si>
  <si>
    <t>022.727.838-05</t>
  </si>
  <si>
    <t>Jardim Olimpia</t>
  </si>
  <si>
    <t>Final da Rua Dionisio Pedrelini</t>
  </si>
  <si>
    <t>Nº50/SUB-BT/2020</t>
  </si>
  <si>
    <t>6031.2020/0003.389-2</t>
  </si>
  <si>
    <t>Confluencia das Ruas Julieta do Espirito Santo e Dionisio Pedreline, Jardim OLimpia</t>
  </si>
  <si>
    <t>Nº52/SUB-BT/2020</t>
  </si>
  <si>
    <t>6031.2020/0003.388-4</t>
  </si>
  <si>
    <t>Avenida Giovanni Gronchi, 718, Esq.Praça Vinicius de Moraes</t>
  </si>
  <si>
    <t>Nº61/PR-BT/2017</t>
  </si>
  <si>
    <t>6031.2017/0000398-0</t>
  </si>
  <si>
    <t>Antonio Carlos F.Bonetti</t>
  </si>
  <si>
    <t>25.021.995/0001-06</t>
  </si>
  <si>
    <t>Av. Jorge João Saad, Trecho entre a Av. Giovanni Gronchi e a Rua Regente Leon Kaniefsk</t>
  </si>
  <si>
    <t>Nº62/PR-BT/2017</t>
  </si>
  <si>
    <t>6031.2017/0000400-5</t>
  </si>
  <si>
    <t>Rua Nelson Frank</t>
  </si>
  <si>
    <t>Nº51/SUB-BT/2020</t>
  </si>
  <si>
    <t>6031.2020/0003.391-4</t>
  </si>
  <si>
    <t>Alexandre Jose Barbosa Esq. Vital Brasil com Caxingui</t>
  </si>
  <si>
    <t>238m</t>
  </si>
  <si>
    <t>Nº49/PR-BT/2017</t>
  </si>
  <si>
    <t>6031.2017/0000402-1</t>
  </si>
  <si>
    <t>João Gilberto Pires</t>
  </si>
  <si>
    <t>61-250.288/0001-47</t>
  </si>
  <si>
    <t>Avenida Giovanni Gronchi 3108</t>
  </si>
  <si>
    <t>Nº 52/PR-BT/2017</t>
  </si>
  <si>
    <t>6031.2017/0000411-0</t>
  </si>
  <si>
    <t>Vivian Ribeiro</t>
  </si>
  <si>
    <t>60.840.055/0296-28</t>
  </si>
  <si>
    <t>Rua Santiago Ferrer e Rua Inácio Cervates</t>
  </si>
  <si>
    <t>Nº75/PR-BT/2017</t>
  </si>
  <si>
    <t>6031.2017/0000424-2</t>
  </si>
  <si>
    <t>Henrique Lourenço</t>
  </si>
  <si>
    <t>14.839.018/0001-96</t>
  </si>
  <si>
    <t>Proximo a Rua Jabebira e Rua Todos os Santos</t>
  </si>
  <si>
    <t>Nº100/SUB-BT/2021</t>
  </si>
  <si>
    <t>6031.2021/0004.537-0</t>
  </si>
  <si>
    <t>SERGIO AMALFI PORTO</t>
  </si>
  <si>
    <t>105.045.178-30</t>
  </si>
  <si>
    <t>10.800,00</t>
  </si>
  <si>
    <t>Rua Padre Lamberto Martin, 52,</t>
  </si>
  <si>
    <t>4.400M</t>
  </si>
  <si>
    <t>Nº60/PR-BT/2017</t>
  </si>
  <si>
    <t>6031.2017/0000426-9</t>
  </si>
  <si>
    <t>Regina Maria Ramos</t>
  </si>
  <si>
    <t>073.724.638-31</t>
  </si>
  <si>
    <t>Av. Corifeu de Azevedo Marques</t>
  </si>
  <si>
    <t>Nº55/PR-BT/2017</t>
  </si>
  <si>
    <t>6031.2017/0000427-7</t>
  </si>
  <si>
    <t>Andreia Emidio da Rocha</t>
  </si>
  <si>
    <t>12.544.349/0001-73</t>
  </si>
  <si>
    <t>Maxx Lother Hass</t>
  </si>
  <si>
    <t>Nº57/PR-BT/2017</t>
  </si>
  <si>
    <t>6031.2017/0000443-9</t>
  </si>
  <si>
    <t>Antonio Roberto de Matos</t>
  </si>
  <si>
    <t>51.945.632/0001-69</t>
  </si>
  <si>
    <t>Rua Heitor Ministro Bastos Tigre, 81</t>
  </si>
  <si>
    <t>Nº02/01/2019</t>
  </si>
  <si>
    <t>6031.2018/0002.116-5</t>
  </si>
  <si>
    <t>LAVIERI ADMINISTRADOR E IMOBILIARIA SS LTDA</t>
  </si>
  <si>
    <t>Av. Magalhães de Castro e Rua Francisco Tramontano</t>
  </si>
  <si>
    <t>Nº56/PR-BT/2017</t>
  </si>
  <si>
    <t>6031.2017/0000472-2</t>
  </si>
  <si>
    <t>Roberto Gomes Pedrosa-420,30m-Julis Reme com Adelina Ascar</t>
  </si>
  <si>
    <t>420.30</t>
  </si>
  <si>
    <t>Nº58/PR-BT/2017</t>
  </si>
  <si>
    <t>6031.2017/0000473-0</t>
  </si>
  <si>
    <t>Carlos Augusto de Barros e Silva</t>
  </si>
  <si>
    <t>60.517.984/0001-04</t>
  </si>
  <si>
    <t>Roberto Gomes Pedrosa-960m</t>
  </si>
  <si>
    <t>Nº 76/PR-BT/2017</t>
  </si>
  <si>
    <t>6031.2017/0000474-9</t>
  </si>
  <si>
    <t>Boaventura de Andrade-Rua Eusebio de Souza c/Av. General Cavalcante de Albuquerque</t>
  </si>
  <si>
    <t>Nº 80/PR-BT/2017</t>
  </si>
  <si>
    <t>6031.2017/0000475-7</t>
  </si>
  <si>
    <t>Rodrigo Luiz Accioli</t>
  </si>
  <si>
    <t>00.028.986/0001-08</t>
  </si>
  <si>
    <t>Rua Francisco Luz, 68, Jd. Boa Vista</t>
  </si>
  <si>
    <t>Nº51/PR-BT/2017</t>
  </si>
  <si>
    <t>6031.2017/0000478-1</t>
  </si>
  <si>
    <t>Luiz Claudio Galvão dos Santos</t>
  </si>
  <si>
    <t>043.247.928-59</t>
  </si>
  <si>
    <t>Av. General Asdrubal da Cunha Gal</t>
  </si>
  <si>
    <t>Nº69/pr-bt/2017</t>
  </si>
  <si>
    <t>6031.2017/0000498-6</t>
  </si>
  <si>
    <t>Cristiano Rocha Brito</t>
  </si>
  <si>
    <t>660392825-68</t>
  </si>
  <si>
    <t>Entroncamento da Av.Vital Brasil com Av. Prof. Francisco Morato</t>
  </si>
  <si>
    <t>Nº14/SUB-BT/2021</t>
  </si>
  <si>
    <t>6031.2020/0003.539-9</t>
  </si>
  <si>
    <t>SOCIAL SERVICE COMUNICAÇÃO MKT DE RESPONSABILIDADE LTDA</t>
  </si>
  <si>
    <t>Apoloide-proximo a Av.Prof.Francisco Morato e Rua Buarque e Rua Aparão</t>
  </si>
  <si>
    <t>Nº 81/PR-BT/2017</t>
  </si>
  <si>
    <t>6031.2017/0000500-1</t>
  </si>
  <si>
    <t>Victor Ermlich Favoretto</t>
  </si>
  <si>
    <t>16.648.435/0001-21</t>
  </si>
  <si>
    <t>Santos Coibra</t>
  </si>
  <si>
    <t>Nº54/SUB-BT/2020</t>
  </si>
  <si>
    <t>6031.2020/0003.531-3</t>
  </si>
  <si>
    <t>Michel Farah</t>
  </si>
  <si>
    <t>Rua Marcolino Vaz Figueira em frente ao nº 110</t>
  </si>
  <si>
    <t>Nº01/SUB-BT/2021</t>
  </si>
  <si>
    <t>6031.2020/0003.974-2</t>
  </si>
  <si>
    <t>Adautina Maria dos Santos Brito</t>
  </si>
  <si>
    <t>310.002.824-49</t>
  </si>
  <si>
    <t>23/026/2021</t>
  </si>
  <si>
    <t>Poeta Carlos Drumond de Andrade</t>
  </si>
  <si>
    <t>Nº16/SUB-BT/2021</t>
  </si>
  <si>
    <t>6031.2020/0004.061-9</t>
  </si>
  <si>
    <t>THAYS BAPTISTA SBRIGHI</t>
  </si>
  <si>
    <t>043.607.698-57</t>
  </si>
  <si>
    <t>Esquina Ruas Ivan Popov e Inacio Cervantes</t>
  </si>
  <si>
    <t>450m</t>
  </si>
  <si>
    <t>Nº07/SUB-BT/2021</t>
  </si>
  <si>
    <t>6031.2020/0003.987-4</t>
  </si>
  <si>
    <t>Solon Yasuhiko Tadusagawa</t>
  </si>
  <si>
    <t>258.683.228-0</t>
  </si>
  <si>
    <t>Em frente a Igreja São Camilo, Rua Inacio Cevantes</t>
  </si>
  <si>
    <t>445m</t>
  </si>
  <si>
    <t>Nº05/SUB-BT/2021</t>
  </si>
  <si>
    <t>6031.2020/0003.988-2</t>
  </si>
  <si>
    <t>Rua Inácio Cervantes e COOPER CLUBE</t>
  </si>
  <si>
    <t>330,10m</t>
  </si>
  <si>
    <t>Nº06/SUB-BT/2021</t>
  </si>
  <si>
    <t>6031.2020/0003.999-8</t>
  </si>
  <si>
    <t>Rotatória</t>
  </si>
  <si>
    <t>Celina, Rua Sylvio Lagreca em frente ao guincho Raposo Tavares</t>
  </si>
  <si>
    <t>1.700m</t>
  </si>
  <si>
    <t>Nº04/SUB-BT/2021</t>
  </si>
  <si>
    <t>6031.2020/0003.986-6</t>
  </si>
  <si>
    <t>Rua Jeronimo Fernandes, 218</t>
  </si>
  <si>
    <t>Nº70/SUB-BT/2021</t>
  </si>
  <si>
    <t>6031.2021/0003.170-0</t>
  </si>
  <si>
    <t>DEJANIR SCALDELAI</t>
  </si>
  <si>
    <t>034.912.078-19</t>
  </si>
  <si>
    <t>15/09/2021</t>
  </si>
  <si>
    <t>Rua Dedaleiro</t>
  </si>
  <si>
    <t>Nº86/PR-BT/2017</t>
  </si>
  <si>
    <t>6031.2017/0000560-5</t>
  </si>
  <si>
    <t>Gentil Vieira Lopes</t>
  </si>
  <si>
    <t>064.188.118-52</t>
  </si>
  <si>
    <t>Rua Alcebiades Delamare com Av. Alcides Sangirardi</t>
  </si>
  <si>
    <t>Nº92/PR-BT/2017</t>
  </si>
  <si>
    <t>6031.2017/0000628-8</t>
  </si>
  <si>
    <t>Antonio Carlos Bonetti</t>
  </si>
  <si>
    <t>25021995/0001-06</t>
  </si>
  <si>
    <t>Canteiro: Conservação / Limpeza e Plantio</t>
  </si>
  <si>
    <t>Rotary Morumbi - Rua Adalivia de Toledo com Av. Morumbi</t>
  </si>
  <si>
    <t>Nº03/SUB-BT/2021</t>
  </si>
  <si>
    <t>6031.2020/0003.985-8</t>
  </si>
  <si>
    <t>BL LEILÕES VENDAS DIRETAS E AVALIAÇÕES IMOVEIS</t>
  </si>
  <si>
    <t>34.092.562/0001-24</t>
  </si>
  <si>
    <t>Rua Carlos Cyrillo Jr. Com Av. Giovanni Gronchi</t>
  </si>
  <si>
    <t>Nº25/SUB-BT/2021</t>
  </si>
  <si>
    <t>6031.2020/0003.982-3</t>
  </si>
  <si>
    <t>Av. Eng. Heitor Antonio Eiras Garcia, em frente aos numeros 695 ao 707, cruzando com a Praça Isai Leiner, Com Av. Otacilio Tomanik</t>
  </si>
  <si>
    <t>Nº95/PR-BT/2017</t>
  </si>
  <si>
    <t>6031.2017/0000632-6</t>
  </si>
  <si>
    <t>Rua Ary Ariovaldo Eboli, 104</t>
  </si>
  <si>
    <t>Nº96/PR-BT/2017</t>
  </si>
  <si>
    <t>2017-0.000.633-4</t>
  </si>
  <si>
    <t>Newton Jose dos Santos</t>
  </si>
  <si>
    <t>860.683.348-72</t>
  </si>
  <si>
    <t>Avenida Magalhães de Castro</t>
  </si>
  <si>
    <t>Nº101/PR-BT/2017</t>
  </si>
  <si>
    <t>6031.2017/0000722-5</t>
  </si>
  <si>
    <t>Catherine Anni Debbaudt</t>
  </si>
  <si>
    <t>14.296.145/0001-96</t>
  </si>
  <si>
    <t>Avenida Eliseu de Almeida total</t>
  </si>
  <si>
    <t>Nº52/SUB-BT/2021</t>
  </si>
  <si>
    <t>6031.2021/0001.330-3</t>
  </si>
  <si>
    <t>26/11/2021</t>
  </si>
  <si>
    <t>Sergio Amalfi Porto</t>
  </si>
  <si>
    <t>Abaixo do Viaduto na Rodovia Raposo Tavares, situado entre a Rua Prof. Maximo Ribeiro Nunes e a Rua Azem Abdalla Azem</t>
  </si>
  <si>
    <t>Nº100/PR-BT/2017</t>
  </si>
  <si>
    <t>6031.2017/0000739-0</t>
  </si>
  <si>
    <t>Carlos Eduardo de Lima Paiva</t>
  </si>
  <si>
    <t>Avenida Eliseu de Almeida altura do nº 3424, em frente a Praça Julio Dellaquia</t>
  </si>
  <si>
    <t>Nº99/PR-BT/2017</t>
  </si>
  <si>
    <t>6031.2017/0000775-6</t>
  </si>
  <si>
    <t>Jose Alves da Cruz</t>
  </si>
  <si>
    <t>00.356.209/0001-92</t>
  </si>
  <si>
    <t>Av. Jacob Salvador Zveibil</t>
  </si>
  <si>
    <t>Nº26/PR-BT/2018</t>
  </si>
  <si>
    <t>6031.2018/0000027-3</t>
  </si>
  <si>
    <t>Severino Carossa</t>
  </si>
  <si>
    <t>Nº25/PR-BT/2018</t>
  </si>
  <si>
    <t>6031.2018/0000028-1</t>
  </si>
  <si>
    <t>16.269.510/0001-60</t>
  </si>
  <si>
    <t>Jose Olavo Humel Diniz</t>
  </si>
  <si>
    <t>15/SP-BT/2016</t>
  </si>
  <si>
    <t>2016-0.050.436-8</t>
  </si>
  <si>
    <t>Orlando Negrão Junior</t>
  </si>
  <si>
    <t>Jose Guilherme de Araujo Jorge</t>
  </si>
  <si>
    <t>Nº 01/PR-BT/2018</t>
  </si>
  <si>
    <t>6031.2018/0000069-9</t>
  </si>
  <si>
    <t>Camile Corot/Rua General Jose Scarcela Portela com Rua dos Manacás,</t>
  </si>
  <si>
    <t>Nº29/SUB-BT/2021</t>
  </si>
  <si>
    <t>6031.2021/0000.312-0</t>
  </si>
  <si>
    <t>Rua Inacio Cervantes com Conego Luiz Vieira da Silva</t>
  </si>
  <si>
    <t>Nº 12/PR-BT/2018</t>
  </si>
  <si>
    <t>6031.2018/0000104-0</t>
  </si>
  <si>
    <t>Rubens Fernandes Silva</t>
  </si>
  <si>
    <t>174.519.988-86</t>
  </si>
  <si>
    <t>Pedro Fernando Santana</t>
  </si>
  <si>
    <t>51.449.445/0001-94</t>
  </si>
  <si>
    <t>Durval Breda Cardoso</t>
  </si>
  <si>
    <t>Nº39/SUB-BT/2021</t>
  </si>
  <si>
    <t>6031.2021/0000.827-0</t>
  </si>
  <si>
    <t>Dr. Rubens Vuono de Brito</t>
  </si>
  <si>
    <t>Nº35/SUB-BT/2021</t>
  </si>
  <si>
    <t>6031.2021/0000.813-0</t>
  </si>
  <si>
    <t>Jose do Nascimento Machado</t>
  </si>
  <si>
    <t>Nº48/SUB-BT/2021</t>
  </si>
  <si>
    <t>6031.2021/0000.820-2</t>
  </si>
  <si>
    <t>Paulo Mariano dos Reis Ferraz</t>
  </si>
  <si>
    <t>Nº38/SUB-BT/2021</t>
  </si>
  <si>
    <t>6031.2021/0000.830-0</t>
  </si>
  <si>
    <t>João Salvador Fellipelli</t>
  </si>
  <si>
    <t>Nº42/SUB-BT/2021</t>
  </si>
  <si>
    <t>6031.2021/0000.821-0</t>
  </si>
  <si>
    <t>Gerta Dannenberg</t>
  </si>
  <si>
    <t>Nº37/SUB-BT/2021</t>
  </si>
  <si>
    <t>6031.2021/0000.826-1</t>
  </si>
  <si>
    <t>Em frente a escola EMEF Conde Luiz Eduardo Matarazzo, R.Cristina A. Cavalcante</t>
  </si>
  <si>
    <t>Nº46/SUB-BT/2021</t>
  </si>
  <si>
    <t>6031.2021/0000.817-2</t>
  </si>
  <si>
    <t>Ana Cristina A.C. Sartori</t>
  </si>
  <si>
    <t>Avenida Pirajussa total</t>
  </si>
  <si>
    <t>Nº55/SUB-BT/2021</t>
  </si>
  <si>
    <t>6031.2021/0001.331-1</t>
  </si>
  <si>
    <t>07.3030.492/0001-33</t>
  </si>
  <si>
    <t>13/04/2021</t>
  </si>
  <si>
    <t>Rua Pedro Mainente</t>
  </si>
  <si>
    <t>Nº64/SUB-BT/2021</t>
  </si>
  <si>
    <t>6031.2021/0002.073-3</t>
  </si>
  <si>
    <t>Adib Thomaz Razuk</t>
  </si>
  <si>
    <t>Nº40/SUB-BT/2021</t>
  </si>
  <si>
    <t>6031.2021/0000.832-6</t>
  </si>
  <si>
    <t>na Rua Darcy Reis, proximo ao nº1228</t>
  </si>
  <si>
    <t>Nº45/SUB-BT/2021</t>
  </si>
  <si>
    <t>6031.2021/0000.816-4</t>
  </si>
  <si>
    <t>Tim Lopes</t>
  </si>
  <si>
    <t>Nº47/SUB-BT/2021</t>
  </si>
  <si>
    <t>6031.2021/0000.819-9</t>
  </si>
  <si>
    <t>Josei Toda</t>
  </si>
  <si>
    <t>Nº36/SUB-BT/2021</t>
  </si>
  <si>
    <t>6031.2021/0000.812-1</t>
  </si>
  <si>
    <t>Michel Abdalla Mattar</t>
  </si>
  <si>
    <t>Nº90/SUB-BT/2019</t>
  </si>
  <si>
    <t>6031.2019/0004.656-9</t>
  </si>
  <si>
    <t>MARIA PAULA DE CAPUA ZAHR</t>
  </si>
  <si>
    <t>143.872.848-46</t>
  </si>
  <si>
    <t>24/10/2019</t>
  </si>
  <si>
    <t>Noriyuki Yamamoto</t>
  </si>
  <si>
    <t>Nº49/SUB-BT/2021</t>
  </si>
  <si>
    <t>6031.2021/0000.845-8</t>
  </si>
  <si>
    <t>Jose da Silva Costa</t>
  </si>
  <si>
    <t>26.720.988/0001-57</t>
  </si>
  <si>
    <t>Av. Dr. Guilherme Dumont Vilares com Rua Prof. Jose Horacio Meirelles Teixeira</t>
  </si>
  <si>
    <t>3..760</t>
  </si>
  <si>
    <t>Nº67/SUB-BT/2021</t>
  </si>
  <si>
    <t>6031.2021/0003.168-9</t>
  </si>
  <si>
    <t>Dalva Ferreira Santos</t>
  </si>
  <si>
    <t>29.077.121/0001-13</t>
  </si>
  <si>
    <t>Ilha: Conservação / Limpeza e Plantio</t>
  </si>
  <si>
    <t>Praça da Ressurreição - Jardim Colombo</t>
  </si>
  <si>
    <t xml:space="preserve">MITRA DIOCESANA DE CAMPO LIMPO-CEMITERIO GETHSEMANI </t>
  </si>
  <si>
    <t>Conservação/Limpeza e Plantio</t>
  </si>
  <si>
    <t>46.080,00</t>
  </si>
  <si>
    <t>Av. Eng. Heitor Antonio Eiras Garcia com a Rua Padre Marçal Rodrigues</t>
  </si>
  <si>
    <t>Nº37/PR-BT/2018</t>
  </si>
  <si>
    <t>6031.2018/0000223-3</t>
  </si>
  <si>
    <t>Edmar Rodrigues da Conceição</t>
  </si>
  <si>
    <t>758.773.845-20</t>
  </si>
  <si>
    <t>Rua Janot Pacheco e Vicente Paiva</t>
  </si>
  <si>
    <t>Nº 38/PR-BT/2018</t>
  </si>
  <si>
    <t>6031.2018/0000225-0</t>
  </si>
  <si>
    <t>Marcio Botana Moraes</t>
  </si>
  <si>
    <t>04.279.607/0001-03</t>
  </si>
  <si>
    <t>Wilson Moreira da Costa- Rua Dr. Paulo Carvalho Ferreira, Rua Milton Soares e Av. Waldemar Roberto</t>
  </si>
  <si>
    <t>Nº32/PR-BT/2018</t>
  </si>
  <si>
    <t>6031.2018/0000226-8</t>
  </si>
  <si>
    <t>FRANCINEIDE PEREIRA DOS SANTOS</t>
  </si>
  <si>
    <t>134.503.338-95</t>
  </si>
  <si>
    <t>entre a defensa new Jersey e o Muro de vidro ao longo da Raia Olimpica da USP na Av. Eng.Bilings entre a Av.Escola Politecnica e Ponte Cidade Universitaria</t>
  </si>
  <si>
    <t>Nº 41/PR-BT/2018</t>
  </si>
  <si>
    <t>6031.2018/0000253-5</t>
  </si>
  <si>
    <t>Fernando Alberto de Oliveira Botton</t>
  </si>
  <si>
    <t>01.438.784/0013-30</t>
  </si>
  <si>
    <t>Rua Noronha Santos com a Inacio de Oliveira</t>
  </si>
  <si>
    <t>Nº43/PR-BT/2018</t>
  </si>
  <si>
    <t>6031.2018/0000260-8</t>
  </si>
  <si>
    <t>Marcos Evangelista de Novaes</t>
  </si>
  <si>
    <t>673.798.268-91</t>
  </si>
  <si>
    <t>Rua Jose Franco Silva</t>
  </si>
  <si>
    <t>Nº42/PR-BT/2018</t>
  </si>
  <si>
    <t>6031.2018/0000259-4</t>
  </si>
  <si>
    <t>Denis Alvarenga</t>
  </si>
  <si>
    <t>Palmares em frente a escola Tarcila do Amaral na Rua Natal Pigassi e Edvard Camilo</t>
  </si>
  <si>
    <t>Nº46/PR-BT/2018</t>
  </si>
  <si>
    <t>6031.2018/0000347-7</t>
  </si>
  <si>
    <t>Gletom Silva Maia</t>
  </si>
  <si>
    <t>214.269.408-07</t>
  </si>
  <si>
    <t>Real Parque</t>
  </si>
  <si>
    <t>Rua Dauru Cavallaro</t>
  </si>
  <si>
    <t>Nº47/PR-BT/2018</t>
  </si>
  <si>
    <t>6031.2018/0000364-4</t>
  </si>
  <si>
    <t>Ralph Dicknann</t>
  </si>
  <si>
    <t>094.622.488-93</t>
  </si>
  <si>
    <t>Haim Mansur , esquina da Rua Santo Américo com a Rua Maestro Torquatro Amore</t>
  </si>
  <si>
    <t>Nº50/PR-BT/2018</t>
  </si>
  <si>
    <t>6031.2018/0000396-5</t>
  </si>
  <si>
    <t>Claudionor Oliveira Carvalho</t>
  </si>
  <si>
    <t>61-697.678/0001-60</t>
  </si>
  <si>
    <t>Maria Osorio Teixeira alt. 135</t>
  </si>
  <si>
    <t>Nº94/PR-BT/2018</t>
  </si>
  <si>
    <t>6031.2018/0000400-7</t>
  </si>
  <si>
    <t>Maria da Gloria de Jesus Rodrigues</t>
  </si>
  <si>
    <t>074.204.068-20</t>
  </si>
  <si>
    <t>Av. Dr. Alberto de Oliveira Lima e R.Prof. Santiago Dantas</t>
  </si>
  <si>
    <t>Nº49/PR-BT/2018</t>
  </si>
  <si>
    <t>6031.2018/0000401-5</t>
  </si>
  <si>
    <t>Regina Celi Henriques Ignacio</t>
  </si>
  <si>
    <t>012.547.258-73</t>
  </si>
  <si>
    <t>Área Verde: Conservação / Limpeza e Plantio</t>
  </si>
  <si>
    <t>Rua David Bem Gurion com Rua Cresilas</t>
  </si>
  <si>
    <t>Nº89/PR-BT/2018</t>
  </si>
  <si>
    <t>6031.2018/0000965-3</t>
  </si>
  <si>
    <t>Helio Silva Papa de Jesus</t>
  </si>
  <si>
    <t>25.318.876/0001-01</t>
  </si>
  <si>
    <t>Praça Padre Paulo Canelles</t>
  </si>
  <si>
    <t>Nº82/PR-BT/2019</t>
  </si>
  <si>
    <t>6031.2018/0000498-8</t>
  </si>
  <si>
    <t>Alecsandro de Sousa Resende</t>
  </si>
  <si>
    <t>218.197.588-42</t>
  </si>
  <si>
    <t>Avenida Engenheiro Antonio Eiras Garcia 7441</t>
  </si>
  <si>
    <t>Nº81/PR-BT/2018</t>
  </si>
  <si>
    <t>6031.2018/0000630-1</t>
  </si>
  <si>
    <t>Maria Jose Silva Araujo</t>
  </si>
  <si>
    <t>023.551.577-90</t>
  </si>
  <si>
    <t>Contorno na Rua Conseguina,53, esq.com a Circular do Bosque</t>
  </si>
  <si>
    <t>Nº74/SUB-BT/2021</t>
  </si>
  <si>
    <t>6031.2021/0003.217-0</t>
  </si>
  <si>
    <t>Marcelo Gatti Reis Lobo</t>
  </si>
  <si>
    <t>57.349.094/0001-26</t>
  </si>
  <si>
    <t>25/08/2021</t>
  </si>
  <si>
    <t>Rua Conseguina, 53, esq.com a Circular do Bosque</t>
  </si>
  <si>
    <t>Nº82/SUB-BT/2021</t>
  </si>
  <si>
    <t>6031.2021/0003.230-8</t>
  </si>
  <si>
    <t>23/10/2021</t>
  </si>
  <si>
    <t>25/10/2021</t>
  </si>
  <si>
    <t>Rua Atabasca, 48</t>
  </si>
  <si>
    <t>Nº84/SUB-BT/2021</t>
  </si>
  <si>
    <t>6031.2021/0003.256-1</t>
  </si>
  <si>
    <t>Rua Atabasca, entre os numeros 81 e 101</t>
  </si>
  <si>
    <t>Nº76/SUB-BT/2021</t>
  </si>
  <si>
    <t>6031.2021/0003.224-3</t>
  </si>
  <si>
    <t>Rua Atabasca nº 48</t>
  </si>
  <si>
    <t>6031.2021/0003.221-9</t>
  </si>
  <si>
    <t>Rua Araripina, em frente ao numero 60</t>
  </si>
  <si>
    <t>N°75/SUB-BT/2021</t>
  </si>
  <si>
    <t>6031.2021/0003.220-0</t>
  </si>
  <si>
    <t>18/09/2021</t>
  </si>
  <si>
    <t>Rua Araripina com rua Circular do Bosque</t>
  </si>
  <si>
    <t>Nº83/SUB-BT/2021</t>
  </si>
  <si>
    <t>6031.2021/0003.231-6</t>
  </si>
  <si>
    <t>Canteiro contorno: Conservação / Limpeza e Plantio</t>
  </si>
  <si>
    <t>Rua Circular do Bosque com a Rua Araripina</t>
  </si>
  <si>
    <t>Nº79/SUB-BT/2021</t>
  </si>
  <si>
    <t>6031.2021/0003.265-0</t>
  </si>
  <si>
    <t>Canteiros Contorno: Conseervação / Limpeza e Plantio</t>
  </si>
  <si>
    <t>Rua Caburi em frente ao numero 36</t>
  </si>
  <si>
    <t>Nº97/SUB-BT/2021</t>
  </si>
  <si>
    <t>6031.2021/0003.241-3</t>
  </si>
  <si>
    <t>26/11/2024</t>
  </si>
  <si>
    <t>19/11/2021</t>
  </si>
  <si>
    <t>Ruas Araripina com a Caburi esquina com a Circular do Bosque</t>
  </si>
  <si>
    <t>Nº98/SUB-BT/2021</t>
  </si>
  <si>
    <t>6031.2021/0003.244-8</t>
  </si>
  <si>
    <t>Canteiro CEntral</t>
  </si>
  <si>
    <t>Rua Caburi com a Circular do Bosque</t>
  </si>
  <si>
    <t>Nº78/SUB-BT/2021</t>
  </si>
  <si>
    <t>6031.2021/0003.245-6</t>
  </si>
  <si>
    <t>Rua Araripina com a Rua Caburi</t>
  </si>
  <si>
    <t>Nº91/SUB-BT/2021</t>
  </si>
  <si>
    <t>6031.2021/0003.268-5</t>
  </si>
  <si>
    <t>Rua Araporé, 20</t>
  </si>
  <si>
    <t>Nº90/SUB-BT/2021</t>
  </si>
  <si>
    <t>6031.2021/0003.270-7</t>
  </si>
  <si>
    <t>Rua Santa Judite equina com a Circular do Bosque</t>
  </si>
  <si>
    <t>Nº80/SUB-BT/2021</t>
  </si>
  <si>
    <t>6031.2021/0003.267-7</t>
  </si>
  <si>
    <t>Rua Santa Judite nº 414</t>
  </si>
  <si>
    <t>Nº87/SUB-BT/2021</t>
  </si>
  <si>
    <t>6031.2021/0003.287-1</t>
  </si>
  <si>
    <t>Rua Circular do Bosque com a Rua Manuel Goes</t>
  </si>
  <si>
    <t>Nº81/SUB-BT/2021</t>
  </si>
  <si>
    <t>6031.2021/0003.281-2</t>
  </si>
  <si>
    <t>Rua Manuel de Goes com a Circular do Bosque</t>
  </si>
  <si>
    <t>Nº89/SUB-BT/2021</t>
  </si>
  <si>
    <t>6031.2021/0003.275-8</t>
  </si>
  <si>
    <t>Rua Manuel de Goes lado impar com esquina com a Circular do Bosque</t>
  </si>
  <si>
    <t>Nº92/SUB-BT/2021</t>
  </si>
  <si>
    <t>6031.2021/0003.271-5</t>
  </si>
  <si>
    <t>Rua Manuel de Goes em frente ao numero 361</t>
  </si>
  <si>
    <t>N°88/SUB-BT/2021</t>
  </si>
  <si>
    <t>6031.2021/0003.303-7</t>
  </si>
  <si>
    <t>Avenida Lopes de Azevedo lado impar esquina com a Circular do Bosque</t>
  </si>
  <si>
    <t>6031.2021/0003.307-0</t>
  </si>
  <si>
    <t>Avenida Lopes de Azevedo esquina com a Circular do Bosque 2</t>
  </si>
  <si>
    <t>Nº85/SUB-BT/2021</t>
  </si>
  <si>
    <t>6031.2021/0003.310-0</t>
  </si>
  <si>
    <t>Avenida Lopes de Azevedo, 1330,</t>
  </si>
  <si>
    <t>Nº86/SUB-BT/2021</t>
  </si>
  <si>
    <t>6031.2021/0003.312-6</t>
  </si>
  <si>
    <t>Avenida Lopes de Azevedo, 1336 com a Circular do Bosque</t>
  </si>
  <si>
    <t>6031.2021/0003.201-4</t>
  </si>
  <si>
    <t>Avenida Lopes de Azevedo com fluencia com a Av. Lineu de Paula Machado</t>
  </si>
  <si>
    <t>71/SUB-BT/2021</t>
  </si>
  <si>
    <t>6031.2021/0003.203-0</t>
  </si>
  <si>
    <t>Esquina da Avenida Lopes de Azevedo com a Circular do Bosque</t>
  </si>
  <si>
    <t>6031.2021/0003.205-7</t>
  </si>
  <si>
    <t>Praça Com. Jose Henrique Souza, início da Av.Lopes de Azevedo com a Lineu de Paula Machado</t>
  </si>
  <si>
    <t>Nº68/SUB-BT/2021</t>
  </si>
  <si>
    <t>6031.2021/0003.212-0</t>
  </si>
  <si>
    <t>Avenida Lopes de Azevedo nº 46</t>
  </si>
  <si>
    <t>Nº72/SUB-BT/2021</t>
  </si>
  <si>
    <t>6031.2021/0003.213-8</t>
  </si>
  <si>
    <t>Avenida Lopes de Azevedo com a Rua Tambe e Araripina</t>
  </si>
  <si>
    <t>N°73/SUB-BT/2021</t>
  </si>
  <si>
    <t>6031.2021/0003.214-6</t>
  </si>
  <si>
    <t>Avenida Lopes de Azedo cm a Rua Araripina e Tambe</t>
  </si>
  <si>
    <t>Nº77/SUB-BT/2021</t>
  </si>
  <si>
    <t>6031.2021/0003.215-4</t>
  </si>
  <si>
    <t>Praça Noriyuki Yamamoto</t>
  </si>
  <si>
    <t>Nº66/SUB-BT/2021</t>
  </si>
  <si>
    <t>6031.2021/0002.311-2</t>
  </si>
  <si>
    <t>Marcos Antonio Oliveira dos Santos</t>
  </si>
  <si>
    <t>257.245.088-77</t>
  </si>
  <si>
    <t>Rua Nanufares com a Rua das Jaboticabeiras</t>
  </si>
  <si>
    <t>Nº63/SUB-BT/2021</t>
  </si>
  <si>
    <t>6031.2021/0003.047-0</t>
  </si>
  <si>
    <t>Alessandra Marise Massagli Nahus</t>
  </si>
  <si>
    <t>173.811.248-90</t>
  </si>
  <si>
    <t>Rua Sebastião Aniciate/Natal Pigassi e Av. Inter Continental</t>
  </si>
  <si>
    <t>Nº93/SUB-BT/2021</t>
  </si>
  <si>
    <t>6031.2021/0003.808-0</t>
  </si>
  <si>
    <t>Rua Dr. Jose Benedito Viana de Moraes e a Rua Vicente Oropallo, São Francisco</t>
  </si>
  <si>
    <t>Nº90/PR-BT/2018</t>
  </si>
  <si>
    <t>6031.2018/0000871-1</t>
  </si>
  <si>
    <t>Rua Jose Benedito Viana de Moraes e a Rua Dr. Manoel Paiva Ramos, São Francisco</t>
  </si>
  <si>
    <t>Nº91/PR-BT/2018</t>
  </si>
  <si>
    <t>6031.2018/0000870-3</t>
  </si>
  <si>
    <t>Rosana Maria Moscato</t>
  </si>
  <si>
    <t>07.123.195/0001-06</t>
  </si>
  <si>
    <t>Marginal do Rio Pinheiros, entre as Ruas Pirajussara, Armando Fairbanks e Av. Eusebio Matoso</t>
  </si>
  <si>
    <t>nº94/PR-BT/2018</t>
  </si>
  <si>
    <t>6031.2018/0000988-2</t>
  </si>
  <si>
    <t>Av. Dr. Ezequiel Campos Dias com aRua Bernardo Buontalenti</t>
  </si>
  <si>
    <t>Nº88/PR-BT/2018</t>
  </si>
  <si>
    <t>6031.2018/0000968-8</t>
  </si>
  <si>
    <t>Paulo Dantas Medeiros</t>
  </si>
  <si>
    <t>135.271.968-11</t>
  </si>
  <si>
    <t>Rua Paolo Agostini</t>
  </si>
  <si>
    <t>Nº97/PR-BT/2018</t>
  </si>
  <si>
    <t>6031.2018/0001141-0</t>
  </si>
  <si>
    <t>Silvio de Oliveira Penteado Filho</t>
  </si>
  <si>
    <t>029.626.398-28</t>
  </si>
  <si>
    <t>na Av. Dr. Candido Mota Filho/São Francisco</t>
  </si>
  <si>
    <t>Nº99/PR-BT/2018</t>
  </si>
  <si>
    <t>6031.2018/0001.175-5</t>
  </si>
  <si>
    <t>Antonio Francisco França Nogueira Netto</t>
  </si>
  <si>
    <t>54.836.125-3</t>
  </si>
  <si>
    <t>Cruzamento entre as Ruas Gal.Syzeno Sarmento e Lucas Padilha,</t>
  </si>
  <si>
    <t>Nº107/SUB-BT/2018</t>
  </si>
  <si>
    <t>6031.2018/0001.416-9</t>
  </si>
  <si>
    <t>Camilla Barbaris Brandão de Barros</t>
  </si>
  <si>
    <t>27.267.085/0001-25</t>
  </si>
  <si>
    <t>Julio de Melo Ferreira, Entre a Rua Orlando Malagoli e R.Prof. Antonio Filgueiras de Lima</t>
  </si>
  <si>
    <t>Nº100/PR-BT/2018</t>
  </si>
  <si>
    <t>6031.2018/0001.240-9</t>
  </si>
  <si>
    <t>Nelson Santos Tavares</t>
  </si>
  <si>
    <t>090.868.478-97</t>
  </si>
  <si>
    <t>Praça Bartolomeu Seixas - Rua Alvorada do Sul e R. Olegário Mariano</t>
  </si>
  <si>
    <t>Nº62/SUB-BT/2021</t>
  </si>
  <si>
    <t>6031.2021/0003.022-4</t>
  </si>
  <si>
    <t>Wiliam Fernando Mil</t>
  </si>
  <si>
    <t>116.783.868-80</t>
  </si>
  <si>
    <t>Av. Eliseu de Almeida, da Av. Caxingui com ate a Av. dos Tres Poderes</t>
  </si>
  <si>
    <t>Nº103/SUB-BT/2018</t>
  </si>
  <si>
    <t>6031.2018/0001.404-5</t>
  </si>
  <si>
    <t>Lucas de Sousa Almeida</t>
  </si>
  <si>
    <t>29.033.640/0001-80</t>
  </si>
  <si>
    <t>Praça Klaus Walter Zulauf</t>
  </si>
  <si>
    <t>Nº114/SUB0BT/2018</t>
  </si>
  <si>
    <t>6031.2018/0001.550-5</t>
  </si>
  <si>
    <t>Silvia Guimaraes</t>
  </si>
  <si>
    <t>23.324.297/0001-46</t>
  </si>
  <si>
    <t>Praça Jose F. Nobre</t>
  </si>
  <si>
    <t>Nº113/SUB-BT/2018</t>
  </si>
  <si>
    <t>6031.2018/0001.552-1</t>
  </si>
  <si>
    <t>Praça João Ademar de Almeida Prado</t>
  </si>
  <si>
    <t>Nº28/PR-BR/2018</t>
  </si>
  <si>
    <t>6031.2018/0000.174-1</t>
  </si>
  <si>
    <t>WANDERLEY MADEIRA ADÃO</t>
  </si>
  <si>
    <t>006.451.818-38</t>
  </si>
  <si>
    <t>Rua Agenor de Lima Franco, 171</t>
  </si>
  <si>
    <t>Nº12/SUB-BT/2019</t>
  </si>
  <si>
    <t>6031.2018/0001.515-7</t>
  </si>
  <si>
    <t>Sueli dos Santos</t>
  </si>
  <si>
    <t>256.302.318-12</t>
  </si>
  <si>
    <t>Rua Pedro Avancini</t>
  </si>
  <si>
    <t>Nº112/SUB-BT/2018</t>
  </si>
  <si>
    <t>6031.2018/0001.551-3</t>
  </si>
  <si>
    <t>23.324.297/001-46</t>
  </si>
  <si>
    <t xml:space="preserve">Rua Curumins, em frente ao numero 07, </t>
  </si>
  <si>
    <t>Nº116/SUB-BT/2018</t>
  </si>
  <si>
    <t>6031.2018/0001.618-8</t>
  </si>
  <si>
    <t xml:space="preserve">Caire Aoas </t>
  </si>
  <si>
    <t>30.819.027/0001-71</t>
  </si>
  <si>
    <t>Rua Marechal Olimpio Mourão Filho com a Rua Dr. Aires Martins Torres</t>
  </si>
  <si>
    <t>Nº118/SUB-BT/2018</t>
  </si>
  <si>
    <t>6031.2018/0001.726-5</t>
  </si>
  <si>
    <t>Simone Tufolo Busto</t>
  </si>
  <si>
    <t>08.604.054/0001-78</t>
  </si>
  <si>
    <t>Rua Caxingui com Av. Elizeu de Almeida</t>
  </si>
  <si>
    <t>Nº117/SUB-BT/2017</t>
  </si>
  <si>
    <t>6031.2018/0001.725-7</t>
  </si>
  <si>
    <t>Paula Bezerra Nunes Abibi</t>
  </si>
  <si>
    <t>15.567.593/0001-8</t>
  </si>
  <si>
    <t>Rubens Ribeiro de Moraes</t>
  </si>
  <si>
    <t>Nº102/SUB-BT/2021</t>
  </si>
  <si>
    <t>6031.2021/0004.776-3</t>
  </si>
  <si>
    <t>Rubem Ribeiro de Moraes, Cidade Jardim</t>
  </si>
  <si>
    <t>Sociedade Amigos Colina das Flores</t>
  </si>
  <si>
    <t>24.000,00</t>
  </si>
  <si>
    <t>Nº123/SUB-BT/2018</t>
  </si>
  <si>
    <t>JOSE ANTONIO FIGUEIREDO ANTIÓRIO FILHO</t>
  </si>
  <si>
    <t>Rua Vaticano, 275/222</t>
  </si>
  <si>
    <t>Nº128/SUB-BT/2018</t>
  </si>
  <si>
    <t>6031.2018/0001.837-7</t>
  </si>
  <si>
    <t>Manoel Antonio Leitão</t>
  </si>
  <si>
    <t>31.206.558/0001-51</t>
  </si>
  <si>
    <t>Praça Lions Clube, 5041</t>
  </si>
  <si>
    <t>Nº132/PR-BT/2018</t>
  </si>
  <si>
    <t>6031.2018/0002.040-1</t>
  </si>
  <si>
    <t>Danielle A. L. Galbier</t>
  </si>
  <si>
    <t>30.469.108/0001-99</t>
  </si>
  <si>
    <t>R. Dr. Francisco Pati, 40</t>
  </si>
  <si>
    <t>Nº03/PR-BT/2019</t>
  </si>
  <si>
    <t>6031.2018/0002.063-0</t>
  </si>
  <si>
    <t>Ivonne Betsabe Muniz</t>
  </si>
  <si>
    <t>Av. Cândido Motta Filho, 660 - 6108</t>
  </si>
  <si>
    <t>Nº04/PR-BT/2019</t>
  </si>
  <si>
    <t>6031.2018/0002.062-2</t>
  </si>
  <si>
    <t>Rua Prof. Campos Almeida e Av. Prof. Lucas Assunção</t>
  </si>
  <si>
    <t>Nº 01/SUB-BT/2018</t>
  </si>
  <si>
    <t>6031.2018/0002.143-2</t>
  </si>
  <si>
    <t>POLICON GESTÃO IMOBILIARIA LTDA.</t>
  </si>
  <si>
    <t>00.312.034/0001-55</t>
  </si>
  <si>
    <t>Sergio Vieira de Mello prox. a Rua Crésilas e Rua F4</t>
  </si>
  <si>
    <t>Nº10/PR-BT/2019</t>
  </si>
  <si>
    <t>6031.2019/0000188-3</t>
  </si>
  <si>
    <t>SERPRENCO EMPREENDIMENTOS LTDA</t>
  </si>
  <si>
    <t>16.859.256/00001-99</t>
  </si>
  <si>
    <t>Nº09/PR-BT/2019</t>
  </si>
  <si>
    <t>6031.2019/0000187-5</t>
  </si>
  <si>
    <t>16.859.256/0001-99</t>
  </si>
  <si>
    <t>Rua Joaquim Jose do Amaral com Rua Manoel Dias de Oliveira</t>
  </si>
  <si>
    <t>Nº11/PR-BT/2019</t>
  </si>
  <si>
    <t>6031.2019/0000212-0</t>
  </si>
  <si>
    <t>G DA S FERREIRA PAISAGISMO E JARDINAGEM</t>
  </si>
  <si>
    <t>26755663/0001-00</t>
  </si>
  <si>
    <t>Dr. Jose Benedito Viana de Moraes com a Rua Vicente Oropallo</t>
  </si>
  <si>
    <t>Nº07/PR-BT/2019</t>
  </si>
  <si>
    <t>6031.2019/0000137-9</t>
  </si>
  <si>
    <t>ASSOCIAÇÃO COLINA DE SÃO FRANCISCO</t>
  </si>
  <si>
    <t>Dr. Jose Bendito Viana de Moraes com a Rua Dr. Manoel de Paiva Ramos</t>
  </si>
  <si>
    <t>Nº08/PR-BT/2019</t>
  </si>
  <si>
    <t>6031.2019/0000138-7</t>
  </si>
  <si>
    <t>Dr. Eurides Luz Angelini</t>
  </si>
  <si>
    <t>Nº22/SUB-BT/2019</t>
  </si>
  <si>
    <t>6031.2019/0000.402-5</t>
  </si>
  <si>
    <t>IGREJA EVANGELICA PORTAL DE JERUSALEM</t>
  </si>
  <si>
    <t>21.016.014/0001-73</t>
  </si>
  <si>
    <t>Cidade de Coimbra</t>
  </si>
  <si>
    <t>Nº17/SUB-BT/2019</t>
  </si>
  <si>
    <t>6031.2019/0000599-4</t>
  </si>
  <si>
    <t>ELIANA BAPTISTA PEREIRA AUN</t>
  </si>
  <si>
    <t>04.086.224/0001-19</t>
  </si>
  <si>
    <t>conservação / Limpeza e Plantio</t>
  </si>
  <si>
    <t>Rua Raphael de Oliveira Piraja com Rua Francisco da Matta</t>
  </si>
  <si>
    <t>Nº14/SUB-BT/2019</t>
  </si>
  <si>
    <t>6031.2019/0000283-9</t>
  </si>
  <si>
    <t>SERGIO LOPES DE SANTANA</t>
  </si>
  <si>
    <t>285.185.168-38</t>
  </si>
  <si>
    <t>Rua Ari Aps com Augusto Farina</t>
  </si>
  <si>
    <t>Nº86/SUB-BT/2019</t>
  </si>
  <si>
    <t>6031.2019/0003.629-6</t>
  </si>
  <si>
    <t>Pedro Calil de Souza Abib</t>
  </si>
  <si>
    <t>Av. Pirajussara, 5500 com a Rua Alfredo Mendes da Silva com Av. Intercontinental e Praça Jose Dominguess M.F.Zequinha</t>
  </si>
  <si>
    <t>Nº29/SUB-BT/2019</t>
  </si>
  <si>
    <t>6031.2019/0001.324-5</t>
  </si>
  <si>
    <t>Maria Jose Leite Sangion</t>
  </si>
  <si>
    <t>03.557.236/0001-11</t>
  </si>
  <si>
    <t>Rua Milton Soares</t>
  </si>
  <si>
    <t>Nº27/SUB-BT/2019</t>
  </si>
  <si>
    <t>6031.2019/0000.932-9</t>
  </si>
  <si>
    <t>Sabrina Scabin Fragoso Siroto</t>
  </si>
  <si>
    <t>27.916.300/0001-71</t>
  </si>
  <si>
    <t>Av. Prof. Francisco Morato e Rua Buarque e Rua Apararao</t>
  </si>
  <si>
    <t>Nº24/SUB-BT/2019</t>
  </si>
  <si>
    <t>6031.2019/0000.715-6</t>
  </si>
  <si>
    <t>04.238.897/0001-47</t>
  </si>
  <si>
    <t>Rua das Jabuticabeiras 104</t>
  </si>
  <si>
    <t>Nº31/SUB-BT/2019</t>
  </si>
  <si>
    <t>6031.2019/0001.289-3</t>
  </si>
  <si>
    <t>JOSE AMERICO RIBEIRO DOS SANTOS</t>
  </si>
  <si>
    <t>04.709.536/0001-31</t>
  </si>
  <si>
    <t>Rua das Jabuticabeiras com a Rua dos Pessegueiros</t>
  </si>
  <si>
    <t>Nº30/SUB-BT/2019</t>
  </si>
  <si>
    <t>6031.2019/0001.292-3</t>
  </si>
  <si>
    <t>04.707.536/0001-31</t>
  </si>
  <si>
    <t>Rua Limantos com a Plátanos</t>
  </si>
  <si>
    <t>Nº28/SUB-BT/2019</t>
  </si>
  <si>
    <t>6031.2019/0001.073-4</t>
  </si>
  <si>
    <t>Chá da Alegria</t>
  </si>
  <si>
    <t>Nº25/SUB-BT/2019</t>
  </si>
  <si>
    <t>6031.2019/0000.839-0</t>
  </si>
  <si>
    <t>Aline Guimarães Ruz Lorenço</t>
  </si>
  <si>
    <t>392.931.078-30</t>
  </si>
  <si>
    <t>6031.2019/0000715-6</t>
  </si>
  <si>
    <t>214.485.298-75</t>
  </si>
  <si>
    <t>Rua Icaro Sydow, ao lado do numero 65</t>
  </si>
  <si>
    <t>Nº63/SUB-BT/2019</t>
  </si>
  <si>
    <t>6031.2019/0001.852-2</t>
  </si>
  <si>
    <t>Jose Luiz Luongo Sanchez</t>
  </si>
  <si>
    <t>21.528.041/0001-25</t>
  </si>
  <si>
    <t>Avenida Roberto Lorenz</t>
  </si>
  <si>
    <t>Nº59/SUB-BT/2019</t>
  </si>
  <si>
    <t>6031.2019/0001.901-4</t>
  </si>
  <si>
    <t>Praça da Felicidade</t>
  </si>
  <si>
    <t>Nº50/SUB-BT/2019</t>
  </si>
  <si>
    <t>6031.2019/0001.859-0</t>
  </si>
  <si>
    <t>Avenida Amarilis</t>
  </si>
  <si>
    <t>Nº48/SUB-BT/2019</t>
  </si>
  <si>
    <t>6031.2019/0001.861-1</t>
  </si>
  <si>
    <t>Avenida Afrânio Peixoto</t>
  </si>
  <si>
    <t>Nº49/SUB-BT/2019</t>
  </si>
  <si>
    <t>6031.2019/0001.857-3</t>
  </si>
  <si>
    <t>07.303.409/0001-33</t>
  </si>
  <si>
    <t>Professor Romulo Ribeiro Pieroni</t>
  </si>
  <si>
    <t>Nº47/SUB-BT/2019</t>
  </si>
  <si>
    <t>6031.2019/0001.863-8</t>
  </si>
  <si>
    <t>Cidade Lisboa</t>
  </si>
  <si>
    <t>Nº46/SUB-BT/2019</t>
  </si>
  <si>
    <t>6031.2019/0001.864-6</t>
  </si>
  <si>
    <t>Armando Teixeira Monteiro</t>
  </si>
  <si>
    <t>Nº44/SUB-BT/2019</t>
  </si>
  <si>
    <t>6031.2019/0001.866-2</t>
  </si>
  <si>
    <t>Avenida Jorge João Saad</t>
  </si>
  <si>
    <t>Nº45/SUB-BT/2019</t>
  </si>
  <si>
    <t>6031.2019/0001.865-4</t>
  </si>
  <si>
    <t>Avenida Valentim Gentil</t>
  </si>
  <si>
    <t>Nº43/SUB-BT/2019</t>
  </si>
  <si>
    <t>6031.2019/0001.867-0</t>
  </si>
  <si>
    <t>Caxingui</t>
  </si>
  <si>
    <t>Avenida Caxingui</t>
  </si>
  <si>
    <t>Nº54/SUB-BT/2019</t>
  </si>
  <si>
    <t>6031.2019/0001.875-1</t>
  </si>
  <si>
    <t>Dr. Joseph Feher</t>
  </si>
  <si>
    <t>Nº35/SUB-BT/2019</t>
  </si>
  <si>
    <t>6031.2019/0002.077-2</t>
  </si>
  <si>
    <t>CARLOS ALBERTO LAURITO</t>
  </si>
  <si>
    <t>044.297.028-53</t>
  </si>
  <si>
    <t>Av. Waldemar Ferreira</t>
  </si>
  <si>
    <t>Nº41/SUB-BT/2019</t>
  </si>
  <si>
    <t>6031.2019/0001.887-5</t>
  </si>
  <si>
    <t>Av. George Saville Dodd</t>
  </si>
  <si>
    <t>Nº53/SUB-BT/2019</t>
  </si>
  <si>
    <t>6031.2019/0001.886-7</t>
  </si>
  <si>
    <t>Dep. Jacob Salvador Zveibl</t>
  </si>
  <si>
    <t>Nº39/SUB-BT/2019</t>
  </si>
  <si>
    <t>6031.2019/0001.891-3</t>
  </si>
  <si>
    <t>Brasiloide</t>
  </si>
  <si>
    <t>Nº42/SUB-BT/2019</t>
  </si>
  <si>
    <t>6031.2019/0001.893-0</t>
  </si>
  <si>
    <t>Moacir Nycodemus</t>
  </si>
  <si>
    <t>Nº40/SUB-BT/2019</t>
  </si>
  <si>
    <t>6031.2019/0001.894-8</t>
  </si>
  <si>
    <t>Coronel Bonfim de Andrade</t>
  </si>
  <si>
    <t>Nº55/SUB-BT/2019</t>
  </si>
  <si>
    <t>6031.2019/0001.895-6</t>
  </si>
  <si>
    <t>Waldemar Ortiz</t>
  </si>
  <si>
    <t>Nº56/SUB-BT/2019</t>
  </si>
  <si>
    <t>6031.2019/0001.896-4</t>
  </si>
  <si>
    <t>Caibar Schutel</t>
  </si>
  <si>
    <t>Nº57/SUB-BT/2019</t>
  </si>
  <si>
    <t>6031.2019/0001.898-0</t>
  </si>
  <si>
    <t>Alfredo Gomes</t>
  </si>
  <si>
    <t>Nº58/SUB-BT/2019</t>
  </si>
  <si>
    <t>6031.2019/0001.899-9</t>
  </si>
  <si>
    <t>Rotary Clube de São Paulo</t>
  </si>
  <si>
    <t>Nº51/SUB-BT/2019</t>
  </si>
  <si>
    <t>6031.2019/0001.860-3</t>
  </si>
  <si>
    <t xml:space="preserve">Avenida Eliseu de Almeida </t>
  </si>
  <si>
    <t>Nº52/SUB-BT/2019</t>
  </si>
  <si>
    <t>6031.2019/0001.854-9</t>
  </si>
  <si>
    <t>MORUMBI</t>
  </si>
  <si>
    <t>Ruas Antonio de Barros de Hlhoa Cintra e Joapé -Cidade Jardim</t>
  </si>
  <si>
    <t>Nº60/SUB-BT/2019</t>
  </si>
  <si>
    <t>6031.2019/0001.902-2</t>
  </si>
  <si>
    <t>JHSF INCORPORAÇÃO LTDA</t>
  </si>
  <si>
    <t>05.345.215/0001-68</t>
  </si>
  <si>
    <t>Avenida Tajuras</t>
  </si>
  <si>
    <t>Nº61/SUB-BT/2019</t>
  </si>
  <si>
    <t>6031.2019/0001.905-7</t>
  </si>
  <si>
    <t>RAIA DROGARIA S/A</t>
  </si>
  <si>
    <t>61.585.865/0001-51</t>
  </si>
  <si>
    <t>Nº62/SUB-BT/2019</t>
  </si>
  <si>
    <t>6031.2019/0001.904-9</t>
  </si>
  <si>
    <t>BUTANTÃ</t>
  </si>
  <si>
    <t>Avenida dos Três Poderes até a Rua Santa Albina</t>
  </si>
  <si>
    <t>Nº37/SUB-BT/2019</t>
  </si>
  <si>
    <t>6031.2019/0002.036-5</t>
  </si>
  <si>
    <t>GSI COMUNICAÇÃO VISUAL LTDA</t>
  </si>
  <si>
    <t>21.708.311/0001-80</t>
  </si>
  <si>
    <t>Rua Tapeque</t>
  </si>
  <si>
    <t>Nº34/SUB-BT/2019</t>
  </si>
  <si>
    <t>6031.2019/0002.078-0</t>
  </si>
  <si>
    <t>Ruas Janauba e Roberto Chapi</t>
  </si>
  <si>
    <t>Nº32/SUB-BT/2019</t>
  </si>
  <si>
    <t>6031.2019/0002.076-4</t>
  </si>
  <si>
    <t>Rua Tanhaçu</t>
  </si>
  <si>
    <t>Nº64/SUB-BT/2019</t>
  </si>
  <si>
    <t>6031.2019/0002.075-6</t>
  </si>
  <si>
    <t>Mariana Eid Farhat</t>
  </si>
  <si>
    <t>Nº33/SUB-BT/2019</t>
  </si>
  <si>
    <t>6031.2019/0002.073-0</t>
  </si>
  <si>
    <t>Nº36/SUB-BT/2019</t>
  </si>
  <si>
    <t>6031.2019/0002.072-1</t>
  </si>
  <si>
    <t>Rua São Braulio com a Rua Olegário Mariano e Av. Morumbi</t>
  </si>
  <si>
    <t>Nº38/SUB-BT/2019</t>
  </si>
  <si>
    <t>6031.2019/0002.029-2</t>
  </si>
  <si>
    <t>SOCIAL SERVICE MKT RESPONSABILIDADE LTDA</t>
  </si>
  <si>
    <t>Nº22/SUB-BT/2021</t>
  </si>
  <si>
    <t>6031.2021/0000.069-4</t>
  </si>
  <si>
    <t>Rua Natal Pigassi e Rua Edward Camilo, Jd. Celeste</t>
  </si>
  <si>
    <t>Nº66/SUB-BT/2019</t>
  </si>
  <si>
    <t>6031.2019/0001.993-6</t>
  </si>
  <si>
    <t>VERONICA RIBEIRO DOS SANTOS</t>
  </si>
  <si>
    <t>331.041.868-55</t>
  </si>
  <si>
    <t>Kaol Sugimoto na Av. Eliseu de Almeida</t>
  </si>
  <si>
    <t>Nº67/SUB-BT/2019</t>
  </si>
  <si>
    <t>6031.2019/0002.444-1</t>
  </si>
  <si>
    <t>Fabio Pereira das Neves</t>
  </si>
  <si>
    <t>Nº99/SUB-BT/2021</t>
  </si>
  <si>
    <t>6031.2021/0004.324-5</t>
  </si>
  <si>
    <t>FABIO PEREIRA DAS NEVES</t>
  </si>
  <si>
    <t>215.534.378-70</t>
  </si>
  <si>
    <t>Praça Algarve, Vila Suzana</t>
  </si>
  <si>
    <t>Nº105/SUB-BT/2021</t>
  </si>
  <si>
    <t>6031.2021/0004.822-0</t>
  </si>
  <si>
    <t>Comunidade Montes Sião</t>
  </si>
  <si>
    <t>48.884.522/0001-20</t>
  </si>
  <si>
    <t>18/12/2021</t>
  </si>
  <si>
    <t>22.600,00</t>
  </si>
  <si>
    <t>VICENTE RODRIGUES</t>
  </si>
  <si>
    <t>Nº68/SUB-BT/2019</t>
  </si>
  <si>
    <t>6031.2019/0002.239-2</t>
  </si>
  <si>
    <t>Rua Ana Vieira de Carvalho</t>
  </si>
  <si>
    <t>Nº70/SUB-BT/2019</t>
  </si>
  <si>
    <t>6031.2019/0002.708-4</t>
  </si>
  <si>
    <t>LUIZ FELIPE DA ROCHA BRANDÃO</t>
  </si>
  <si>
    <t>949.494.097-00</t>
  </si>
  <si>
    <t>Dep. Afranio de Oliveira com Alça da Ponte Roberto Rossi Zuccolo</t>
  </si>
  <si>
    <t>Nº78/SUB-BT/2019</t>
  </si>
  <si>
    <t>6031.2019/0002.846-3</t>
  </si>
  <si>
    <t>SS&amp;P PROJETOS LTDA.</t>
  </si>
  <si>
    <t>Avenida Morumbi com a Avenida Giovanni Gronch</t>
  </si>
  <si>
    <t>Nº77/SUB-BT/2019</t>
  </si>
  <si>
    <t>6031.2019/0002.855-2</t>
  </si>
  <si>
    <t>07.303.596/0001-73</t>
  </si>
  <si>
    <t>Jardim Amaralina</t>
  </si>
  <si>
    <t>Nº71/SUB-BT/2019</t>
  </si>
  <si>
    <t>Sylvia Doria</t>
  </si>
  <si>
    <t>Nº74/SUB-BT/2019</t>
  </si>
  <si>
    <t>6031.2019/0002.903-6</t>
  </si>
  <si>
    <t>HOSPITAL ALBERT EINSTEIN</t>
  </si>
  <si>
    <t>60.765.823/0001-30</t>
  </si>
  <si>
    <t>Av. Morumbi com a Joaquim C. de Azevedo Marques e Rua Sargento Gilberto Marcondes Machado.</t>
  </si>
  <si>
    <t>Nº75/SUB-BT/2019</t>
  </si>
  <si>
    <t>6031.2019/0002.904-4</t>
  </si>
  <si>
    <t>Cidade Jardim, entre a Rua Elias Cutait e Av. das Acácias.</t>
  </si>
  <si>
    <t>VR ENTREPOSTO DE DECORAÇÃO E COMÉRCIO LTDA</t>
  </si>
  <si>
    <t>Julio Rissuta</t>
  </si>
  <si>
    <t>Nº84/SUB-BT/2019</t>
  </si>
  <si>
    <t>6031.2019/0003.056-5</t>
  </si>
  <si>
    <t>OSWALDO COSTA DE SOUZA</t>
  </si>
  <si>
    <t>530.572.878-91</t>
  </si>
  <si>
    <t xml:space="preserve">Rua Alcebiades Delamare com a Rua São Bonifácio </t>
  </si>
  <si>
    <t>Nº81/SUB-BT/2019</t>
  </si>
  <si>
    <t>6031.2019/0003.021-2</t>
  </si>
  <si>
    <t>Dario de Barros, na Av. dos Tajurás com Alcebiades Delamares</t>
  </si>
  <si>
    <t>Nº80/SUB-BT/2019</t>
  </si>
  <si>
    <t>6031.2019/0003.020-4</t>
  </si>
  <si>
    <t xml:space="preserve">Av. General Asdrubal da Cunha, ao lado do numero 530
</t>
  </si>
  <si>
    <t>Nº89/SUB-BT/2019</t>
  </si>
  <si>
    <t>6031.2019/0004.806-5</t>
  </si>
  <si>
    <t>HIRANO ESCOLA INFANTIL</t>
  </si>
  <si>
    <t>30.364.717/0001-83</t>
  </si>
  <si>
    <t xml:space="preserve">Raposo Tavares
</t>
  </si>
  <si>
    <t>SOLANGE TOMAZ DE SOUZA</t>
  </si>
  <si>
    <t>Nº88/SUB-BT/2019</t>
  </si>
  <si>
    <t>6031.2019/0004.827-8</t>
  </si>
  <si>
    <t>068.327.238-14</t>
  </si>
  <si>
    <t>18/02/2020</t>
  </si>
  <si>
    <t>LEROY MERLIN COMPANHIA BRASILEIRA DE BRICOLAGEM-THIAGO</t>
  </si>
  <si>
    <t>6031.2021/0001.364-8</t>
  </si>
  <si>
    <t>THIAGO</t>
  </si>
  <si>
    <t>Consevação/limpeza e Plantio</t>
  </si>
  <si>
    <t>PARK USP EMPREENDIMENTOS IMOBILIARIOS LTDA</t>
  </si>
  <si>
    <t>6031.2019/0000.839-6</t>
  </si>
  <si>
    <t>29.401.276/0001-63</t>
  </si>
  <si>
    <t>conservação/Limpeza e Plantio</t>
  </si>
  <si>
    <t>17/04/2019</t>
  </si>
  <si>
    <t>Jose Benedito Decoussau</t>
  </si>
  <si>
    <t>Nº56/SUB-BT/2021</t>
  </si>
  <si>
    <t>6031.2021/0001.926-3</t>
  </si>
  <si>
    <t>CLAUDINEY SUGO SATO</t>
  </si>
  <si>
    <t>200.995.718-03</t>
  </si>
  <si>
    <t>Av. Boa Ventura Jose Rodrigues Neto, entre a Av. Magalhães de Castro e Av. Duque de Goias</t>
  </si>
  <si>
    <t>LEROY MERLIN COMPANHIA BRASILEIRA DE BRICOLAGEM</t>
  </si>
  <si>
    <t>438.784/0013-30</t>
  </si>
  <si>
    <t>Rua Orlando Malagoli, altura do numero 92</t>
  </si>
  <si>
    <t>Nº94/SUB-BT/2021</t>
  </si>
  <si>
    <t>6031.2021/0003.469-6</t>
  </si>
  <si>
    <t>ASSOCIAÇÃO COMUNIDADE 1010</t>
  </si>
  <si>
    <t>37.987.063/0001-93</t>
  </si>
  <si>
    <t>Avenida General Asdrubal da Cunha, 991</t>
  </si>
  <si>
    <t>Nº96/SUB-BT/2021</t>
  </si>
  <si>
    <t>6031.2021/0003.523-4</t>
  </si>
  <si>
    <t>CRISTIANO ROCHA BRITO</t>
  </si>
  <si>
    <t>660.392.825-68</t>
  </si>
  <si>
    <t>Nº106/SUB-BT/2021</t>
  </si>
  <si>
    <t>6031.2021/0005.123-0</t>
  </si>
  <si>
    <t>Bico de Praça: Conservação/Limpeza e Plantio</t>
  </si>
  <si>
    <t xml:space="preserve">Vila Sonia
</t>
  </si>
  <si>
    <t>Esquina com Rua Santo Eufredo com Av. Roberto Lorenz</t>
  </si>
  <si>
    <t>Nº11/SUB-BT/2020</t>
  </si>
  <si>
    <t>6031.2020/0000.200-8</t>
  </si>
  <si>
    <t>LUIZ ROBERTO DE MORAES JUNQUEIRA</t>
  </si>
  <si>
    <t>445.978.438-68</t>
  </si>
  <si>
    <t>COnservação / Limpeza e Plantio</t>
  </si>
  <si>
    <t>Rua Desembargador Ulisses Doria, altura do numero 12 com Av. Dr. Alberto Penteado</t>
  </si>
  <si>
    <t>Nº12/SUB-BT/2020</t>
  </si>
  <si>
    <t>6031.2020/00000.316-0</t>
  </si>
  <si>
    <t>CLUBE PAINEIRAS DO MORUMBI</t>
  </si>
  <si>
    <t>52.400.207/0001-57</t>
  </si>
  <si>
    <t xml:space="preserve">Morumbi
</t>
  </si>
  <si>
    <t>Prof. Americo de Moura na Av. Oscar Americano e Tajuras</t>
  </si>
  <si>
    <t xml:space="preserve">Nº10/SUB-BT/2020
</t>
  </si>
  <si>
    <t>6031.2019/00005.755-2</t>
  </si>
  <si>
    <t>33.120,00</t>
  </si>
  <si>
    <t>Santa Suzana</t>
  </si>
  <si>
    <t>Nº13/SUB-BT/2020</t>
  </si>
  <si>
    <t>6031.2020/0000.317-9</t>
  </si>
  <si>
    <t>Vila São Francisco</t>
  </si>
  <si>
    <t>Av. Dr. Candido Motta Filho, 734</t>
  </si>
  <si>
    <t>Nº94/SUB-BT/2019</t>
  </si>
  <si>
    <t>6031.2019/0005.182-1</t>
  </si>
  <si>
    <t>ANTONIO PRADO COSTA JUNIOR</t>
  </si>
  <si>
    <t>090.329.488-57</t>
  </si>
  <si>
    <t xml:space="preserve">Mario Garneiro, </t>
  </si>
  <si>
    <t>Nº95/SUB-BT/2019</t>
  </si>
  <si>
    <t>6031.2019/0005.181-3</t>
  </si>
  <si>
    <t>Entre as Ruas Padre Justino e Dr. Cicero de Alencar</t>
  </si>
  <si>
    <t>Nº91/SUB-BT/2019</t>
  </si>
  <si>
    <t>INSTITUTO JOVEM CONSCIENTE</t>
  </si>
  <si>
    <t>Av.dos Tres Poderes e a Av. Prof. Francisco Morato</t>
  </si>
  <si>
    <t>Nº92/SUB-BT/2019</t>
  </si>
  <si>
    <t>6031.2019/0004.444-2</t>
  </si>
  <si>
    <t>ASSOCIAÇÃO ITACA DE ENSINO</t>
  </si>
  <si>
    <t>Rua Boa Esperança do Sul com Av. Morumbi</t>
  </si>
  <si>
    <t xml:space="preserve">084.210/0001-2
</t>
  </si>
  <si>
    <t>Arq. Plinio Croce e Canteiros laterias entre a Rua Sapetuba, cruzamento da Av. Prof. Francisco Morato alt. 365.</t>
  </si>
  <si>
    <t>Nº14/SUB-BT/2020</t>
  </si>
  <si>
    <t>6031.2020/0000.747-6</t>
  </si>
  <si>
    <t>WASHINGTON AUDE CORREIRA DA SILVA</t>
  </si>
  <si>
    <t>27/03/2020</t>
  </si>
  <si>
    <t>Rua Pascoal Leite, ao lado do numero 154</t>
  </si>
  <si>
    <t>15/SUB-BT/2020</t>
  </si>
  <si>
    <t>6031.2020/0000.749-2</t>
  </si>
  <si>
    <t>CASSIO MAKUL</t>
  </si>
  <si>
    <t>160.215.718-94</t>
  </si>
  <si>
    <t xml:space="preserve">Em frente a praça Julio Delaquila, cruzamento com a Rua Carlos Lisdegno Calucci </t>
  </si>
  <si>
    <t>Nº57/SUB-BT/2021</t>
  </si>
  <si>
    <t>6031.2020/0000.945-2</t>
  </si>
  <si>
    <t xml:space="preserve">Conservação/ Limpeza e Plantio
</t>
  </si>
  <si>
    <t>Nº18/SUB-BT/2020</t>
  </si>
  <si>
    <t>6031.2020/0001.235-6</t>
  </si>
  <si>
    <t>CONDESP CONTABILIDADE</t>
  </si>
  <si>
    <t>10.652.452/0001-01</t>
  </si>
  <si>
    <t>17//04/2020</t>
  </si>
  <si>
    <t>17/04/2020</t>
  </si>
  <si>
    <t>Av Gal. Cavalcante de Albuquerque, Jardim Londrina</t>
  </si>
  <si>
    <t>Nº104/SUB-BT/2021</t>
  </si>
  <si>
    <t>18.000,00</t>
  </si>
  <si>
    <t>Carlos Cyrillo com Av. Com.Adibo Ares</t>
  </si>
  <si>
    <t>Nº19/SUB-BT/2020</t>
  </si>
  <si>
    <t>6031.2020/0001.259-3</t>
  </si>
  <si>
    <t>TGSP-39 EMPREENDIMENTOS IMOBILIARIAS LTDA E JH COMUNICAÇÃO VISUAL EIRELLI</t>
  </si>
  <si>
    <t>26.334.084/0001-13 / 07.303.492/0001-33</t>
  </si>
  <si>
    <t>30/04/2020</t>
  </si>
  <si>
    <t>25/05/2020</t>
  </si>
  <si>
    <t>Engenheiro Oscar Americano com a Av. Morumbi</t>
  </si>
  <si>
    <t>Nº23/SUB-BT/2020</t>
  </si>
  <si>
    <t>6031.2020/0001.267-4</t>
  </si>
  <si>
    <t>TGSP-39 EMPREENDIMENTOS IMOBILIARIAS LTDA E SOCIAL SERVICE COMUNICAÇÃO MKT DE RESPONSABILIDADE LTDA</t>
  </si>
  <si>
    <t>26.334.084/0001-13 / 07.334.084/0001-33</t>
  </si>
  <si>
    <t>20/05/2020</t>
  </si>
  <si>
    <t>Av. Morumbi com Av. Giovanni Gronchi</t>
  </si>
  <si>
    <t>Nº22/SUB-BT/2020</t>
  </si>
  <si>
    <t>6031.2020/0001.269-0</t>
  </si>
  <si>
    <t>Av. Morumbi com a Rua São Bráulio</t>
  </si>
  <si>
    <t>Nº21/SUB-BT/2020</t>
  </si>
  <si>
    <t>6031.2020/0001.270-4</t>
  </si>
  <si>
    <t xml:space="preserve">Renato Checcia </t>
  </si>
  <si>
    <t>Nº20/SUB-BT/2020</t>
  </si>
  <si>
    <t>6031.2020/0001.264-0</t>
  </si>
  <si>
    <t>26.334.084/0001-13 / 07.334.492/0001-33</t>
  </si>
  <si>
    <t>Rua Carlos Cyrillo com Av. Comendador Adibo Ares</t>
  </si>
  <si>
    <t>TGSP-39-EMPREENDIMENTOS IMOBILIARIOS LTDA E IH COMUNICAÇÃO VISUAL EIRELLI</t>
  </si>
  <si>
    <t>Cruzamento da Rua Itapé-Açú x Rua Jose Augusto de Queiroz x Praça Afranio de Oliveira</t>
  </si>
  <si>
    <t>Nº27/SUB-BT/2020</t>
  </si>
  <si>
    <t>6031.2020/0001.333-6</t>
  </si>
  <si>
    <t>Av. Magalhães de Castro x Rua Itapé-Açú x Praça Deputado Afrânio de Oliveira</t>
  </si>
  <si>
    <t>Nº26/SUB-BT/2020</t>
  </si>
  <si>
    <t>6031.2020/0001.332-8</t>
  </si>
  <si>
    <t>Esquina da Rua Jose Augusto x Rua Itaé-Açú</t>
  </si>
  <si>
    <t>Nº25/SUB-BT/2020</t>
  </si>
  <si>
    <t>6031.2020/0001.334-4</t>
  </si>
  <si>
    <t>Em frente ao nº 1515 da Giovanne Gronchi, esquina com a R.Jorge João Saad</t>
  </si>
  <si>
    <t>Nº31/SUB0BT/2020</t>
  </si>
  <si>
    <t>6031.2020/0001.557-6</t>
  </si>
  <si>
    <t>DANTE CARRARO</t>
  </si>
  <si>
    <t>006.610.008-93</t>
  </si>
  <si>
    <t>Rua Circular do Bosque x Av. Morumbi</t>
  </si>
  <si>
    <t>Nº30/SUB-BT/2020</t>
  </si>
  <si>
    <t>6031.2020/0001.468-5</t>
  </si>
  <si>
    <t>BL LEILÕES VENDAS DIRETAS E AVALIAÇÕES IMOVEIS E BENS</t>
  </si>
  <si>
    <t>15/06/2020</t>
  </si>
  <si>
    <t>Avenida Beijamim Mansur</t>
  </si>
  <si>
    <t>Nº24/SUB-BT/2020</t>
  </si>
  <si>
    <t>6031.2020/0001.412-0</t>
  </si>
  <si>
    <t>Paulo Jorge de Lima</t>
  </si>
  <si>
    <t>6031.2020/0001.410-3</t>
  </si>
  <si>
    <t>Rua Dr. Queiroz Guimarães com a Av. Prof. Francisco Morato</t>
  </si>
  <si>
    <t>6031.2020/0001.413-8</t>
  </si>
  <si>
    <t>Praça Vinicius de Moraes e a Rua Barão de Pirapama</t>
  </si>
  <si>
    <t>Nº29/SUB/BT/2020</t>
  </si>
  <si>
    <t>6031.2020/0001.462-6</t>
  </si>
  <si>
    <t>16/06/2020</t>
  </si>
  <si>
    <t>Av. Candido Mota Filho</t>
  </si>
  <si>
    <t>Nº32/SUB-BT/2020</t>
  </si>
  <si>
    <t>6031.2020/0001.594-0</t>
  </si>
  <si>
    <t>IDIOMAS VILA SÃO FRANCISCO COMERCIAL LTDA</t>
  </si>
  <si>
    <t>03.636.564/0001-03</t>
  </si>
  <si>
    <t>23/06/2020</t>
  </si>
  <si>
    <t>20/07/2020</t>
  </si>
  <si>
    <t>Rua Capitão Paulo Carrilho, Rua Capitão Frederico Pradel, Rua Padre Camilo e Rua Cicero de Alencar</t>
  </si>
  <si>
    <t>Nº35/SUB-BT/2020</t>
  </si>
  <si>
    <t>6031.2020/0001.772-2</t>
  </si>
  <si>
    <t>Avenida Boaventura Jose Rodrigues Neto</t>
  </si>
  <si>
    <t>Nº36/SUB-BT/2020</t>
  </si>
  <si>
    <t>6031.2020/0002.282-3</t>
  </si>
  <si>
    <t>16/09/2020</t>
  </si>
  <si>
    <t>Rua Pedro Avancini com a Rua Magalhães de Castro</t>
  </si>
  <si>
    <t>Nº107/SUB-BT/2021</t>
  </si>
  <si>
    <t>6031.2021/0005.219-8</t>
  </si>
  <si>
    <t>SOCIAL SERVICE MKT DE RESPONSABILIDADE LTDA</t>
  </si>
  <si>
    <t>36.000,00</t>
  </si>
  <si>
    <t>Muro da USP, compreendida entre a Avenida Escola Politécnica e a Ponte Cidade Jardim</t>
  </si>
  <si>
    <t>Nº38/SUB-BT/2020</t>
  </si>
  <si>
    <t>6031.2020/0002.279-3</t>
  </si>
  <si>
    <t>21.708.311/0001.-80</t>
  </si>
  <si>
    <t>Avenida Magalhães de Castro, 4800 a 12000</t>
  </si>
  <si>
    <t>Nº59/SUB-BT/2021</t>
  </si>
  <si>
    <t>6031.2021/0001.236-6</t>
  </si>
  <si>
    <t>JHSF PARTICIPAÇÕES S.A</t>
  </si>
  <si>
    <t>08.294.224/0001-65</t>
  </si>
  <si>
    <t>Passarela</t>
  </si>
  <si>
    <t>Alberto Rangel</t>
  </si>
  <si>
    <t>6031.2021/0001.739-2</t>
  </si>
  <si>
    <t>Ponte Antiga do Morumbi, Marginal com a Avenida Morumbi</t>
  </si>
  <si>
    <t>Nº21/SUB-BT/2021</t>
  </si>
  <si>
    <t>6031.2021/0000.070-8</t>
  </si>
  <si>
    <t>21/09/2021</t>
  </si>
  <si>
    <t xml:space="preserve">Avenida Jorge João Saad, 377-A, Vila Progredior </t>
  </si>
  <si>
    <t>Nº47/SUB-BT/2020</t>
  </si>
  <si>
    <t>6031.2020/0003.069-9</t>
  </si>
  <si>
    <t>ADEGA APERITIVO EXPRESS MORUMBI</t>
  </si>
  <si>
    <t>31.349.660/0001-06</t>
  </si>
  <si>
    <t>Nº117/SUB-BT/2021</t>
  </si>
  <si>
    <t>6031.2021/0005.178-7</t>
  </si>
  <si>
    <t>Axel Empreendimentos Imobiliários Ltda</t>
  </si>
  <si>
    <t>Área Pública: Conservação/Limpeza e Plantio</t>
  </si>
  <si>
    <t xml:space="preserve">Avenida Eliseu de Almeida, 3307, </t>
  </si>
  <si>
    <t>Nº58/SUB-BT/2021</t>
  </si>
  <si>
    <t>6031.2021/0001.886-0</t>
  </si>
  <si>
    <t>CONDOMINIO PRAÇA BUTANTÃ</t>
  </si>
  <si>
    <t>33.761.266/0001-06</t>
  </si>
  <si>
    <t>Avenida Corifeu de Azevedo Marques , 2500</t>
  </si>
  <si>
    <t>Nº118/SUB-BT/2021</t>
  </si>
  <si>
    <t>6031.2021/0005.179-5</t>
  </si>
  <si>
    <t>GABRIEL GONZAGA ALVES DA COSTA</t>
  </si>
  <si>
    <t>450.641.078-54</t>
  </si>
  <si>
    <t>Rua Carlos Cyrillon com Av. Giovanni Gronchi</t>
  </si>
  <si>
    <t>6031.2020/00003.982-3</t>
  </si>
  <si>
    <t>16/08/2021</t>
  </si>
  <si>
    <t>Av. Professor Francisco Morato, alt.3363, com a Rua Canio  Rizzo</t>
  </si>
  <si>
    <t>LAVIERI ADMINISTRADORA E IMOBILIARIA SS LTDA</t>
  </si>
  <si>
    <t>Av.Pirajussara alt.5000 com a Rua Aureliano Pimentel entre a Rua Carlos Mesquita e Av. Monsenhor Manfredo Leite</t>
  </si>
  <si>
    <t>Jardim Peri Peri</t>
  </si>
  <si>
    <t>Rua Carlos Lisdigno Carlucci</t>
  </si>
  <si>
    <t>Nº53/SUB-BT/2020</t>
  </si>
  <si>
    <t>6031.2020/0003.522-4</t>
  </si>
  <si>
    <t>CASA 7 ATELIE DE BELEZA</t>
  </si>
  <si>
    <t>34.765.286/0001-18</t>
  </si>
  <si>
    <t>Canteiro Lateral Av.Eliseu de Almeida, altura do 1200, cruzamento com a Rua Carlos Lisdegno Calucci em frente a Pça Julio Dellaquila</t>
  </si>
  <si>
    <t>6031.2021/0001.963-8</t>
  </si>
  <si>
    <t>Washington Aude Correia da Silva</t>
  </si>
  <si>
    <t>22/06/2021</t>
  </si>
  <si>
    <t>Odorico Menin</t>
  </si>
  <si>
    <t>Nº112/SUB-BT/2021</t>
  </si>
  <si>
    <t>6031.2021/0005.361-5</t>
  </si>
  <si>
    <t>SOCIEDADE AMIGOS DA CIDADE JARDIM</t>
  </si>
  <si>
    <t>7.920,00</t>
  </si>
  <si>
    <t>Canteiro Elevado Av.Cidade Jardim, entre a cabeceira da ponte Eng.Roberto Zuccolo e passarela Miguel Reale</t>
  </si>
  <si>
    <t>6031.2020/0001.893-1</t>
  </si>
  <si>
    <t>SOCIAL SERVICE MKT DE RESPONSABILIDADE LTDA E LEF IMOVEIS E ADMINISTRAÇÃO LTDA</t>
  </si>
  <si>
    <t xml:space="preserve">07.303.492/0001-33 </t>
  </si>
  <si>
    <t>Praça Osvaldo Silva na Rua Cônego Luiz Vieira da Silva, 500</t>
  </si>
  <si>
    <t>Nº 20/SUB-BT/2021</t>
  </si>
  <si>
    <t>6031.2020/0004384-7</t>
  </si>
  <si>
    <t>PROJETO SOCIOCULTURA AMIGOS DO JOÃO XXIII</t>
  </si>
  <si>
    <t>39.294.180/0001-05</t>
  </si>
  <si>
    <t>SÃO PAULO FUTEBOL CLUBE</t>
  </si>
  <si>
    <t>18/01/2021</t>
  </si>
  <si>
    <t>Av. Jules Rimet e Rua Dona Adelina Ashcar</t>
  </si>
  <si>
    <t>Nº12/SUB-BT/2021</t>
  </si>
  <si>
    <t>6031.2020/0004.075-9</t>
  </si>
  <si>
    <t>Eduardo Nodruz, prox. a Rua Pde Jose Achoteguin e Rua Dario de Castro Bueno</t>
  </si>
  <si>
    <t>Nº13/SUB-BT/2021</t>
  </si>
  <si>
    <t>6031.2020/0004.076-7</t>
  </si>
  <si>
    <t>EAS DESENVOLVIMENTO IMOBILIÁRIO LTDA</t>
  </si>
  <si>
    <t>INSTITUTO DO TÊNIS DE  São Paulo</t>
  </si>
  <si>
    <t>Nº24/SUB-BT/2021</t>
  </si>
  <si>
    <t>6031.2021/000.513-0</t>
  </si>
  <si>
    <t>INSTITUTO DO TÊNIS DE SÃO PAULO</t>
  </si>
  <si>
    <t>39.583.990/0001-73</t>
  </si>
  <si>
    <t>Av.Eusebio Matoso, entre a Av. Lineu de Paula Machado e Rua Bento Farias</t>
  </si>
  <si>
    <t>Nº50/SUB-BT/2021</t>
  </si>
  <si>
    <t>6031.2021/0001.884-9</t>
  </si>
  <si>
    <t>Isabella Yuri Kobayashi</t>
  </si>
  <si>
    <t>29/05/2021</t>
  </si>
  <si>
    <t>Av. Engenheiro Heitor Antonio Eiras Garcia, 4217, ao lado da Praça das Luzes</t>
  </si>
  <si>
    <t>Nº28/SUB-BT/2021</t>
  </si>
  <si>
    <t>6031.2021/0000.628-5</t>
  </si>
  <si>
    <t>PALOMA SUZARTE DA SILVA</t>
  </si>
  <si>
    <t>350.793.628-39</t>
  </si>
  <si>
    <t>Av. Engenheiro Heitor Antonio Eiras Garcia, em frente ao Posto</t>
  </si>
  <si>
    <t>Nº15/SUB-BT/2021</t>
  </si>
  <si>
    <t>6031.2020/0004.060-0</t>
  </si>
  <si>
    <t>Ana Carolina Menezes Morali</t>
  </si>
  <si>
    <t>277.759.148-23</t>
  </si>
  <si>
    <t>Praça Eva Kovacs, proxima a Rua Comendador Adibo Ares</t>
  </si>
  <si>
    <t>Nº18/SUB-BT/2021</t>
  </si>
  <si>
    <t>6031.2020/0004.077-5</t>
  </si>
  <si>
    <t>06.859.256/0001-99</t>
  </si>
  <si>
    <t xml:space="preserve">Rua Afonso Raiola, 172, </t>
  </si>
  <si>
    <t>Nº32/SUB-BT/2021</t>
  </si>
  <si>
    <t>6031.2021/0000.681-1</t>
  </si>
  <si>
    <t>CELSO VICTOR DE MORAES</t>
  </si>
  <si>
    <t>177.566.998-07</t>
  </si>
  <si>
    <t>Rua Affonso Raiola</t>
  </si>
  <si>
    <t>Nº33/SUB-BT/2021</t>
  </si>
  <si>
    <t>6031.2021/0000.679-0</t>
  </si>
  <si>
    <t>NIVALDO ALVES QUERINO</t>
  </si>
  <si>
    <t>086.399.208-00</t>
  </si>
  <si>
    <t>na ponta da Praça Odorico Menin com a Rua Maracaibo</t>
  </si>
  <si>
    <t>Nº111/SUB-BT/2021</t>
  </si>
  <si>
    <t>6031.2021/0005.363-1</t>
  </si>
  <si>
    <t>Ilha: Conservação/Limpeza e Plantio</t>
  </si>
  <si>
    <t>Avenida Pirajussara (total)</t>
  </si>
  <si>
    <t>Nº54/SUB-BT/2021</t>
  </si>
  <si>
    <t xml:space="preserve">21/06/2021 </t>
  </si>
  <si>
    <t>Avenida Eliseu de Almeida (total)</t>
  </si>
  <si>
    <t>16/04/2021</t>
  </si>
  <si>
    <t>Anselmo Lambi, Av. Marechal Juarez Tavora, s/nº</t>
  </si>
  <si>
    <t>Nº51/SUB-BT/2021</t>
  </si>
  <si>
    <t>6031.2021/0001.433-4</t>
  </si>
  <si>
    <t>COLEGIO ANGLO DO MORUMBI</t>
  </si>
  <si>
    <t>05.482.594/0002.19</t>
  </si>
  <si>
    <t>66.600,00</t>
  </si>
  <si>
    <t>23/04/2021</t>
  </si>
  <si>
    <t>Butanta</t>
  </si>
  <si>
    <t>Rua Ford Brawn, proximo ao numero 12, Jd. das Vertentes</t>
  </si>
  <si>
    <t>Nº95/SUB-BT/2021</t>
  </si>
  <si>
    <t>6031.2021/0004.094-7</t>
  </si>
  <si>
    <t>TIAGO BISPO DOS SANTOS</t>
  </si>
  <si>
    <t>339.742.308-23</t>
  </si>
  <si>
    <t>Rua Jamile Abrahão Kali com a Rua Dr. Jose Pinto Azeredo</t>
  </si>
  <si>
    <t>6031.2021/0004.933-2</t>
  </si>
  <si>
    <t>Alida Cecilia Salazar de Pinho</t>
  </si>
  <si>
    <t>282.334.868-92</t>
  </si>
  <si>
    <t>18/11/2021</t>
  </si>
  <si>
    <t>na ponta da Praça Odorico Menin com a Rua Managua</t>
  </si>
  <si>
    <t>Nº110/SUB-BT/2021</t>
  </si>
  <si>
    <t>6031.2021/0005.368-2</t>
  </si>
  <si>
    <t>Rua Managua , esquina com a Rua Ilimani</t>
  </si>
  <si>
    <t>Nº109/SUB-BT/2021</t>
  </si>
  <si>
    <t>6031.2021/0005.369-0</t>
  </si>
  <si>
    <t>5.040,00</t>
  </si>
  <si>
    <t>Rua Maracaibo esquina com Praça Professor Cardim</t>
  </si>
  <si>
    <t>Nº108/SUB-BT/2021</t>
  </si>
  <si>
    <t>6031.2021/0005.370-4</t>
  </si>
  <si>
    <t>na Praça João Adhemar de Almeida Prado confluência com Av. Lineu de Paula Machado</t>
  </si>
  <si>
    <t>Nº115/SUB-BT/2021</t>
  </si>
  <si>
    <t>6031.2021/0005.371-2</t>
  </si>
  <si>
    <t>19.440,00</t>
  </si>
  <si>
    <t>Praça João Adhemar de Almeida Prado com fluência com Av. de Paula Machado</t>
  </si>
  <si>
    <t>Nº114/SUB-BT/2021</t>
  </si>
  <si>
    <t>6031.2021/0005.372-0</t>
  </si>
  <si>
    <t>em torno da Rua Maracaibo confluência com a Praça João Adhemar de Almeida Prado.</t>
  </si>
  <si>
    <t>Nº116/SUB-BT/2021</t>
  </si>
  <si>
    <t>6031.2021/0005.373-9</t>
  </si>
  <si>
    <t>João Adhemar de Almeida Prado na Rua São Valerio e Avenida Lineu de Paula Machado</t>
  </si>
  <si>
    <t>Nº113/SUB-BT/2021</t>
  </si>
  <si>
    <t>6031.2021/0005.357-7</t>
  </si>
  <si>
    <t>Entre a Praça Sta Suzana com a Rua Domingos Simões, 78 e as Ruas Luis Ramos Figueira 172</t>
  </si>
  <si>
    <t>Nº01/SUB-BT/2022</t>
  </si>
  <si>
    <t>6031.2021/0004.631-7</t>
  </si>
  <si>
    <t>SILVANA RAFAEL ALVES PEREIRA</t>
  </si>
  <si>
    <t>068.449.748-41</t>
  </si>
  <si>
    <t>18000,00</t>
  </si>
  <si>
    <t>Nº07/SUB-BT/2022</t>
  </si>
  <si>
    <t>6031.2022/0000.179-0</t>
  </si>
  <si>
    <t>15/02/2022</t>
  </si>
  <si>
    <t>Rua Marechal Olimpio Mourão Filho com Rua Dr. Aires Martins Torres, Vila São Francisco</t>
  </si>
  <si>
    <t>Nº05/SUB-BT/2022</t>
  </si>
  <si>
    <t>6031.2022/0000.181-1</t>
  </si>
  <si>
    <t>Associação Escola do Futuro</t>
  </si>
  <si>
    <t>12.600,00</t>
  </si>
  <si>
    <t>Av. Candido Mota Filho, em frente ao Shopping Colina de São Francisco</t>
  </si>
  <si>
    <t>Nº04/SUB-BT/2022</t>
  </si>
  <si>
    <t>6031.2022/0000.182-0</t>
  </si>
  <si>
    <t>54.000,00</t>
  </si>
  <si>
    <t>Av. Candido Mota Filho, alt. 6108, São Francisco</t>
  </si>
  <si>
    <t>Nº06/SUB-BT/2022</t>
  </si>
  <si>
    <t>6031.2022/0000.184-6</t>
  </si>
  <si>
    <t>Rua Daniele Crespi</t>
  </si>
  <si>
    <t>Nº02/SUB-BT/2022</t>
  </si>
  <si>
    <t>6031.2021/0005.481-6</t>
  </si>
  <si>
    <t>Conjunto Residencial Jardim Celeste</t>
  </si>
  <si>
    <t>54.322.391/0001-90</t>
  </si>
  <si>
    <t>21.600,00</t>
  </si>
  <si>
    <t>João Antonio Afonso de Souza Castellano</t>
  </si>
  <si>
    <t>Nº03/SUB-BT/2022</t>
  </si>
  <si>
    <t>6031.2022/0000.156-0</t>
  </si>
  <si>
    <t>Ana Aragão</t>
  </si>
  <si>
    <t>836.884.558-00</t>
  </si>
  <si>
    <t>144.000,00</t>
  </si>
  <si>
    <t>Sergio Vieira de Mello, Prox. A Rua Crésilas e Rua F4</t>
  </si>
  <si>
    <t>4.762,60</t>
  </si>
  <si>
    <t>Nº12/SUB-BT/2022</t>
  </si>
  <si>
    <t>6031.2022/0000.836-0</t>
  </si>
  <si>
    <t>19/03/2022</t>
  </si>
  <si>
    <t>201.600,00</t>
  </si>
  <si>
    <t>Professor Americo de Moura/São Valério</t>
  </si>
  <si>
    <t>Nº09/SUB-BT/2022</t>
  </si>
  <si>
    <t>6031.2022/0000.592-2</t>
  </si>
  <si>
    <t>Miro Imoveis Ltda. - EPP</t>
  </si>
  <si>
    <t>72.000,00</t>
  </si>
  <si>
    <t>Nº08/SUB-BT/2022</t>
  </si>
  <si>
    <t>6031.2022/0000.593-0</t>
  </si>
  <si>
    <t>14.400,00</t>
  </si>
  <si>
    <t>1093,16</t>
  </si>
  <si>
    <t>Nº15/SUB-BT/2022</t>
  </si>
  <si>
    <t>6031.2022/0000.869-7</t>
  </si>
  <si>
    <t>Associação do Condomínio Colina São Francisco</t>
  </si>
  <si>
    <t>Rua Dr.  Jose Benedito Viana de Moraes</t>
  </si>
  <si>
    <t>Nº13/SUB-BT/2022</t>
  </si>
  <si>
    <t>6031.2022/0000.861-1</t>
  </si>
  <si>
    <t>Nº18/SUB-BT/2022</t>
  </si>
  <si>
    <t>6031.2022/0000.870-0</t>
  </si>
  <si>
    <t>Associação do Condominio Colina  São Francisco</t>
  </si>
  <si>
    <t>Área Verde: Conservação/Limpeza e Plantio</t>
  </si>
  <si>
    <t>Nº17/SUB-BT/2022</t>
  </si>
  <si>
    <t>6031.2022/0000.853-0</t>
  </si>
  <si>
    <t>Associação Colina de São Francisco</t>
  </si>
  <si>
    <t>11.590,00</t>
  </si>
  <si>
    <t>Rua Dr. Jose Benedito Viana de Moraes com a Rua Dr. Manoel de Paiva Ramos</t>
  </si>
  <si>
    <t>Nº16/SUB-BT/2022</t>
  </si>
  <si>
    <t>6031.2022/0000.857-3</t>
  </si>
  <si>
    <t>11.500,00</t>
  </si>
  <si>
    <t>Av. Eliseu de Almeida com Av. Imigrante Japonês</t>
  </si>
  <si>
    <t>Nº11/SUB-BT/2022</t>
  </si>
  <si>
    <t>6031.2022/0000.761-5</t>
  </si>
  <si>
    <t>14.250,00</t>
  </si>
  <si>
    <t>Rua Vicente Oropallo com afluência com a Rua Dr. Manoel de Paiva Ramos</t>
  </si>
  <si>
    <t>Nº14/SUB-BT/2022</t>
  </si>
  <si>
    <t>6031.2022/0000.866-2</t>
  </si>
  <si>
    <t>Rua Saverio Quadrio no Jardim Amaralina</t>
  </si>
  <si>
    <t>Nº10/SUB-BT/2022</t>
  </si>
  <si>
    <t>6031.2022/0000.724-0</t>
  </si>
  <si>
    <t>Vitor Barbosa da Silva</t>
  </si>
  <si>
    <t>352.609.050-06</t>
  </si>
  <si>
    <t>Santo Antonio do Caxingui</t>
  </si>
  <si>
    <t>6031.2022/0001.279-1</t>
  </si>
  <si>
    <t>Cristalia Produtos Químicos Farmaceutico</t>
  </si>
  <si>
    <t>Sociedade Amigos da Cidade Jardim</t>
  </si>
  <si>
    <t>Canteiro Lateral: Conservação/Limpeza e Plantio</t>
  </si>
  <si>
    <t>CARLOS ALBERTO FIGUEIRA LEITÃO</t>
  </si>
  <si>
    <t>Nº19/SUB-BT/2022</t>
  </si>
  <si>
    <t>6031.2022/0001.007-1</t>
  </si>
  <si>
    <t>ASSOCIAÇÃO NO ACONCHEGO</t>
  </si>
  <si>
    <t>26.025.516/0001-84</t>
  </si>
  <si>
    <t>Professor João Alves da Silva</t>
  </si>
  <si>
    <t>Uirapuru</t>
  </si>
  <si>
    <t>Proximo a Rua dos Limantos e Rua dos Goivos</t>
  </si>
  <si>
    <t>Ematuba , entre a Rua dos Goivos e Rua dos Nenufares</t>
  </si>
  <si>
    <t>Sociedade Amigos da cidade Jardim</t>
  </si>
  <si>
    <t>Proximo a Rua Silena e Rua das Jabuticabeiras</t>
  </si>
  <si>
    <t>Proximo a Rua Silena e Rua dos Plátanos</t>
  </si>
  <si>
    <t>Renzo Pagliari</t>
  </si>
  <si>
    <t>6031.2022/0001.278-3</t>
  </si>
  <si>
    <t>Valter Nogueira</t>
  </si>
  <si>
    <t>345.754.708-48</t>
  </si>
  <si>
    <t>Rua Reverendo Miguel Rizzo Junior</t>
  </si>
  <si>
    <t>Jose Carlos Revoredo Barros</t>
  </si>
  <si>
    <t>055.950.438-14</t>
  </si>
  <si>
    <t>PROTOCOLO</t>
  </si>
  <si>
    <t>CONT</t>
  </si>
  <si>
    <t>ID</t>
  </si>
  <si>
    <t>MÊS</t>
  </si>
  <si>
    <t>Menos de 1 mês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</si>
</sst>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/&quot;mm&quot;/&quot;yyyy"/>
    <numFmt numFmtId="165" formatCode="mm/dd/yyyy"/>
    <numFmt numFmtId="166" formatCode="dd/mm/yyyy"/>
    <numFmt numFmtId="167" formatCode="_(* #,##0_);_(* \(#,##0\);_(* &quot;-&quot;??_);_(@_)"/>
    <numFmt numFmtId="168" formatCode="m.yyyy"/>
    <numFmt numFmtId="169" formatCode="0000"/>
  </numFmts>
  <fonts count="8">
    <font>
      <sz val="11.0"/>
      <color rgb="FF000000"/>
      <name val="Calibri"/>
    </font>
    <font>
      <b/>
      <sz val="15.0"/>
      <name val="Calibri"/>
    </font>
    <font>
      <sz val="11.0"/>
      <name val="Calibri"/>
    </font>
    <font>
      <b/>
      <sz val="11.0"/>
      <color rgb="FF000000"/>
      <name val="Calibri"/>
    </font>
    <font>
      <sz val="11.0"/>
      <color/>
      <name val="Calibri"/>
    </font>
    <font/>
    <font>
      <sz val="11.0"/>
      <color rgb="FF000000"/>
      <name val="Docs-Calibri"/>
    </font>
    <font>
      <b/>
    </font>
  </fonts>
  <fills count="10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DAEEF3"/>
        <bgColor rgb="FFDAEEF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3" fontId="1" numFmtId="1" xfId="0" applyAlignment="1" applyFill="1" applyFont="1" applyNumberFormat="1">
      <alignment horizontal="center" shrinkToFit="0" vertical="center" wrapText="1"/>
    </xf>
    <xf borderId="0" fillId="4" fontId="1" numFmtId="1" xfId="0" applyAlignment="1" applyFill="1" applyFont="1" applyNumberFormat="1">
      <alignment horizontal="center" shrinkToFit="0" vertical="center" wrapText="1"/>
    </xf>
    <xf borderId="0" fillId="3" fontId="1" numFmtId="0" xfId="0" applyAlignment="1" applyFont="1">
      <alignment horizontal="center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5" fontId="2" numFmtId="0" xfId="0" applyAlignment="1" applyFill="1" applyFont="1">
      <alignment horizontal="center" shrinkToFit="0" vertical="center" wrapText="1"/>
    </xf>
    <xf borderId="0" fillId="6" fontId="2" numFmtId="0" xfId="0" applyAlignment="1" applyFill="1" applyFont="1">
      <alignment horizontal="center" shrinkToFit="0" vertical="center" wrapText="1"/>
    </xf>
    <xf borderId="0" fillId="7" fontId="2" numFmtId="0" xfId="0" applyAlignment="1" applyFill="1" applyFont="1">
      <alignment horizontal="center" shrinkToFit="0" vertical="center" wrapText="1"/>
    </xf>
    <xf borderId="0" fillId="6" fontId="2" numFmtId="0" xfId="0" applyAlignment="1" applyFont="1">
      <alignment horizontal="center" shrinkToFit="0" vertical="center" wrapText="1"/>
    </xf>
    <xf borderId="0" fillId="6" fontId="0" numFmtId="0" xfId="0" applyAlignment="1" applyFont="1">
      <alignment horizontal="center" shrinkToFit="0" vertical="center" wrapText="1"/>
    </xf>
    <xf borderId="0" fillId="7" fontId="0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7" fontId="0" numFmtId="0" xfId="0" applyAlignment="1" applyFont="1">
      <alignment horizontal="left" shrinkToFit="0" vertical="center" wrapText="1"/>
    </xf>
    <xf borderId="0" fillId="0" fontId="0" numFmtId="1" xfId="0" applyAlignment="1" applyFont="1" applyNumberFormat="1">
      <alignment horizontal="left" readingOrder="0" shrinkToFit="0" vertical="center" wrapText="1"/>
    </xf>
    <xf borderId="0" fillId="8" fontId="0" numFmtId="0" xfId="0" applyAlignment="1" applyFill="1" applyFont="1">
      <alignment horizontal="left" readingOrder="0" shrinkToFit="0" vertical="center" wrapText="1"/>
    </xf>
    <xf borderId="0" fillId="9" fontId="0" numFmtId="1" xfId="0" applyAlignment="1" applyFill="1" applyFont="1" applyNumberFormat="1">
      <alignment horizontal="center" readingOrder="0" shrinkToFit="0" vertical="center" wrapText="0"/>
    </xf>
    <xf borderId="0" fillId="9" fontId="0" numFmtId="1" xfId="0" applyAlignment="1" applyFont="1" applyNumberFormat="1">
      <alignment horizontal="left" readingOrder="0" shrinkToFit="0" vertical="center" wrapText="0"/>
    </xf>
    <xf borderId="0" fillId="9" fontId="0" numFmtId="3" xfId="0" applyAlignment="1" applyFont="1" applyNumberFormat="1">
      <alignment horizontal="center" readingOrder="0" shrinkToFit="0" vertical="center" wrapText="0"/>
    </xf>
    <xf borderId="0" fillId="0" fontId="0" numFmtId="0" xfId="0" applyAlignment="1" applyFont="1">
      <alignment horizontal="center" readingOrder="0" shrinkToFit="0" vertical="center" wrapText="0"/>
    </xf>
    <xf borderId="0" fillId="9" fontId="0" numFmtId="0" xfId="0" applyAlignment="1" applyFont="1">
      <alignment horizontal="center" readingOrder="0" shrinkToFit="0" vertical="center" wrapText="0"/>
    </xf>
    <xf borderId="0" fillId="9" fontId="0" numFmtId="0" xfId="0" applyAlignment="1" applyFont="1">
      <alignment horizontal="left" readingOrder="0" shrinkToFit="0" vertical="center" wrapText="0"/>
    </xf>
    <xf borderId="0" fillId="9" fontId="0" numFmtId="164" xfId="0" applyAlignment="1" applyFont="1" applyNumberFormat="1">
      <alignment horizontal="center" readingOrder="0" shrinkToFit="0" vertical="center" wrapText="0"/>
    </xf>
    <xf borderId="0" fillId="9" fontId="0" numFmtId="164" xfId="0" applyAlignment="1" applyFont="1" applyNumberFormat="1">
      <alignment horizontal="right" readingOrder="0" shrinkToFit="0" vertical="center" wrapText="0"/>
    </xf>
    <xf borderId="0" fillId="0" fontId="0" numFmtId="0" xfId="0" applyAlignment="1" applyFont="1">
      <alignment readingOrder="0" shrinkToFit="0" vertical="center" wrapText="0"/>
    </xf>
    <xf borderId="0" fillId="0" fontId="0" numFmtId="164" xfId="0" applyAlignment="1" applyFont="1" applyNumberFormat="1">
      <alignment horizontal="center" readingOrder="0" shrinkToFit="0" vertical="center" wrapText="1"/>
    </xf>
    <xf borderId="0" fillId="0" fontId="0" numFmtId="164" xfId="0" applyAlignment="1" applyFont="1" applyNumberFormat="1">
      <alignment horizontal="right" readingOrder="0" shrinkToFit="0" vertical="center" wrapText="1"/>
    </xf>
    <xf borderId="0" fillId="0" fontId="0" numFmtId="0" xfId="0" applyAlignment="1" applyFont="1">
      <alignment shrinkToFit="0" vertical="center" wrapText="1"/>
    </xf>
    <xf borderId="0" fillId="9" fontId="0" numFmtId="0" xfId="0" applyAlignment="1" applyFont="1">
      <alignment horizontal="right" readingOrder="0" shrinkToFit="0" vertical="center" wrapText="0"/>
    </xf>
    <xf borderId="0" fillId="0" fontId="0" numFmtId="0" xfId="0" applyAlignment="1" applyFont="1">
      <alignment horizontal="center" readingOrder="0" shrinkToFit="0" vertical="center" wrapText="1"/>
    </xf>
    <xf borderId="0" fillId="0" fontId="0" numFmtId="0" xfId="0" applyAlignment="1" applyFont="1">
      <alignment horizontal="right" readingOrder="0" shrinkToFit="0" vertical="center" wrapText="1"/>
    </xf>
    <xf borderId="0" fillId="9" fontId="0" numFmtId="165" xfId="0" applyAlignment="1" applyFont="1" applyNumberFormat="1">
      <alignment horizontal="right" readingOrder="0" shrinkToFit="0" vertical="center" wrapText="0"/>
    </xf>
    <xf borderId="0" fillId="0" fontId="0" numFmtId="165" xfId="0" applyAlignment="1" applyFont="1" applyNumberFormat="1">
      <alignment horizontal="right" readingOrder="0" shrinkToFit="0" vertical="center" wrapText="1"/>
    </xf>
    <xf borderId="0" fillId="9" fontId="0" numFmtId="4" xfId="0" applyAlignment="1" applyFont="1" applyNumberFormat="1">
      <alignment horizontal="center" readingOrder="0" shrinkToFit="0" vertical="center" wrapText="0"/>
    </xf>
    <xf borderId="0" fillId="9" fontId="0" numFmtId="0" xfId="0" applyAlignment="1" applyFont="1">
      <alignment readingOrder="0" shrinkToFit="0" vertical="center" wrapText="0"/>
    </xf>
    <xf borderId="0" fillId="9" fontId="3" numFmtId="0" xfId="0" applyAlignment="1" applyFont="1">
      <alignment horizontal="center" readingOrder="0" shrinkToFit="0" vertical="center" wrapText="0"/>
    </xf>
    <xf borderId="0" fillId="9" fontId="0" numFmtId="166" xfId="0" applyAlignment="1" applyFont="1" applyNumberFormat="1">
      <alignment horizontal="center" shrinkToFit="0" vertical="center" wrapText="0"/>
    </xf>
    <xf borderId="0" fillId="0" fontId="0" numFmtId="1" xfId="0" applyAlignment="1" applyFont="1" applyNumberFormat="1">
      <alignment horizontal="center" readingOrder="0" shrinkToFit="0" vertical="center" wrapText="1"/>
    </xf>
    <xf borderId="1" fillId="0" fontId="4" numFmtId="0" xfId="0" applyAlignment="1" applyBorder="1" applyFont="1">
      <alignment horizontal="center" vertical="center"/>
    </xf>
    <xf borderId="0" fillId="8" fontId="0" numFmtId="0" xfId="0" applyAlignment="1" applyFont="1">
      <alignment horizontal="center" readingOrder="0" shrinkToFit="0" vertical="center" wrapText="0"/>
    </xf>
    <xf borderId="1" fillId="0" fontId="4" numFmtId="14" xfId="0" applyAlignment="1" applyBorder="1" applyFont="1" applyNumberFormat="1">
      <alignment readingOrder="0" vertical="center"/>
    </xf>
    <xf borderId="0" fillId="0" fontId="4" numFmtId="14" xfId="0" applyAlignment="1" applyFont="1" applyNumberFormat="1">
      <alignment readingOrder="0" vertical="center"/>
    </xf>
    <xf borderId="1" fillId="0" fontId="4" numFmtId="167" xfId="0" applyAlignment="1" applyBorder="1" applyFont="1" applyNumberFormat="1">
      <alignment horizontal="center" readingOrder="0" vertical="center"/>
    </xf>
    <xf borderId="0" fillId="0" fontId="4" numFmtId="167" xfId="0" applyAlignment="1" applyFont="1" applyNumberFormat="1">
      <alignment horizontal="center" readingOrder="0" vertical="center"/>
    </xf>
    <xf borderId="0" fillId="9" fontId="3" numFmtId="165" xfId="0" applyAlignment="1" applyFont="1" applyNumberFormat="1">
      <alignment horizontal="center" readingOrder="0" shrinkToFit="0" vertical="center" wrapText="0"/>
    </xf>
    <xf borderId="0" fillId="9" fontId="0" numFmtId="168" xfId="0" applyAlignment="1" applyFont="1" applyNumberFormat="1">
      <alignment horizontal="center" readingOrder="0" shrinkToFit="0" vertical="center" wrapText="0"/>
    </xf>
    <xf borderId="0" fillId="9" fontId="3" numFmtId="1" xfId="0" applyAlignment="1" applyFont="1" applyNumberFormat="1">
      <alignment horizontal="center" readingOrder="0" shrinkToFit="0" vertical="center" wrapText="0"/>
    </xf>
    <xf borderId="0" fillId="9" fontId="3" numFmtId="1" xfId="0" applyAlignment="1" applyFont="1" applyNumberFormat="1">
      <alignment horizontal="left" readingOrder="0" shrinkToFit="0" vertical="center" wrapText="0"/>
    </xf>
    <xf borderId="0" fillId="9" fontId="3" numFmtId="3" xfId="0" applyAlignment="1" applyFont="1" applyNumberFormat="1">
      <alignment horizontal="center" readingOrder="0" shrinkToFit="0" vertical="center" wrapText="0"/>
    </xf>
    <xf borderId="0" fillId="9" fontId="3" numFmtId="0" xfId="0" applyAlignment="1" applyFont="1">
      <alignment horizontal="left" readingOrder="0" shrinkToFit="0" vertical="center" wrapText="0"/>
    </xf>
    <xf borderId="1" fillId="0" fontId="4" numFmtId="0" xfId="0" applyAlignment="1" applyBorder="1" applyFont="1">
      <alignment horizontal="center" vertical="center"/>
    </xf>
    <xf borderId="0" fillId="8" fontId="0" numFmtId="0" xfId="0" applyAlignment="1" applyFont="1">
      <alignment horizontal="center" readingOrder="0" shrinkToFit="0" vertical="center" wrapText="1"/>
    </xf>
    <xf borderId="1" fillId="0" fontId="4" numFmtId="0" xfId="0" applyAlignment="1" applyBorder="1" applyFont="1">
      <alignment horizontal="left" vertical="center"/>
    </xf>
    <xf borderId="0" fillId="0" fontId="0" numFmtId="0" xfId="0" applyAlignment="1" applyFont="1">
      <alignment horizontal="left" readingOrder="0" shrinkToFit="0" vertical="center" wrapText="1"/>
    </xf>
    <xf borderId="1" fillId="0" fontId="0" numFmtId="3" xfId="0" applyAlignment="1" applyBorder="1" applyFont="1" applyNumberFormat="1">
      <alignment horizontal="center" readingOrder="0" shrinkToFit="0" vertical="center" wrapText="1"/>
    </xf>
    <xf borderId="0" fillId="0" fontId="0" numFmtId="3" xfId="0" applyAlignment="1" applyFont="1" applyNumberFormat="1">
      <alignment horizontal="center" readingOrder="0" shrinkToFit="0" vertical="center" wrapText="1"/>
    </xf>
    <xf borderId="0" fillId="9" fontId="0" numFmtId="0" xfId="0" applyAlignment="1" applyFont="1">
      <alignment horizontal="center" shrinkToFit="0" vertical="center" wrapText="0"/>
    </xf>
    <xf borderId="0" fillId="8" fontId="0" numFmtId="0" xfId="0" applyAlignment="1" applyFont="1">
      <alignment shrinkToFit="0" vertical="center" wrapText="1"/>
    </xf>
    <xf borderId="0" fillId="0" fontId="0" numFmtId="164" xfId="0" applyAlignment="1" applyFont="1" applyNumberFormat="1">
      <alignment horizontal="center" readingOrder="0" shrinkToFit="0" vertical="center" wrapText="1"/>
    </xf>
    <xf borderId="0" fillId="0" fontId="0" numFmtId="164" xfId="0" applyAlignment="1" applyFont="1" applyNumberFormat="1">
      <alignment horizontal="right" shrinkToFit="0" vertical="center" wrapText="1"/>
    </xf>
    <xf borderId="0" fillId="0" fontId="0" numFmtId="0" xfId="0" applyAlignment="1" applyFont="1">
      <alignment readingOrder="0" shrinkToFit="0" vertical="center" wrapText="1"/>
    </xf>
    <xf borderId="0" fillId="0" fontId="0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center" readingOrder="0" vertical="center"/>
    </xf>
    <xf borderId="0" fillId="0" fontId="0" numFmtId="164" xfId="0" applyAlignment="1" applyFont="1" applyNumberFormat="1">
      <alignment readingOrder="0" shrinkToFit="0" vertical="center" wrapText="1"/>
    </xf>
    <xf borderId="0" fillId="0" fontId="0" numFmtId="4" xfId="0" applyAlignment="1" applyFont="1" applyNumberFormat="1">
      <alignment horizontal="center" readingOrder="0" shrinkToFit="0" vertical="center" wrapText="1"/>
    </xf>
    <xf borderId="0" fillId="0" fontId="0" numFmtId="164" xfId="0" applyAlignment="1" applyFont="1" applyNumberFormat="1">
      <alignment shrinkToFit="0" vertical="center" wrapText="1"/>
    </xf>
    <xf borderId="1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left" readingOrder="0" vertical="center"/>
    </xf>
    <xf borderId="0" fillId="0" fontId="0" numFmtId="164" xfId="0" applyAlignment="1" applyFont="1" applyNumberFormat="1">
      <alignment readingOrder="0" shrinkToFit="0" vertical="center" wrapText="1"/>
    </xf>
    <xf borderId="1" fillId="9" fontId="2" numFmtId="1" xfId="0" applyAlignment="1" applyBorder="1" applyFont="1" applyNumberFormat="1">
      <alignment horizontal="center" vertical="center"/>
    </xf>
    <xf borderId="1" fillId="9" fontId="2" numFmtId="0" xfId="0" applyAlignment="1" applyBorder="1" applyFont="1">
      <alignment horizontal="left" vertical="center"/>
    </xf>
    <xf borderId="1" fillId="9" fontId="2" numFmtId="0" xfId="0" applyAlignment="1" applyBorder="1" applyFont="1">
      <alignment horizontal="center" readingOrder="0" vertical="center"/>
    </xf>
    <xf borderId="0" fillId="9" fontId="2" numFmtId="1" xfId="0" applyAlignment="1" applyFont="1" applyNumberFormat="1">
      <alignment horizontal="center" vertical="center"/>
    </xf>
    <xf borderId="0" fillId="9" fontId="2" numFmtId="0" xfId="0" applyAlignment="1" applyFont="1">
      <alignment horizontal="center" vertical="center"/>
    </xf>
    <xf borderId="0" fillId="9" fontId="2" numFmtId="0" xfId="0" applyAlignment="1" applyFont="1">
      <alignment horizontal="left" vertical="center"/>
    </xf>
    <xf borderId="0" fillId="0" fontId="2" numFmtId="0" xfId="0" applyAlignment="1" applyFont="1">
      <alignment horizontal="center" readingOrder="0" vertical="center"/>
    </xf>
    <xf borderId="1" fillId="0" fontId="2" numFmtId="1" xfId="0" applyAlignment="1" applyBorder="1" applyFont="1" applyNumberFormat="1">
      <alignment horizontal="center" vertical="center"/>
    </xf>
    <xf borderId="0" fillId="0" fontId="2" numFmtId="1" xfId="0" applyAlignment="1" applyFont="1" applyNumberFormat="1">
      <alignment horizontal="center" vertical="center"/>
    </xf>
    <xf borderId="0" fillId="0" fontId="0" numFmtId="0" xfId="0" applyAlignment="1" applyFont="1">
      <alignment horizontal="center" shrinkToFit="0" vertical="center" wrapText="1"/>
    </xf>
    <xf borderId="0" fillId="0" fontId="0" numFmtId="165" xfId="0" applyAlignment="1" applyFont="1" applyNumberFormat="1">
      <alignment readingOrder="0" shrinkToFit="0" vertical="center" wrapText="1"/>
    </xf>
    <xf borderId="0" fillId="8" fontId="0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readingOrder="0" vertical="center"/>
    </xf>
    <xf borderId="0" fillId="0" fontId="4" numFmtId="167" xfId="0" applyAlignment="1" applyFont="1" applyNumberFormat="1">
      <alignment horizontal="center" readingOrder="0" vertical="center"/>
    </xf>
    <xf borderId="0" fillId="0" fontId="0" numFmtId="0" xfId="0" applyAlignment="1" applyFont="1">
      <alignment horizontal="left" shrinkToFit="0" vertical="center" wrapText="1"/>
    </xf>
    <xf borderId="0" fillId="0" fontId="4" numFmtId="167" xfId="0" applyAlignment="1" applyFont="1" applyNumberFormat="1">
      <alignment horizontal="center"/>
    </xf>
    <xf borderId="0" fillId="0" fontId="5" numFmtId="0" xfId="0" applyAlignment="1" applyFont="1">
      <alignment readingOrder="0" vertical="center"/>
    </xf>
    <xf borderId="0" fillId="9" fontId="6" numFmtId="0" xfId="0" applyAlignment="1" applyFont="1">
      <alignment horizontal="left" readingOrder="0" vertical="center"/>
    </xf>
    <xf borderId="0" fillId="0" fontId="0" numFmtId="1" xfId="0" applyAlignment="1" applyFont="1" applyNumberFormat="1">
      <alignment horizontal="left" shrinkToFit="0" vertical="center" wrapText="1"/>
    </xf>
    <xf borderId="0" fillId="0" fontId="5" numFmtId="0" xfId="0" applyAlignment="1" applyFont="1">
      <alignment readingOrder="0"/>
    </xf>
    <xf borderId="0" fillId="0" fontId="5" numFmtId="169" xfId="0" applyAlignment="1" applyFont="1" applyNumberFormat="1">
      <alignment readingOrder="0"/>
    </xf>
    <xf borderId="0" fillId="0" fontId="5" numFmtId="169" xfId="0" applyFont="1" applyNumberForma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44.71"/>
    <col customWidth="1" min="3" max="3" width="28.29"/>
    <col customWidth="1" min="4" max="4" width="42.57"/>
    <col customWidth="1" min="5" max="5" width="67.86"/>
    <col customWidth="1" min="6" max="6" width="38.29"/>
    <col customWidth="1" min="7" max="7" width="27.29"/>
    <col customWidth="1" min="8" max="8" width="38.57"/>
    <col customWidth="1" min="9" max="9" width="48.57"/>
    <col customWidth="1" min="10" max="10" width="51.57"/>
    <col customWidth="1" min="11" max="11" width="36.57"/>
    <col customWidth="1" min="12" max="12" width="34.57"/>
    <col customWidth="1" min="13" max="13" width="74.57"/>
    <col customWidth="1" min="14" max="14" width="28.14"/>
    <col customWidth="1" min="15" max="15" width="23.57"/>
    <col customWidth="1" min="16" max="16" width="22.43"/>
    <col customWidth="1" min="17" max="17" width="27.43"/>
    <col customWidth="1" min="18" max="18" width="22.71"/>
    <col customWidth="1" min="19" max="19" width="24.0"/>
    <col customWidth="1" min="20" max="20" width="31.14"/>
    <col customWidth="1" min="21" max="21" width="27.57"/>
    <col customWidth="1" min="22" max="22" width="21.43"/>
    <col customWidth="1" min="23" max="23" width="47.0"/>
    <col customWidth="1" min="24" max="36" width="8.0"/>
  </cols>
  <sheetData>
    <row r="1" ht="60.0" customHeight="1">
      <c r="A1" s="1" t="str">
        <f>IFERROR(__xludf.DUMMYFUNCTION("QUERY(IMPORTRANGE(""1K7ruVZJJaGVC8eTVClJ7V2faSzev1oE09Z5JgLkd4No"",""!A1:Z2""),""select *"")"),"ID")</f>
        <v>ID</v>
      </c>
      <c r="B1" s="2" t="str">
        <f>IFERROR(__xludf.DUMMYFUNCTION("""COMPUTED_VALUE"""),"Órgão público ou ente municipal")</f>
        <v>Órgão público ou ente municipal</v>
      </c>
      <c r="C1" s="3" t="str">
        <f>IFERROR(__xludf.DUMMYFUNCTION("""COMPUTED_VALUE"""),"Sigla")</f>
        <v>Sigla</v>
      </c>
      <c r="D1" s="2" t="str">
        <f>IFERROR(__xludf.DUMMYFUNCTION("""COMPUTED_VALUE"""),"Distrito")</f>
        <v>Distrito</v>
      </c>
      <c r="E1" s="2" t="str">
        <f>IFERROR(__xludf.DUMMYFUNCTION("""COMPUTED_VALUE"""),"Endereço")</f>
        <v>Endereço</v>
      </c>
      <c r="F1" s="2" t="str">
        <f>IFERROR(__xludf.DUMMYFUNCTION("""COMPUTED_VALUE"""),"Área (m²)")</f>
        <v>Área (m²)</v>
      </c>
      <c r="G1" s="2" t="str">
        <f>IFERROR(__xludf.DUMMYFUNCTION("""COMPUTED_VALUE"""),"Nº do Termo de Cooperação")</f>
        <v>Nº do Termo de Cooperação</v>
      </c>
      <c r="H1" s="2" t="str">
        <f>IFERROR(__xludf.DUMMYFUNCTION("""COMPUTED_VALUE"""),"Nº do Processo SEI")</f>
        <v>Nº do Processo SEI</v>
      </c>
      <c r="I1" s="2" t="str">
        <f>IFERROR(__xludf.DUMMYFUNCTION("""COMPUTED_VALUE"""),"Cooperante")</f>
        <v>Cooperante</v>
      </c>
      <c r="J1" s="2" t="str">
        <f>IFERROR(__xludf.DUMMYFUNCTION("""COMPUTED_VALUE"""),"Documento de Identificação")</f>
        <v>Documento de Identificação</v>
      </c>
      <c r="K1" s="2" t="str">
        <f>IFERROR(__xludf.DUMMYFUNCTION("""COMPUTED_VALUE"""),"Natureza")</f>
        <v>Natureza</v>
      </c>
      <c r="L1" s="2" t="str">
        <f>IFERROR(__xludf.DUMMYFUNCTION("""COMPUTED_VALUE"""),"Bem Cooperado")</f>
        <v>Bem Cooperado</v>
      </c>
      <c r="M1" s="2" t="str">
        <f>IFERROR(__xludf.DUMMYFUNCTION("""COMPUTED_VALUE"""),"Finalidade da Cooperação")</f>
        <v>Finalidade da Cooperação</v>
      </c>
      <c r="N1" s="2" t="str">
        <f>IFERROR(__xludf.DUMMYFUNCTION("""COMPUTED_VALUE"""),"Data de Assinatura do Termo")</f>
        <v>Data de Assinatura do Termo</v>
      </c>
      <c r="O1" s="4" t="str">
        <f>IFERROR(__xludf.DUMMYFUNCTION("""COMPUTED_VALUE"""),"Data de Publicação do Termo")</f>
        <v>Data de Publicação do Termo</v>
      </c>
      <c r="P1" s="4" t="str">
        <f>IFERROR(__xludf.DUMMYFUNCTION("""COMPUTED_VALUE"""),"Data de Início do Termo")</f>
        <v>Data de Início do Termo</v>
      </c>
      <c r="Q1" s="4" t="str">
        <f>IFERROR(__xludf.DUMMYFUNCTION("""COMPUTED_VALUE"""),"Tempo de Vigência (meses)")</f>
        <v>Tempo de Vigência (meses)</v>
      </c>
      <c r="R1" s="4" t="str">
        <f>IFERROR(__xludf.DUMMYFUNCTION("""COMPUTED_VALUE"""),"Data de Término")</f>
        <v>Data de Término</v>
      </c>
      <c r="S1" s="4" t="str">
        <f>IFERROR(__xludf.DUMMYFUNCTION("""COMPUTED_VALUE"""),"Número de placa indicativas da cooperação")</f>
        <v>Número de placa indicativas da cooperação</v>
      </c>
      <c r="T1" s="4" t="str">
        <f>IFERROR(__xludf.DUMMYFUNCTION("""COMPUTED_VALUE"""),"Valor estimado")</f>
        <v>Valor estimado</v>
      </c>
      <c r="U1" s="4" t="str">
        <f>IFERROR(__xludf.DUMMYFUNCTION("""COMPUTED_VALUE"""),"Valor dos investimentos")</f>
        <v>Valor dos investimentos</v>
      </c>
      <c r="V1" s="4" t="str">
        <f>IFERROR(__xludf.DUMMYFUNCTION("""COMPUTED_VALUE"""),"Última Atualização")</f>
        <v>Última Atualização</v>
      </c>
      <c r="W1" s="5" t="str">
        <f>IFERROR(__xludf.DUMMYFUNCTION("""COMPUTED_VALUE"""),"Observação")</f>
        <v>Observação</v>
      </c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ht="60.0" customHeight="1">
      <c r="A2" s="7" t="str">
        <f>IFERROR(__xludf.DUMMYFUNCTION("""COMPUTED_VALUE"""),"Código único gerado automaticamente para identifcar cada termo de cooperação")</f>
        <v>Código único gerado automaticamente para identifcar cada termo de cooperação</v>
      </c>
      <c r="B2" s="8" t="str">
        <f>IFERROR(__xludf.DUMMYFUNCTION("""COMPUTED_VALUE"""),"Órgão da Administação Direta ou Indireta ou instituição destinatária do bem ou serviço")</f>
        <v>Órgão da Administação Direta ou Indireta ou instituição destinatária do bem ou serviço</v>
      </c>
      <c r="C2" s="9" t="str">
        <f>IFERROR(__xludf.DUMMYFUNCTION("""COMPUTED_VALUE"""),"Sigla da Administação Direta ou Indireta ou instituição destinatária do bem ou serviço")</f>
        <v>Sigla da Administação Direta ou Indireta ou instituição destinatária do bem ou serviço</v>
      </c>
      <c r="D2" s="8" t="str">
        <f>IFERROR(__xludf.DUMMYFUNCTION("""COMPUTED_VALUE"""),"Distrito em que se encontra a área")</f>
        <v>Distrito em que se encontra a área</v>
      </c>
      <c r="E2" s="8" t="str">
        <f>IFERROR(__xludf.DUMMYFUNCTION("""COMPUTED_VALUE"""),"Endereço da área cooperada ou passível de cooperação")</f>
        <v>Endereço da área cooperada ou passível de cooperação</v>
      </c>
      <c r="F2" s="8" t="str">
        <f>IFERROR(__xludf.DUMMYFUNCTION("""COMPUTED_VALUE"""),"Área total em metros quadrados")</f>
        <v>Área total em metros quadrados</v>
      </c>
      <c r="G2" s="8" t="str">
        <f>IFERROR(__xludf.DUMMYFUNCTION("""COMPUTED_VALUE"""),"Número de registro do Termo de Cooperação na unidade")</f>
        <v>Número de registro do Termo de Cooperação na unidade</v>
      </c>
      <c r="H2" s="10" t="str">
        <f>IFERROR(__xludf.DUMMYFUNCTION("""COMPUTED_VALUE"""),"Número do processo de cooperação registrado no SEI")</f>
        <v>Número do processo de cooperação registrado no SEI</v>
      </c>
      <c r="I2" s="8" t="str">
        <f>IFERROR(__xludf.DUMMYFUNCTION("""COMPUTED_VALUE"""),"Pessoa física ou jurídica que propôs ou efetivou acordo de cooperação")</f>
        <v>Pessoa física ou jurídica que propôs ou efetivou acordo de cooperação</v>
      </c>
      <c r="J2" s="10" t="str">
        <f>IFERROR(__xludf.DUMMYFUNCTION("""COMPUTED_VALUE"""),"CPF ou CNPJ da pessoa física ou jurídica que propôs ou efetivou acordo de cooperação")</f>
        <v>CPF ou CNPJ da pessoa física ou jurídica que propôs ou efetivou acordo de cooperação</v>
      </c>
      <c r="K2" s="10" t="str">
        <f>IFERROR(__xludf.DUMMYFUNCTION("""COMPUTED_VALUE"""),"Tipo de colaboração, podendo ser Acordo de Cooperação (Lei Federal nº 13.019/2014) ou Termo de Cooperação (Decreto Municipal n º 52.062/2010)")</f>
        <v>Tipo de colaboração, podendo ser Acordo de Cooperação (Lei Federal nº 13.019/2014) ou Termo de Cooperação (Decreto Municipal n º 52.062/2010)</v>
      </c>
      <c r="L2" s="10" t="str">
        <f>IFERROR(__xludf.DUMMYFUNCTION("""COMPUTED_VALUE"""),"Objeto ou área do termo de cooperação ou acordo de cooperação")</f>
        <v>Objeto ou área do termo de cooperação ou acordo de cooperação</v>
      </c>
      <c r="M2" s="10" t="str">
        <f>IFERROR(__xludf.DUMMYFUNCTION("""COMPUTED_VALUE"""),"Finalidade e serviços descritos pelo termo de cooperação")</f>
        <v>Finalidade e serviços descritos pelo termo de cooperação</v>
      </c>
      <c r="N2" s="8" t="str">
        <f>IFERROR(__xludf.DUMMYFUNCTION("""COMPUTED_VALUE"""),"Data em que o termo foi assinado pela unidade e pelo cooperado")</f>
        <v>Data em que o termo foi assinado pela unidade e pelo cooperado</v>
      </c>
      <c r="O2" s="8" t="str">
        <f>IFERROR(__xludf.DUMMYFUNCTION("""COMPUTED_VALUE"""),"Data em que o Termo ou Acordo foi públicado no diário oficial da cidade de São Paulo (formato: dd/mm/aaaa)")</f>
        <v>Data em que o Termo ou Acordo foi públicado no diário oficial da cidade de São Paulo (formato: dd/mm/aaaa)</v>
      </c>
      <c r="P2" s="8" t="str">
        <f>IFERROR(__xludf.DUMMYFUNCTION("""COMPUTED_VALUE"""),"Data em que o termo passa a entrar em vigência (dd/mm/aaaa)")</f>
        <v>Data em que o termo passa a entrar em vigência (dd/mm/aaaa)</v>
      </c>
      <c r="Q2" s="8" t="str">
        <f>IFERROR(__xludf.DUMMYFUNCTION("""COMPUTED_VALUE"""),"Tempo de vigência da Cooperação entre o Órgão público ou ente municipal e o Cooperante em meses")</f>
        <v>Tempo de vigência da Cooperação entre o Órgão público ou ente municipal e o Cooperante em meses</v>
      </c>
      <c r="R2" s="8" t="str">
        <f>IFERROR(__xludf.DUMMYFUNCTION("""COMPUTED_VALUE"""),"Data que o termo de cooperação será finzalizado")</f>
        <v>Data que o termo de cooperação será finzalizado</v>
      </c>
      <c r="S2" s="8" t="str">
        <f>IFERROR(__xludf.DUMMYFUNCTION("""COMPUTED_VALUE"""),"Quantas placas a serem instaladas no objeto do termo indicando a cooperação (somente número)")</f>
        <v>Quantas placas a serem instaladas no objeto do termo indicando a cooperação (somente número)</v>
      </c>
      <c r="T2" s="8" t="str">
        <f>IFERROR(__xludf.DUMMYFUNCTION("""COMPUTED_VALUE"""),"Valor do bem ou serviço discriminado estimado/avaliado com base em pesquisas")</f>
        <v>Valor do bem ou serviço discriminado estimado/avaliado com base em pesquisas</v>
      </c>
      <c r="U2" s="8" t="str">
        <f>IFERROR(__xludf.DUMMYFUNCTION("""COMPUTED_VALUE"""),"Valor do bem ou serviço discriminado no processo")</f>
        <v>Valor do bem ou serviço discriminado no processo</v>
      </c>
      <c r="V2" s="11" t="str">
        <f>IFERROR(__xludf.DUMMYFUNCTION("""COMPUTED_VALUE"""),"Atualização mais recente do status do termo por parte do órgão responsável (dd/mm/aaaa)")</f>
        <v>Atualização mais recente do status do termo por parte do órgão responsável (dd/mm/aaaa)</v>
      </c>
      <c r="W2" s="12" t="str">
        <f>IFERROR(__xludf.DUMMYFUNCTION("""COMPUTED_VALUE"""),"Observações sobre a área ou termo")</f>
        <v>Observações sobre a área ou termo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ht="60.0" customHeight="1">
      <c r="A3" s="14" t="str">
        <f>if(H3&lt;&gt;"",VLOOKUP(H3,ID!$A$2:$C$999,3,FALSE),"") </f>
        <v>BT0001</v>
      </c>
      <c r="B3" s="15" t="s">
        <v>0</v>
      </c>
      <c r="C3" s="16" t="s">
        <v>1</v>
      </c>
      <c r="D3" s="17" t="s">
        <v>2</v>
      </c>
      <c r="E3" s="18" t="s">
        <v>3</v>
      </c>
      <c r="F3" s="19">
        <v>2700.0</v>
      </c>
      <c r="G3" s="20" t="s">
        <v>4</v>
      </c>
      <c r="H3" s="21" t="s">
        <v>5</v>
      </c>
      <c r="I3" s="22" t="s">
        <v>6</v>
      </c>
      <c r="J3" s="21" t="s">
        <v>7</v>
      </c>
      <c r="K3" s="21" t="s">
        <v>8</v>
      </c>
      <c r="L3" s="21" t="s">
        <v>9</v>
      </c>
      <c r="M3" s="22" t="s">
        <v>10</v>
      </c>
      <c r="N3" s="23"/>
      <c r="O3" s="24">
        <v>43228.0</v>
      </c>
      <c r="P3" s="24">
        <v>43228.0</v>
      </c>
      <c r="Q3" s="25">
        <v>36.0</v>
      </c>
      <c r="R3" s="26">
        <f>IFERROR(__xludf.DUMMYFUNCTION("IF (OR( Q3 = """" , P3 =""""), """" , IF(Q3 = ""Menos de 1 mês"" , ""antes de ""&amp; TO_TEXT( EDATE(P3, 1)), EDATE(P3,Q3)))"),44324.0)</f>
        <v>44324</v>
      </c>
      <c r="S3" s="21">
        <v>3.0</v>
      </c>
      <c r="T3" s="19">
        <v>5400.0</v>
      </c>
      <c r="U3" s="19">
        <v>5400.0</v>
      </c>
      <c r="V3" s="27">
        <v>43377.0</v>
      </c>
      <c r="W3" s="21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ht="60.0" customHeight="1">
      <c r="A4" s="14" t="str">
        <f>if(H4&lt;&gt;"",VLOOKUP(H4,ID!$A$2:$C$999,3,FALSE),"") </f>
        <v>BT0002</v>
      </c>
      <c r="B4" s="15" t="s">
        <v>0</v>
      </c>
      <c r="C4" s="16" t="s">
        <v>1</v>
      </c>
      <c r="D4" s="17" t="s">
        <v>2</v>
      </c>
      <c r="E4" s="18" t="s">
        <v>11</v>
      </c>
      <c r="F4" s="21">
        <v>160.0</v>
      </c>
      <c r="G4" s="20" t="s">
        <v>12</v>
      </c>
      <c r="H4" s="21" t="s">
        <v>13</v>
      </c>
      <c r="I4" s="22" t="s">
        <v>14</v>
      </c>
      <c r="J4" s="21" t="s">
        <v>15</v>
      </c>
      <c r="K4" s="21" t="s">
        <v>8</v>
      </c>
      <c r="L4" s="21" t="s">
        <v>9</v>
      </c>
      <c r="M4" s="22" t="s">
        <v>10</v>
      </c>
      <c r="N4" s="23"/>
      <c r="O4" s="24" t="s">
        <v>16</v>
      </c>
      <c r="P4" s="29" t="s">
        <v>16</v>
      </c>
      <c r="Q4" s="25">
        <v>36.0</v>
      </c>
      <c r="R4" s="30" t="s">
        <v>16</v>
      </c>
      <c r="S4" s="21">
        <v>1.0</v>
      </c>
      <c r="T4" s="19">
        <v>110019.0</v>
      </c>
      <c r="U4" s="19">
        <v>110019.0</v>
      </c>
      <c r="V4" s="27" t="s">
        <v>17</v>
      </c>
      <c r="W4" s="21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ht="60.0" customHeight="1">
      <c r="A5" s="14" t="str">
        <f>if(H5&lt;&gt;"",VLOOKUP(H5,ID!$A$2:$C$999,3,FALSE),"") </f>
        <v>BT0003</v>
      </c>
      <c r="B5" s="15" t="s">
        <v>0</v>
      </c>
      <c r="C5" s="16" t="s">
        <v>1</v>
      </c>
      <c r="D5" s="17" t="s">
        <v>2</v>
      </c>
      <c r="E5" s="18" t="s">
        <v>18</v>
      </c>
      <c r="F5" s="21">
        <v>923.0</v>
      </c>
      <c r="G5" s="20" t="s">
        <v>19</v>
      </c>
      <c r="H5" s="21" t="s">
        <v>20</v>
      </c>
      <c r="I5" s="22" t="s">
        <v>21</v>
      </c>
      <c r="J5" s="21" t="s">
        <v>22</v>
      </c>
      <c r="K5" s="21" t="s">
        <v>8</v>
      </c>
      <c r="L5" s="21" t="s">
        <v>9</v>
      </c>
      <c r="M5" s="22" t="s">
        <v>23</v>
      </c>
      <c r="N5" s="23"/>
      <c r="O5" s="29" t="s">
        <v>24</v>
      </c>
      <c r="P5" s="29" t="s">
        <v>24</v>
      </c>
      <c r="Q5" s="25">
        <v>36.0</v>
      </c>
      <c r="R5" s="30" t="s">
        <v>16</v>
      </c>
      <c r="S5" s="21">
        <v>1.0</v>
      </c>
      <c r="T5" s="19">
        <v>24900.0</v>
      </c>
      <c r="U5" s="19">
        <v>24900.0</v>
      </c>
      <c r="V5" s="27">
        <v>44230.0</v>
      </c>
      <c r="W5" s="21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ht="60.0" customHeight="1">
      <c r="A6" s="14" t="str">
        <f>if(H6&lt;&gt;"",VLOOKUP(H6,ID!$A$2:$C$999,3,FALSE),"") </f>
        <v>BT0004</v>
      </c>
      <c r="B6" s="15" t="s">
        <v>0</v>
      </c>
      <c r="C6" s="16" t="s">
        <v>1</v>
      </c>
      <c r="D6" s="17" t="s">
        <v>2</v>
      </c>
      <c r="E6" s="18" t="s">
        <v>25</v>
      </c>
      <c r="F6" s="19">
        <v>10000.0</v>
      </c>
      <c r="G6" s="20" t="s">
        <v>26</v>
      </c>
      <c r="H6" s="21" t="s">
        <v>27</v>
      </c>
      <c r="I6" s="22" t="s">
        <v>28</v>
      </c>
      <c r="J6" s="21" t="s">
        <v>29</v>
      </c>
      <c r="K6" s="21" t="s">
        <v>8</v>
      </c>
      <c r="L6" s="21" t="s">
        <v>30</v>
      </c>
      <c r="M6" s="22" t="s">
        <v>10</v>
      </c>
      <c r="N6" s="23"/>
      <c r="O6" s="29" t="s">
        <v>16</v>
      </c>
      <c r="P6" s="29" t="s">
        <v>16</v>
      </c>
      <c r="Q6" s="25">
        <v>36.0</v>
      </c>
      <c r="R6" s="26" t="s">
        <v>31</v>
      </c>
      <c r="S6" s="21">
        <v>7.0</v>
      </c>
      <c r="T6" s="19">
        <v>27586.0</v>
      </c>
      <c r="U6" s="19">
        <v>27586.0</v>
      </c>
      <c r="V6" s="31" t="s">
        <v>32</v>
      </c>
      <c r="W6" s="21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ht="60.0" customHeight="1">
      <c r="A7" s="14" t="str">
        <f>if(H7&lt;&gt;"",VLOOKUP(H7,ID!$A$2:$C$999,3,FALSE),"") </f>
        <v>BT0005</v>
      </c>
      <c r="B7" s="15" t="s">
        <v>0</v>
      </c>
      <c r="C7" s="16" t="s">
        <v>1</v>
      </c>
      <c r="D7" s="17" t="s">
        <v>33</v>
      </c>
      <c r="E7" s="18" t="s">
        <v>34</v>
      </c>
      <c r="F7" s="21">
        <v>1257.0</v>
      </c>
      <c r="G7" s="20" t="s">
        <v>35</v>
      </c>
      <c r="H7" s="21" t="s">
        <v>36</v>
      </c>
      <c r="I7" s="22" t="s">
        <v>37</v>
      </c>
      <c r="J7" s="21" t="s">
        <v>38</v>
      </c>
      <c r="K7" s="21" t="s">
        <v>8</v>
      </c>
      <c r="L7" s="21" t="s">
        <v>30</v>
      </c>
      <c r="M7" s="22" t="s">
        <v>39</v>
      </c>
      <c r="N7" s="23"/>
      <c r="O7" s="32">
        <v>44288.0</v>
      </c>
      <c r="P7" s="32">
        <v>45384.0</v>
      </c>
      <c r="Q7" s="25">
        <v>36.0</v>
      </c>
      <c r="R7" s="30" t="s">
        <v>40</v>
      </c>
      <c r="S7" s="21">
        <v>1.0</v>
      </c>
      <c r="T7" s="19">
        <v>90000.0</v>
      </c>
      <c r="U7" s="19">
        <v>90000.0</v>
      </c>
      <c r="V7" s="33">
        <v>44198.0</v>
      </c>
      <c r="W7" s="21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ht="60.0" customHeight="1">
      <c r="A8" s="14" t="str">
        <f>if(H8&lt;&gt;"",VLOOKUP(H8,ID!$A$2:$C$999,3,FALSE),"") </f>
        <v>BT0006</v>
      </c>
      <c r="B8" s="15" t="s">
        <v>0</v>
      </c>
      <c r="C8" s="16" t="s">
        <v>1</v>
      </c>
      <c r="D8" s="17" t="s">
        <v>2</v>
      </c>
      <c r="E8" s="18" t="s">
        <v>41</v>
      </c>
      <c r="F8" s="34">
        <v>250.0</v>
      </c>
      <c r="G8" s="20" t="s">
        <v>42</v>
      </c>
      <c r="H8" s="21" t="s">
        <v>43</v>
      </c>
      <c r="I8" s="22" t="s">
        <v>44</v>
      </c>
      <c r="J8" s="21" t="s">
        <v>45</v>
      </c>
      <c r="K8" s="21" t="s">
        <v>8</v>
      </c>
      <c r="L8" s="21" t="s">
        <v>9</v>
      </c>
      <c r="M8" s="22" t="s">
        <v>39</v>
      </c>
      <c r="N8" s="23"/>
      <c r="O8" s="24">
        <v>44288.0</v>
      </c>
      <c r="P8" s="24">
        <v>44288.0</v>
      </c>
      <c r="Q8" s="25">
        <v>36.0</v>
      </c>
      <c r="R8" s="26">
        <f>IFERROR(__xludf.DUMMYFUNCTION("IF (OR( Q8 = """" , P8 =""""), """" , IF(Q8 = ""Menos de 1 mês"" , ""antes de ""&amp; TO_TEXT( EDATE(P8, 1)), EDATE(P8,Q8)))"),45384.0)</f>
        <v>45384</v>
      </c>
      <c r="S8" s="21">
        <v>1.0</v>
      </c>
      <c r="T8" s="19">
        <v>36000.0</v>
      </c>
      <c r="U8" s="19">
        <v>36000.0</v>
      </c>
      <c r="V8" s="27">
        <v>44502.0</v>
      </c>
      <c r="W8" s="21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ht="60.0" customHeight="1">
      <c r="A9" s="14" t="str">
        <f>if(H9&lt;&gt;"",VLOOKUP(H9,ID!$A$2:$C$999,3,FALSE),"") </f>
        <v>BT0007</v>
      </c>
      <c r="B9" s="15" t="s">
        <v>0</v>
      </c>
      <c r="C9" s="16" t="s">
        <v>1</v>
      </c>
      <c r="D9" s="17" t="s">
        <v>46</v>
      </c>
      <c r="E9" s="18" t="s">
        <v>47</v>
      </c>
      <c r="F9" s="21">
        <v>1200.0</v>
      </c>
      <c r="G9" s="20" t="s">
        <v>48</v>
      </c>
      <c r="H9" s="21" t="s">
        <v>49</v>
      </c>
      <c r="I9" s="22" t="s">
        <v>50</v>
      </c>
      <c r="J9" s="21" t="s">
        <v>51</v>
      </c>
      <c r="K9" s="21" t="s">
        <v>8</v>
      </c>
      <c r="L9" s="21" t="s">
        <v>9</v>
      </c>
      <c r="M9" s="22" t="s">
        <v>39</v>
      </c>
      <c r="N9" s="23"/>
      <c r="O9" s="24">
        <v>44288.0</v>
      </c>
      <c r="P9" s="24">
        <v>44288.0</v>
      </c>
      <c r="Q9" s="25">
        <v>36.0</v>
      </c>
      <c r="R9" s="26">
        <f>IFERROR(__xludf.DUMMYFUNCTION("IF (OR( Q9 = """" , P9 =""""), """" , IF(Q9 = ""Menos de 1 mês"" , ""antes de ""&amp; TO_TEXT( EDATE(P9, 1)), EDATE(P9,Q9)))"),45384.0)</f>
        <v>45384</v>
      </c>
      <c r="S9" s="21">
        <v>1.0</v>
      </c>
      <c r="T9" s="19">
        <v>126000.0</v>
      </c>
      <c r="U9" s="19">
        <v>36000.0</v>
      </c>
      <c r="V9" s="27">
        <v>44502.0</v>
      </c>
      <c r="W9" s="21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ht="60.0" customHeight="1">
      <c r="A10" s="14" t="str">
        <f>if(H10&lt;&gt;"",VLOOKUP(H10,ID!$A$2:$C$999,3,FALSE),"") </f>
        <v>BT0008</v>
      </c>
      <c r="B10" s="15" t="s">
        <v>0</v>
      </c>
      <c r="C10" s="16" t="s">
        <v>1</v>
      </c>
      <c r="D10" s="17" t="s">
        <v>33</v>
      </c>
      <c r="E10" s="18" t="s">
        <v>52</v>
      </c>
      <c r="F10" s="21">
        <v>650.0</v>
      </c>
      <c r="G10" s="20" t="s">
        <v>53</v>
      </c>
      <c r="H10" s="21" t="s">
        <v>54</v>
      </c>
      <c r="I10" s="22" t="s">
        <v>55</v>
      </c>
      <c r="J10" s="21" t="s">
        <v>56</v>
      </c>
      <c r="K10" s="21" t="s">
        <v>8</v>
      </c>
      <c r="L10" s="21" t="s">
        <v>9</v>
      </c>
      <c r="M10" s="22" t="s">
        <v>10</v>
      </c>
      <c r="N10" s="23"/>
      <c r="O10" s="24">
        <v>44264.0</v>
      </c>
      <c r="P10" s="32">
        <v>44264.0</v>
      </c>
      <c r="Q10" s="25">
        <v>36.0</v>
      </c>
      <c r="R10" s="26">
        <f>IFERROR(__xludf.DUMMYFUNCTION("IF (OR( Q10 = """" , P10 =""""), """" , IF(Q10 = ""Menos de 1 mês"" , ""antes de ""&amp; TO_TEXT( EDATE(P10, 1)), EDATE(P10,Q10)))"),45360.0)</f>
        <v>45360</v>
      </c>
      <c r="S10" s="21">
        <v>1.0</v>
      </c>
      <c r="T10" s="19">
        <v>18500.0</v>
      </c>
      <c r="U10" s="19">
        <v>18500.0</v>
      </c>
      <c r="V10" s="33">
        <v>44264.0</v>
      </c>
      <c r="W10" s="21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ht="60.0" customHeight="1">
      <c r="A11" s="14" t="str">
        <f>if(H11&lt;&gt;"",VLOOKUP(H11,ID!$A$2:$C$999,3,FALSE),"") </f>
        <v>BT0009</v>
      </c>
      <c r="B11" s="15" t="s">
        <v>0</v>
      </c>
      <c r="C11" s="16" t="s">
        <v>1</v>
      </c>
      <c r="D11" s="17" t="s">
        <v>33</v>
      </c>
      <c r="E11" s="18" t="s">
        <v>57</v>
      </c>
      <c r="F11" s="21">
        <v>482.0</v>
      </c>
      <c r="G11" s="20" t="s">
        <v>58</v>
      </c>
      <c r="H11" s="21" t="s">
        <v>59</v>
      </c>
      <c r="I11" s="22" t="s">
        <v>60</v>
      </c>
      <c r="J11" s="21" t="s">
        <v>61</v>
      </c>
      <c r="K11" s="21" t="s">
        <v>8</v>
      </c>
      <c r="L11" s="21" t="s">
        <v>30</v>
      </c>
      <c r="M11" s="22" t="s">
        <v>62</v>
      </c>
      <c r="N11" s="23"/>
      <c r="O11" s="24">
        <v>43498.0</v>
      </c>
      <c r="P11" s="24">
        <v>43498.0</v>
      </c>
      <c r="Q11" s="25">
        <v>36.0</v>
      </c>
      <c r="R11" s="26">
        <f>IFERROR(__xludf.DUMMYFUNCTION("IF (OR( Q11 = """" , P11 =""""), """" , IF(Q11 = ""Menos de 1 mês"" , ""antes de ""&amp; TO_TEXT( EDATE(P11, 1)), EDATE(P11,Q11)))"),44594.0)</f>
        <v>44594</v>
      </c>
      <c r="S11" s="21">
        <v>1.0</v>
      </c>
      <c r="T11" s="19">
        <v>42700.0</v>
      </c>
      <c r="U11" s="19">
        <v>42700.0</v>
      </c>
      <c r="V11" s="27">
        <v>43507.0</v>
      </c>
      <c r="W11" s="21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ht="60.0" customHeight="1">
      <c r="A12" s="14" t="str">
        <f>if(H12&lt;&gt;"",VLOOKUP(H12,ID!$A$2:$C$999,3,FALSE),"") </f>
        <v>BT0010</v>
      </c>
      <c r="B12" s="15" t="s">
        <v>0</v>
      </c>
      <c r="C12" s="16" t="s">
        <v>1</v>
      </c>
      <c r="D12" s="17" t="s">
        <v>63</v>
      </c>
      <c r="E12" s="18" t="s">
        <v>64</v>
      </c>
      <c r="F12" s="19">
        <v>1379.0</v>
      </c>
      <c r="G12" s="20" t="s">
        <v>65</v>
      </c>
      <c r="H12" s="21" t="s">
        <v>66</v>
      </c>
      <c r="I12" s="22" t="s">
        <v>67</v>
      </c>
      <c r="J12" s="21" t="s">
        <v>68</v>
      </c>
      <c r="K12" s="21" t="s">
        <v>8</v>
      </c>
      <c r="L12" s="21" t="s">
        <v>9</v>
      </c>
      <c r="M12" s="22" t="s">
        <v>10</v>
      </c>
      <c r="N12" s="23"/>
      <c r="O12" s="24">
        <v>44239.0</v>
      </c>
      <c r="P12" s="24">
        <v>44239.0</v>
      </c>
      <c r="Q12" s="25">
        <v>36.0</v>
      </c>
      <c r="R12" s="26">
        <f>IFERROR(__xludf.DUMMYFUNCTION("IF (OR( Q12 = """" , P12 =""""), """" , IF(Q12 = ""Menos de 1 mês"" , ""antes de ""&amp; TO_TEXT( EDATE(P12, 1)), EDATE(P12,Q12)))"),45334.0)</f>
        <v>45334</v>
      </c>
      <c r="S12" s="21">
        <v>1.0</v>
      </c>
      <c r="T12" s="19">
        <v>46080.0</v>
      </c>
      <c r="U12" s="19">
        <v>46080.0</v>
      </c>
      <c r="V12" s="27">
        <v>44267.0</v>
      </c>
      <c r="W12" s="21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ht="60.0" customHeight="1">
      <c r="A13" s="14" t="str">
        <f>if(H13&lt;&gt;"",VLOOKUP(H13,ID!$A$2:$C$999,3,FALSE),"") </f>
        <v>BT0011</v>
      </c>
      <c r="B13" s="15" t="s">
        <v>0</v>
      </c>
      <c r="C13" s="16" t="s">
        <v>1</v>
      </c>
      <c r="D13" s="17" t="s">
        <v>63</v>
      </c>
      <c r="E13" s="18" t="s">
        <v>69</v>
      </c>
      <c r="F13" s="19">
        <v>2860.0</v>
      </c>
      <c r="G13" s="20"/>
      <c r="H13" s="21" t="s">
        <v>70</v>
      </c>
      <c r="I13" s="22" t="s">
        <v>71</v>
      </c>
      <c r="J13" s="21" t="s">
        <v>72</v>
      </c>
      <c r="K13" s="21" t="s">
        <v>8</v>
      </c>
      <c r="L13" s="21" t="s">
        <v>9</v>
      </c>
      <c r="M13" s="22" t="s">
        <v>10</v>
      </c>
      <c r="N13" s="23"/>
      <c r="O13" s="24"/>
      <c r="P13" s="24"/>
      <c r="Q13" s="25">
        <v>36.0</v>
      </c>
      <c r="R13" s="26" t="str">
        <f>IFERROR(__xludf.DUMMYFUNCTION("IF (OR( Q13 = """" , P13 =""""), """" , IF(Q13 = ""Menos de 1 mês"" , ""antes de ""&amp; TO_TEXT( EDATE(P13, 1)), EDATE(P13,Q13)))"),"")</f>
        <v/>
      </c>
      <c r="S13" s="21">
        <v>1.0</v>
      </c>
      <c r="T13" s="19">
        <v>18000.0</v>
      </c>
      <c r="U13" s="19">
        <v>18000.0</v>
      </c>
      <c r="V13" s="27">
        <v>44541.0</v>
      </c>
      <c r="W13" s="21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ht="60.0" customHeight="1">
      <c r="A14" s="14" t="str">
        <f>if(H14&lt;&gt;"",VLOOKUP(H14,ID!$A$2:$C$999,3,FALSE),"") </f>
        <v>BT0012</v>
      </c>
      <c r="B14" s="15" t="s">
        <v>0</v>
      </c>
      <c r="C14" s="16" t="s">
        <v>1</v>
      </c>
      <c r="D14" s="17" t="s">
        <v>2</v>
      </c>
      <c r="E14" s="18" t="s">
        <v>73</v>
      </c>
      <c r="F14" s="19">
        <v>4932.0</v>
      </c>
      <c r="G14" s="20" t="s">
        <v>74</v>
      </c>
      <c r="H14" s="21" t="s">
        <v>75</v>
      </c>
      <c r="I14" s="22" t="s">
        <v>76</v>
      </c>
      <c r="J14" s="21" t="s">
        <v>77</v>
      </c>
      <c r="K14" s="21" t="s">
        <v>8</v>
      </c>
      <c r="L14" s="21" t="s">
        <v>9</v>
      </c>
      <c r="M14" s="22" t="s">
        <v>10</v>
      </c>
      <c r="N14" s="23"/>
      <c r="O14" s="24">
        <v>43309.0</v>
      </c>
      <c r="P14" s="24">
        <v>43309.0</v>
      </c>
      <c r="Q14" s="25">
        <v>36.0</v>
      </c>
      <c r="R14" s="26">
        <f>IFERROR(__xludf.DUMMYFUNCTION("IF (OR( Q14 = """" , P14 =""""), """" , IF(Q14 = ""Menos de 1 mês"" , ""antes de ""&amp; TO_TEXT( EDATE(P14, 1)), EDATE(P14,Q14)))"),44405.0)</f>
        <v>44405</v>
      </c>
      <c r="S14" s="21">
        <v>1.0</v>
      </c>
      <c r="T14" s="19">
        <v>22320.0</v>
      </c>
      <c r="U14" s="19">
        <v>22320.0</v>
      </c>
      <c r="V14" s="27">
        <v>43377.0</v>
      </c>
      <c r="W14" s="21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ht="60.0" customHeight="1">
      <c r="A15" s="14" t="str">
        <f>if(H15&lt;&gt;"",VLOOKUP(H15,ID!$A$2:$C$999,3,FALSE),"") </f>
        <v>BT0013</v>
      </c>
      <c r="B15" s="15" t="s">
        <v>0</v>
      </c>
      <c r="C15" s="16" t="s">
        <v>1</v>
      </c>
      <c r="D15" s="17" t="s">
        <v>33</v>
      </c>
      <c r="E15" s="18" t="s">
        <v>78</v>
      </c>
      <c r="F15" s="19">
        <v>1300.0</v>
      </c>
      <c r="G15" s="20" t="s">
        <v>79</v>
      </c>
      <c r="H15" s="21" t="s">
        <v>80</v>
      </c>
      <c r="I15" s="22" t="s">
        <v>81</v>
      </c>
      <c r="J15" s="21" t="s">
        <v>82</v>
      </c>
      <c r="K15" s="21" t="s">
        <v>8</v>
      </c>
      <c r="L15" s="21" t="s">
        <v>9</v>
      </c>
      <c r="M15" s="22" t="s">
        <v>10</v>
      </c>
      <c r="N15" s="23"/>
      <c r="O15" s="24">
        <v>44264.0</v>
      </c>
      <c r="P15" s="24">
        <v>44264.0</v>
      </c>
      <c r="Q15" s="25">
        <v>36.0</v>
      </c>
      <c r="R15" s="26">
        <f>IFERROR(__xludf.DUMMYFUNCTION("IF (OR( Q15 = """" , P15 =""""), """" , IF(Q15 = ""Menos de 1 mês"" , ""antes de ""&amp; TO_TEXT( EDATE(P15, 1)), EDATE(P15,Q15)))"),45360.0)</f>
        <v>45360</v>
      </c>
      <c r="S15" s="21">
        <v>1.0</v>
      </c>
      <c r="T15" s="19">
        <v>45200.0</v>
      </c>
      <c r="U15" s="19">
        <v>45200.0</v>
      </c>
      <c r="V15" s="33">
        <v>44264.0</v>
      </c>
      <c r="W15" s="21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ht="60.0" customHeight="1">
      <c r="A16" s="14" t="str">
        <f>if(H16&lt;&gt;"",VLOOKUP(H16,ID!$A$2:$C$999,3,FALSE),"") </f>
        <v>BT0014</v>
      </c>
      <c r="B16" s="15" t="s">
        <v>0</v>
      </c>
      <c r="C16" s="16" t="s">
        <v>1</v>
      </c>
      <c r="D16" s="17" t="s">
        <v>33</v>
      </c>
      <c r="E16" s="18" t="s">
        <v>83</v>
      </c>
      <c r="F16" s="19">
        <v>1260.0</v>
      </c>
      <c r="G16" s="20" t="s">
        <v>84</v>
      </c>
      <c r="H16" s="21" t="s">
        <v>85</v>
      </c>
      <c r="I16" s="22" t="s">
        <v>81</v>
      </c>
      <c r="J16" s="21" t="s">
        <v>82</v>
      </c>
      <c r="K16" s="21" t="s">
        <v>8</v>
      </c>
      <c r="L16" s="21" t="s">
        <v>9</v>
      </c>
      <c r="M16" s="22" t="s">
        <v>10</v>
      </c>
      <c r="N16" s="23"/>
      <c r="O16" s="24">
        <v>44442.0</v>
      </c>
      <c r="P16" s="24">
        <v>45538.0</v>
      </c>
      <c r="Q16" s="25">
        <v>36.0</v>
      </c>
      <c r="R16" s="26">
        <f>IFERROR(__xludf.DUMMYFUNCTION("IF (OR( Q16 = """" , P16 =""""), """" , IF(Q16 = ""Menos de 1 mês"" , ""antes de ""&amp; TO_TEXT( EDATE(P16, 1)), EDATE(P16,Q16)))"),46633.0)</f>
        <v>46633</v>
      </c>
      <c r="S16" s="21">
        <v>1.0</v>
      </c>
      <c r="T16" s="19">
        <v>44000.0</v>
      </c>
      <c r="U16" s="19">
        <v>44000.0</v>
      </c>
      <c r="V16" s="31" t="s">
        <v>86</v>
      </c>
      <c r="W16" s="21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ht="60.0" customHeight="1">
      <c r="A17" s="14" t="str">
        <f>if(H17&lt;&gt;"",VLOOKUP(H17,ID!$A$2:$C$999,3,FALSE),"") </f>
        <v>BT0015</v>
      </c>
      <c r="B17" s="15" t="s">
        <v>0</v>
      </c>
      <c r="C17" s="16" t="s">
        <v>1</v>
      </c>
      <c r="D17" s="17" t="s">
        <v>33</v>
      </c>
      <c r="E17" s="18" t="s">
        <v>87</v>
      </c>
      <c r="F17" s="19">
        <v>1903.0</v>
      </c>
      <c r="G17" s="20" t="s">
        <v>88</v>
      </c>
      <c r="H17" s="21" t="s">
        <v>89</v>
      </c>
      <c r="I17" s="22" t="s">
        <v>81</v>
      </c>
      <c r="J17" s="21" t="s">
        <v>90</v>
      </c>
      <c r="K17" s="21" t="s">
        <v>8</v>
      </c>
      <c r="L17" s="21" t="s">
        <v>9</v>
      </c>
      <c r="M17" s="22" t="s">
        <v>10</v>
      </c>
      <c r="N17" s="23"/>
      <c r="O17" s="24">
        <v>44264.0</v>
      </c>
      <c r="P17" s="24">
        <v>44264.0</v>
      </c>
      <c r="Q17" s="25">
        <v>36.0</v>
      </c>
      <c r="R17" s="26">
        <f>IFERROR(__xludf.DUMMYFUNCTION("IF (OR( Q17 = """" , P17 =""""), """" , IF(Q17 = ""Menos de 1 mês"" , ""antes de ""&amp; TO_TEXT( EDATE(P17, 1)), EDATE(P17,Q17)))"),45360.0)</f>
        <v>45360</v>
      </c>
      <c r="S17" s="21">
        <v>1.0</v>
      </c>
      <c r="T17" s="19">
        <v>38052.0</v>
      </c>
      <c r="U17" s="19">
        <v>38052.0</v>
      </c>
      <c r="V17" s="33">
        <v>44264.0</v>
      </c>
      <c r="W17" s="21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ht="60.0" customHeight="1">
      <c r="A18" s="14" t="str">
        <f>if(H18&lt;&gt;"",VLOOKUP(H18,ID!$A$2:$C$999,3,FALSE),"") </f>
        <v>BT0016</v>
      </c>
      <c r="B18" s="15" t="s">
        <v>0</v>
      </c>
      <c r="C18" s="16" t="s">
        <v>1</v>
      </c>
      <c r="D18" s="17" t="s">
        <v>33</v>
      </c>
      <c r="E18" s="18" t="s">
        <v>91</v>
      </c>
      <c r="F18" s="21">
        <v>962.5</v>
      </c>
      <c r="G18" s="20" t="s">
        <v>92</v>
      </c>
      <c r="H18" s="21" t="s">
        <v>93</v>
      </c>
      <c r="I18" s="22" t="s">
        <v>94</v>
      </c>
      <c r="J18" s="21" t="s">
        <v>95</v>
      </c>
      <c r="K18" s="21" t="s">
        <v>8</v>
      </c>
      <c r="L18" s="21" t="s">
        <v>96</v>
      </c>
      <c r="M18" s="22" t="s">
        <v>10</v>
      </c>
      <c r="N18" s="23"/>
      <c r="O18" s="24">
        <v>43372.0</v>
      </c>
      <c r="P18" s="24">
        <v>43372.0</v>
      </c>
      <c r="Q18" s="25">
        <v>36.0</v>
      </c>
      <c r="R18" s="26">
        <f>IFERROR(__xludf.DUMMYFUNCTION("IF (OR( Q18 = """" , P18 =""""), """" , IF(Q18 = ""Menos de 1 mês"" , ""antes de ""&amp; TO_TEXT( EDATE(P18, 1)), EDATE(P18,Q18)))"),44468.0)</f>
        <v>44468</v>
      </c>
      <c r="S18" s="21">
        <v>1.0</v>
      </c>
      <c r="T18" s="19">
        <v>56800.0</v>
      </c>
      <c r="U18" s="19">
        <v>56800.0</v>
      </c>
      <c r="V18" s="27">
        <v>43377.0</v>
      </c>
      <c r="W18" s="21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ht="60.0" customHeight="1">
      <c r="A19" s="14" t="str">
        <f>if(H19&lt;&gt;"",VLOOKUP(H19,ID!$A$2:$C$999,3,FALSE),"") </f>
        <v>BT0017</v>
      </c>
      <c r="B19" s="15" t="s">
        <v>0</v>
      </c>
      <c r="C19" s="16" t="s">
        <v>1</v>
      </c>
      <c r="D19" s="17" t="s">
        <v>33</v>
      </c>
      <c r="E19" s="18" t="s">
        <v>97</v>
      </c>
      <c r="F19" s="21">
        <v>450.0</v>
      </c>
      <c r="G19" s="20" t="s">
        <v>98</v>
      </c>
      <c r="H19" s="21" t="s">
        <v>99</v>
      </c>
      <c r="I19" s="22" t="s">
        <v>60</v>
      </c>
      <c r="J19" s="21" t="s">
        <v>61</v>
      </c>
      <c r="K19" s="21" t="s">
        <v>8</v>
      </c>
      <c r="L19" s="21" t="s">
        <v>96</v>
      </c>
      <c r="M19" s="22" t="s">
        <v>10</v>
      </c>
      <c r="N19" s="23"/>
      <c r="O19" s="24">
        <v>43431.0</v>
      </c>
      <c r="P19" s="24">
        <v>44527.0</v>
      </c>
      <c r="Q19" s="25">
        <v>36.0</v>
      </c>
      <c r="R19" s="26">
        <f>IFERROR(__xludf.DUMMYFUNCTION("IF (OR( Q19 = """" , P19 =""""), """" , IF(Q19 = ""Menos de 1 mês"" , ""antes de ""&amp; TO_TEXT( EDATE(P19, 1)), EDATE(P19,Q19)))"),45623.0)</f>
        <v>45623</v>
      </c>
      <c r="S19" s="21">
        <v>1.0</v>
      </c>
      <c r="T19" s="19">
        <v>14400.0</v>
      </c>
      <c r="U19" s="19">
        <v>14400.0</v>
      </c>
      <c r="V19" s="27">
        <v>43412.0</v>
      </c>
      <c r="W19" s="21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ht="60.0" customHeight="1">
      <c r="A20" s="14" t="str">
        <f>if(H20&lt;&gt;"",VLOOKUP(H20,ID!$A$2:$C$999,3,FALSE),"") </f>
        <v>BT0018</v>
      </c>
      <c r="B20" s="15" t="s">
        <v>0</v>
      </c>
      <c r="C20" s="16" t="s">
        <v>1</v>
      </c>
      <c r="D20" s="17" t="s">
        <v>33</v>
      </c>
      <c r="E20" s="18" t="s">
        <v>100</v>
      </c>
      <c r="F20" s="21">
        <v>600.0</v>
      </c>
      <c r="G20" s="20" t="s">
        <v>101</v>
      </c>
      <c r="H20" s="21" t="s">
        <v>102</v>
      </c>
      <c r="I20" s="22" t="s">
        <v>60</v>
      </c>
      <c r="J20" s="21" t="s">
        <v>61</v>
      </c>
      <c r="K20" s="21" t="s">
        <v>8</v>
      </c>
      <c r="L20" s="21" t="s">
        <v>9</v>
      </c>
      <c r="M20" s="22" t="s">
        <v>10</v>
      </c>
      <c r="N20" s="23"/>
      <c r="O20" s="24">
        <v>43431.0</v>
      </c>
      <c r="P20" s="24">
        <v>44527.0</v>
      </c>
      <c r="Q20" s="25">
        <v>36.0</v>
      </c>
      <c r="R20" s="26">
        <f>IFERROR(__xludf.DUMMYFUNCTION("IF (OR( Q20 = """" , P20 =""""), """" , IF(Q20 = ""Menos de 1 mês"" , ""antes de ""&amp; TO_TEXT( EDATE(P20, 1)), EDATE(P20,Q20)))"),45623.0)</f>
        <v>45623</v>
      </c>
      <c r="S20" s="21">
        <v>1.0</v>
      </c>
      <c r="T20" s="19">
        <v>72000.0</v>
      </c>
      <c r="U20" s="19">
        <v>72000.0</v>
      </c>
      <c r="V20" s="27">
        <v>43412.0</v>
      </c>
      <c r="W20" s="21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ht="60.0" customHeight="1">
      <c r="A21" s="14" t="str">
        <f>if(H21&lt;&gt;"",VLOOKUP(H21,ID!$A$2:$C$999,3,FALSE),"") </f>
        <v>BT0019</v>
      </c>
      <c r="B21" s="15" t="s">
        <v>0</v>
      </c>
      <c r="C21" s="16" t="s">
        <v>1</v>
      </c>
      <c r="D21" s="17" t="s">
        <v>2</v>
      </c>
      <c r="E21" s="18" t="s">
        <v>103</v>
      </c>
      <c r="F21" s="21">
        <v>644.0</v>
      </c>
      <c r="G21" s="20" t="s">
        <v>104</v>
      </c>
      <c r="H21" s="21" t="s">
        <v>105</v>
      </c>
      <c r="I21" s="22" t="s">
        <v>106</v>
      </c>
      <c r="J21" s="21" t="s">
        <v>107</v>
      </c>
      <c r="K21" s="21" t="s">
        <v>8</v>
      </c>
      <c r="L21" s="21" t="s">
        <v>9</v>
      </c>
      <c r="M21" s="22" t="s">
        <v>10</v>
      </c>
      <c r="N21" s="23"/>
      <c r="O21" s="24">
        <v>43552.0</v>
      </c>
      <c r="P21" s="24">
        <v>44648.0</v>
      </c>
      <c r="Q21" s="25">
        <v>36.0</v>
      </c>
      <c r="R21" s="26">
        <f>IFERROR(__xludf.DUMMYFUNCTION("IF (OR( Q21 = """" , P21 =""""), """" , IF(Q21 = ""Menos de 1 mês"" , ""antes de ""&amp; TO_TEXT( EDATE(P21, 1)), EDATE(P21,Q21)))"),45744.0)</f>
        <v>45744</v>
      </c>
      <c r="S21" s="21">
        <v>1.0</v>
      </c>
      <c r="T21" s="19">
        <v>18500.0</v>
      </c>
      <c r="U21" s="19">
        <v>18500.0</v>
      </c>
      <c r="V21" s="27">
        <v>43650.0</v>
      </c>
      <c r="W21" s="21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ht="60.0" customHeight="1">
      <c r="A22" s="14" t="str">
        <f>if(H22&lt;&gt;"",VLOOKUP(H22,ID!$A$2:$C$999,3,FALSE),"") </f>
        <v>BT0020</v>
      </c>
      <c r="B22" s="15" t="s">
        <v>0</v>
      </c>
      <c r="C22" s="16" t="s">
        <v>1</v>
      </c>
      <c r="D22" s="17" t="s">
        <v>108</v>
      </c>
      <c r="E22" s="18" t="s">
        <v>109</v>
      </c>
      <c r="F22" s="21">
        <v>176.0</v>
      </c>
      <c r="G22" s="20" t="s">
        <v>110</v>
      </c>
      <c r="H22" s="21" t="s">
        <v>111</v>
      </c>
      <c r="I22" s="22" t="s">
        <v>112</v>
      </c>
      <c r="J22" s="21" t="s">
        <v>113</v>
      </c>
      <c r="K22" s="21" t="s">
        <v>8</v>
      </c>
      <c r="L22" s="21" t="s">
        <v>30</v>
      </c>
      <c r="M22" s="22" t="s">
        <v>62</v>
      </c>
      <c r="N22" s="23"/>
      <c r="O22" s="24">
        <v>43442.0</v>
      </c>
      <c r="P22" s="24">
        <v>43442.0</v>
      </c>
      <c r="Q22" s="25">
        <v>36.0</v>
      </c>
      <c r="R22" s="26">
        <f>IFERROR(__xludf.DUMMYFUNCTION("IF (OR( Q22 = """" , P22 =""""), """" , IF(Q22 = ""Menos de 1 mês"" , ""antes de ""&amp; TO_TEXT( EDATE(P22, 1)), EDATE(P22,Q22)))"),44538.0)</f>
        <v>44538</v>
      </c>
      <c r="S22" s="21">
        <v>1.0</v>
      </c>
      <c r="T22" s="19">
        <v>25200.0</v>
      </c>
      <c r="U22" s="19">
        <v>25200.0</v>
      </c>
      <c r="V22" s="27">
        <v>43433.0</v>
      </c>
      <c r="W22" s="21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ht="60.0" customHeight="1">
      <c r="A23" s="14" t="str">
        <f>if(H23&lt;&gt;"",VLOOKUP(H23,ID!$A$2:$C$999,3,FALSE),"") </f>
        <v>BT0021</v>
      </c>
      <c r="B23" s="15" t="s">
        <v>0</v>
      </c>
      <c r="C23" s="16" t="s">
        <v>1</v>
      </c>
      <c r="D23" s="17" t="s">
        <v>33</v>
      </c>
      <c r="E23" s="18" t="s">
        <v>114</v>
      </c>
      <c r="F23" s="19">
        <v>1650.0</v>
      </c>
      <c r="G23" s="20" t="s">
        <v>115</v>
      </c>
      <c r="H23" s="21" t="s">
        <v>116</v>
      </c>
      <c r="I23" s="22" t="s">
        <v>117</v>
      </c>
      <c r="J23" s="21" t="s">
        <v>118</v>
      </c>
      <c r="K23" s="21" t="s">
        <v>8</v>
      </c>
      <c r="L23" s="21" t="s">
        <v>30</v>
      </c>
      <c r="M23" s="22" t="s">
        <v>62</v>
      </c>
      <c r="N23" s="23"/>
      <c r="O23" s="24">
        <v>43398.0</v>
      </c>
      <c r="P23" s="24">
        <v>44494.0</v>
      </c>
      <c r="Q23" s="35">
        <v>36.0</v>
      </c>
      <c r="R23" s="26">
        <f>IFERROR(__xludf.DUMMYFUNCTION("IF (OR( Q23 = """" , P23 =""""), """" , IF(Q23 = ""Menos de 1 mês"" , ""antes de ""&amp; TO_TEXT( EDATE(P23, 1)), EDATE(P23,Q23)))"),45590.0)</f>
        <v>45590</v>
      </c>
      <c r="S23" s="21">
        <v>1.0</v>
      </c>
      <c r="T23" s="19">
        <v>47000.0</v>
      </c>
      <c r="U23" s="19">
        <v>47000.0</v>
      </c>
      <c r="V23" s="27">
        <v>43389.0</v>
      </c>
      <c r="W23" s="21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ht="60.0" customHeight="1">
      <c r="A24" s="14" t="str">
        <f>if(H24&lt;&gt;"",VLOOKUP(H24,ID!$A$2:$C$999,3,FALSE),"") </f>
        <v>BT0022</v>
      </c>
      <c r="B24" s="15" t="s">
        <v>0</v>
      </c>
      <c r="C24" s="16" t="s">
        <v>1</v>
      </c>
      <c r="D24" s="17" t="s">
        <v>46</v>
      </c>
      <c r="E24" s="18" t="s">
        <v>119</v>
      </c>
      <c r="F24" s="21">
        <v>720.0</v>
      </c>
      <c r="G24" s="20" t="s">
        <v>120</v>
      </c>
      <c r="H24" s="21" t="s">
        <v>121</v>
      </c>
      <c r="I24" s="22" t="s">
        <v>94</v>
      </c>
      <c r="J24" s="21" t="s">
        <v>95</v>
      </c>
      <c r="K24" s="21" t="s">
        <v>8</v>
      </c>
      <c r="L24" s="21" t="s">
        <v>96</v>
      </c>
      <c r="M24" s="22" t="s">
        <v>10</v>
      </c>
      <c r="N24" s="23"/>
      <c r="O24" s="24">
        <v>42275.0</v>
      </c>
      <c r="P24" s="24">
        <v>42275.0</v>
      </c>
      <c r="Q24" s="25">
        <v>36.0</v>
      </c>
      <c r="R24" s="26">
        <f>IFERROR(__xludf.DUMMYFUNCTION("IF (OR( Q24 = """" , P24 =""""), """" , IF(Q24 = ""Menos de 1 mês"" , ""antes de ""&amp; TO_TEXT( EDATE(P24, 1)), EDATE(P24,Q24)))"),43371.0)</f>
        <v>43371</v>
      </c>
      <c r="S24" s="21">
        <v>1.0</v>
      </c>
      <c r="T24" s="19">
        <v>52800.0</v>
      </c>
      <c r="U24" s="19">
        <v>52800.0</v>
      </c>
      <c r="V24" s="27">
        <v>43377.0</v>
      </c>
      <c r="W24" s="21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ht="60.0" customHeight="1">
      <c r="A25" s="14" t="str">
        <f>if(H25&lt;&gt;"",VLOOKUP(H25,ID!$A$2:$C$999,3,FALSE),"") </f>
        <v>BT0023</v>
      </c>
      <c r="B25" s="15" t="s">
        <v>0</v>
      </c>
      <c r="C25" s="16" t="s">
        <v>1</v>
      </c>
      <c r="D25" s="17" t="s">
        <v>33</v>
      </c>
      <c r="E25" s="18" t="s">
        <v>122</v>
      </c>
      <c r="F25" s="21">
        <v>130.0</v>
      </c>
      <c r="G25" s="20" t="s">
        <v>123</v>
      </c>
      <c r="H25" s="21" t="s">
        <v>124</v>
      </c>
      <c r="I25" s="22" t="s">
        <v>125</v>
      </c>
      <c r="J25" s="21" t="s">
        <v>29</v>
      </c>
      <c r="K25" s="21" t="s">
        <v>8</v>
      </c>
      <c r="L25" s="21" t="s">
        <v>30</v>
      </c>
      <c r="M25" s="22" t="s">
        <v>126</v>
      </c>
      <c r="N25" s="23"/>
      <c r="O25" s="24">
        <v>43417.0</v>
      </c>
      <c r="P25" s="24">
        <v>43417.0</v>
      </c>
      <c r="Q25" s="25">
        <v>36.0</v>
      </c>
      <c r="R25" s="26">
        <f>IFERROR(__xludf.DUMMYFUNCTION("IF (OR( Q25 = """" , P25 =""""), """" , IF(Q25 = ""Menos de 1 mês"" , ""antes de ""&amp; TO_TEXT( EDATE(P25, 1)), EDATE(P25,Q25)))"),44513.0)</f>
        <v>44513</v>
      </c>
      <c r="S25" s="21">
        <v>1.0</v>
      </c>
      <c r="T25" s="19">
        <v>23100.0</v>
      </c>
      <c r="U25" s="19">
        <v>23100.0</v>
      </c>
      <c r="V25" s="27">
        <v>43412.0</v>
      </c>
      <c r="W25" s="21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ht="60.0" customHeight="1">
      <c r="A26" s="14" t="str">
        <f>if(H26&lt;&gt;"",VLOOKUP(H26,ID!$A$2:$C$999,3,FALSE),"") </f>
        <v>BT0024</v>
      </c>
      <c r="B26" s="15" t="s">
        <v>0</v>
      </c>
      <c r="C26" s="16" t="s">
        <v>1</v>
      </c>
      <c r="D26" s="17" t="s">
        <v>63</v>
      </c>
      <c r="E26" s="18" t="s">
        <v>127</v>
      </c>
      <c r="F26" s="21">
        <v>500.0</v>
      </c>
      <c r="G26" s="20" t="s">
        <v>128</v>
      </c>
      <c r="H26" s="21" t="s">
        <v>129</v>
      </c>
      <c r="I26" s="22" t="s">
        <v>130</v>
      </c>
      <c r="J26" s="21" t="s">
        <v>131</v>
      </c>
      <c r="K26" s="21" t="s">
        <v>8</v>
      </c>
      <c r="L26" s="21" t="s">
        <v>96</v>
      </c>
      <c r="M26" s="22" t="s">
        <v>10</v>
      </c>
      <c r="N26" s="23"/>
      <c r="O26" s="24">
        <v>42013.0</v>
      </c>
      <c r="P26" s="24">
        <v>42013.0</v>
      </c>
      <c r="Q26" s="25">
        <v>36.0</v>
      </c>
      <c r="R26" s="26">
        <f>IFERROR(__xludf.DUMMYFUNCTION("IF (OR( Q26 = """" , P26 =""""), """" , IF(Q26 = ""Menos de 1 mês"" , ""antes de ""&amp; TO_TEXT( EDATE(P26, 1)), EDATE(P26,Q26)))"),43109.0)</f>
        <v>43109</v>
      </c>
      <c r="S26" s="21">
        <v>1.0</v>
      </c>
      <c r="T26" s="19">
        <v>23515.0</v>
      </c>
      <c r="U26" s="19">
        <v>23515.0</v>
      </c>
      <c r="V26" s="27">
        <v>43377.0</v>
      </c>
      <c r="W26" s="21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ht="60.0" customHeight="1">
      <c r="A27" s="14" t="str">
        <f>if(H27&lt;&gt;"",VLOOKUP(H27,ID!$A$2:$C$999,3,FALSE),"") </f>
        <v>BT0025</v>
      </c>
      <c r="B27" s="15" t="s">
        <v>0</v>
      </c>
      <c r="C27" s="16" t="s">
        <v>1</v>
      </c>
      <c r="D27" s="17" t="s">
        <v>46</v>
      </c>
      <c r="E27" s="18" t="s">
        <v>132</v>
      </c>
      <c r="F27" s="19">
        <v>2450.0</v>
      </c>
      <c r="G27" s="20" t="s">
        <v>133</v>
      </c>
      <c r="H27" s="21" t="s">
        <v>134</v>
      </c>
      <c r="I27" s="22" t="s">
        <v>135</v>
      </c>
      <c r="J27" s="21" t="s">
        <v>136</v>
      </c>
      <c r="K27" s="21" t="s">
        <v>8</v>
      </c>
      <c r="L27" s="21" t="s">
        <v>30</v>
      </c>
      <c r="M27" s="22" t="s">
        <v>10</v>
      </c>
      <c r="N27" s="23"/>
      <c r="O27" s="24">
        <v>43557.0</v>
      </c>
      <c r="P27" s="24">
        <v>43557.0</v>
      </c>
      <c r="Q27" s="25">
        <v>12.0</v>
      </c>
      <c r="R27" s="26">
        <f>IFERROR(__xludf.DUMMYFUNCTION("IF (OR( Q27 = """" , P27 =""""), """" , IF(Q27 = ""Menos de 1 mês"" , ""antes de ""&amp; TO_TEXT( EDATE(P27, 1)), EDATE(P27,Q27)))"),43923.0)</f>
        <v>43923</v>
      </c>
      <c r="S27" s="21">
        <v>1.0</v>
      </c>
      <c r="T27" s="19">
        <v>11100.0</v>
      </c>
      <c r="U27" s="19">
        <v>11100.0</v>
      </c>
      <c r="V27" s="27">
        <v>43514.0</v>
      </c>
      <c r="W27" s="21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ht="60.0" customHeight="1">
      <c r="A28" s="14" t="str">
        <f>if(H28&lt;&gt;"",VLOOKUP(H28,ID!$A$2:$C$999,3,FALSE),"") </f>
        <v>BT0026</v>
      </c>
      <c r="B28" s="15" t="s">
        <v>0</v>
      </c>
      <c r="C28" s="16" t="s">
        <v>1</v>
      </c>
      <c r="D28" s="17" t="s">
        <v>2</v>
      </c>
      <c r="E28" s="18" t="s">
        <v>137</v>
      </c>
      <c r="F28" s="21">
        <v>1093.16</v>
      </c>
      <c r="G28" s="20" t="s">
        <v>138</v>
      </c>
      <c r="H28" s="21" t="s">
        <v>139</v>
      </c>
      <c r="I28" s="22" t="s">
        <v>140</v>
      </c>
      <c r="J28" s="21" t="s">
        <v>141</v>
      </c>
      <c r="K28" s="21" t="s">
        <v>8</v>
      </c>
      <c r="L28" s="21" t="s">
        <v>30</v>
      </c>
      <c r="M28" s="22" t="s">
        <v>62</v>
      </c>
      <c r="N28" s="23"/>
      <c r="O28" s="24">
        <v>43431.0</v>
      </c>
      <c r="P28" s="24">
        <v>44527.0</v>
      </c>
      <c r="Q28" s="25">
        <v>36.0</v>
      </c>
      <c r="R28" s="26">
        <f>IFERROR(__xludf.DUMMYFUNCTION("IF (OR( Q28 = """" , P28 =""""), """" , IF(Q28 = ""Menos de 1 mês"" , ""antes de ""&amp; TO_TEXT( EDATE(P28, 1)), EDATE(P28,Q28)))"),45623.0)</f>
        <v>45623</v>
      </c>
      <c r="S28" s="21">
        <v>1.0</v>
      </c>
      <c r="T28" s="19">
        <v>14400.0</v>
      </c>
      <c r="U28" s="19">
        <v>14400.0</v>
      </c>
      <c r="V28" s="27">
        <v>43431.0</v>
      </c>
      <c r="W28" s="21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ht="60.0" customHeight="1">
      <c r="A29" s="14" t="str">
        <f>if(H29&lt;&gt;"",VLOOKUP(H29,ID!$A$2:$C$999,3,FALSE),"") </f>
        <v>BT0027</v>
      </c>
      <c r="B29" s="15" t="s">
        <v>0</v>
      </c>
      <c r="C29" s="16" t="s">
        <v>1</v>
      </c>
      <c r="D29" s="17" t="s">
        <v>2</v>
      </c>
      <c r="E29" s="18" t="s">
        <v>142</v>
      </c>
      <c r="F29" s="19">
        <v>4990.0</v>
      </c>
      <c r="G29" s="20" t="s">
        <v>143</v>
      </c>
      <c r="H29" s="21" t="s">
        <v>144</v>
      </c>
      <c r="I29" s="22" t="s">
        <v>140</v>
      </c>
      <c r="J29" s="21" t="s">
        <v>141</v>
      </c>
      <c r="K29" s="21" t="s">
        <v>8</v>
      </c>
      <c r="L29" s="21" t="s">
        <v>30</v>
      </c>
      <c r="M29" s="22" t="s">
        <v>62</v>
      </c>
      <c r="N29" s="23"/>
      <c r="O29" s="24">
        <v>43431.0</v>
      </c>
      <c r="P29" s="24">
        <v>44527.0</v>
      </c>
      <c r="Q29" s="25">
        <v>36.0</v>
      </c>
      <c r="R29" s="26">
        <f>IFERROR(__xludf.DUMMYFUNCTION("IF (OR( Q29 = """" , P29 =""""), """" , IF(Q29 = ""Menos de 1 mês"" , ""antes de ""&amp; TO_TEXT( EDATE(P29, 1)), EDATE(P29,Q29)))"),45623.0)</f>
        <v>45623</v>
      </c>
      <c r="S29" s="21">
        <v>10.0</v>
      </c>
      <c r="T29" s="19">
        <v>144000.0</v>
      </c>
      <c r="U29" s="19">
        <v>144000.0</v>
      </c>
      <c r="V29" s="27">
        <v>43431.0</v>
      </c>
      <c r="W29" s="2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ht="60.0" customHeight="1">
      <c r="A30" s="14" t="str">
        <f>if(H30&lt;&gt;"",VLOOKUP(H30,ID!$A$2:$C$999,3,FALSE),"") </f>
        <v>BT0028</v>
      </c>
      <c r="B30" s="15" t="s">
        <v>0</v>
      </c>
      <c r="C30" s="16" t="s">
        <v>1</v>
      </c>
      <c r="D30" s="17" t="s">
        <v>63</v>
      </c>
      <c r="E30" s="18" t="s">
        <v>145</v>
      </c>
      <c r="F30" s="19">
        <v>4990.0</v>
      </c>
      <c r="G30" s="20" t="s">
        <v>146</v>
      </c>
      <c r="H30" s="21" t="s">
        <v>147</v>
      </c>
      <c r="I30" s="22" t="s">
        <v>140</v>
      </c>
      <c r="J30" s="21" t="s">
        <v>148</v>
      </c>
      <c r="K30" s="21" t="s">
        <v>8</v>
      </c>
      <c r="L30" s="21" t="s">
        <v>96</v>
      </c>
      <c r="M30" s="22" t="s">
        <v>10</v>
      </c>
      <c r="N30" s="23"/>
      <c r="O30" s="24">
        <v>43431.0</v>
      </c>
      <c r="P30" s="24">
        <v>44527.0</v>
      </c>
      <c r="Q30" s="25">
        <v>36.0</v>
      </c>
      <c r="R30" s="26">
        <f>IFERROR(__xludf.DUMMYFUNCTION("IF (OR( Q30 = """" , P30 =""""), """" , IF(Q30 = ""Menos de 1 mês"" , ""antes de ""&amp; TO_TEXT( EDATE(P30, 1)), EDATE(P30,Q30)))"),45623.0)</f>
        <v>45623</v>
      </c>
      <c r="S30" s="21">
        <v>2.0</v>
      </c>
      <c r="T30" s="19">
        <v>10800.0</v>
      </c>
      <c r="U30" s="19">
        <v>10800.0</v>
      </c>
      <c r="V30" s="27">
        <v>43431.0</v>
      </c>
      <c r="W30" s="21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ht="60.0" customHeight="1">
      <c r="A31" s="14" t="str">
        <f>if(H31&lt;&gt;"",VLOOKUP(H31,ID!$A$2:$C$999,3,FALSE),"") </f>
        <v/>
      </c>
      <c r="B31" s="15" t="s">
        <v>0</v>
      </c>
      <c r="C31" s="16" t="s">
        <v>1</v>
      </c>
      <c r="D31" s="17" t="s">
        <v>33</v>
      </c>
      <c r="E31" s="18" t="s">
        <v>149</v>
      </c>
      <c r="F31" s="34"/>
      <c r="G31" s="20"/>
      <c r="H31" s="21"/>
      <c r="I31" s="22"/>
      <c r="J31" s="21"/>
      <c r="K31" s="21"/>
      <c r="L31" s="21"/>
      <c r="M31" s="22"/>
      <c r="N31" s="23"/>
      <c r="O31" s="24"/>
      <c r="P31" s="24"/>
      <c r="Q31" s="25"/>
      <c r="R31" s="26" t="str">
        <f>IFERROR(__xludf.DUMMYFUNCTION("IF (OR( Q31 = """" , P31 =""""), """" , IF(Q31 = ""Menos de 1 mês"" , ""antes de ""&amp; TO_TEXT( EDATE(P31, 1)), EDATE(P31,Q31)))"),"")</f>
        <v/>
      </c>
      <c r="S31" s="21"/>
      <c r="T31" s="19"/>
      <c r="U31" s="19"/>
      <c r="V31" s="27"/>
      <c r="W31" s="21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ht="60.0" customHeight="1">
      <c r="A32" s="14" t="str">
        <f>if(H32&lt;&gt;"",VLOOKUP(H32,ID!$A$2:$C$999,3,FALSE),"") </f>
        <v>BT0029</v>
      </c>
      <c r="B32" s="15" t="s">
        <v>0</v>
      </c>
      <c r="C32" s="16" t="s">
        <v>1</v>
      </c>
      <c r="D32" s="17" t="s">
        <v>46</v>
      </c>
      <c r="E32" s="18" t="s">
        <v>150</v>
      </c>
      <c r="F32" s="19">
        <v>1500.0</v>
      </c>
      <c r="G32" s="20" t="s">
        <v>151</v>
      </c>
      <c r="H32" s="21" t="s">
        <v>152</v>
      </c>
      <c r="I32" s="22" t="s">
        <v>153</v>
      </c>
      <c r="J32" s="21" t="s">
        <v>154</v>
      </c>
      <c r="K32" s="21" t="s">
        <v>8</v>
      </c>
      <c r="L32" s="21" t="s">
        <v>30</v>
      </c>
      <c r="M32" s="22" t="s">
        <v>126</v>
      </c>
      <c r="N32" s="23"/>
      <c r="O32" s="24">
        <v>43309.0</v>
      </c>
      <c r="P32" s="24">
        <v>43309.0</v>
      </c>
      <c r="Q32" s="25">
        <v>36.0</v>
      </c>
      <c r="R32" s="26">
        <f>IFERROR(__xludf.DUMMYFUNCTION("IF (OR( Q32 = """" , P32 =""""), """" , IF(Q32 = ""Menos de 1 mês"" , ""antes de ""&amp; TO_TEXT( EDATE(P32, 1)), EDATE(P32,Q32)))"),44405.0)</f>
        <v>44405</v>
      </c>
      <c r="S32" s="21">
        <v>1.0</v>
      </c>
      <c r="T32" s="19">
        <v>18000.0</v>
      </c>
      <c r="U32" s="19">
        <v>18000.0</v>
      </c>
      <c r="V32" s="27">
        <v>43377.0</v>
      </c>
      <c r="W32" s="21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ht="60.0" customHeight="1">
      <c r="A33" s="14" t="str">
        <f>if(H33&lt;&gt;"",VLOOKUP(H33,ID!$A$2:$C$999,3,FALSE),"") </f>
        <v>BT0030</v>
      </c>
      <c r="B33" s="15" t="s">
        <v>0</v>
      </c>
      <c r="C33" s="16" t="s">
        <v>1</v>
      </c>
      <c r="D33" s="17" t="s">
        <v>155</v>
      </c>
      <c r="E33" s="18" t="s">
        <v>156</v>
      </c>
      <c r="F33" s="19">
        <v>4000.0</v>
      </c>
      <c r="G33" s="20" t="s">
        <v>157</v>
      </c>
      <c r="H33" s="21" t="s">
        <v>158</v>
      </c>
      <c r="I33" s="22" t="s">
        <v>159</v>
      </c>
      <c r="J33" s="21" t="s">
        <v>160</v>
      </c>
      <c r="K33" s="21" t="s">
        <v>8</v>
      </c>
      <c r="L33" s="21" t="s">
        <v>9</v>
      </c>
      <c r="M33" s="22" t="s">
        <v>10</v>
      </c>
      <c r="N33" s="23"/>
      <c r="O33" s="24">
        <v>43319.0</v>
      </c>
      <c r="P33" s="24">
        <v>43319.0</v>
      </c>
      <c r="Q33" s="25">
        <v>36.0</v>
      </c>
      <c r="R33" s="26">
        <f>IFERROR(__xludf.DUMMYFUNCTION("IF (OR( Q33 = """" , P33 =""""), """" , IF(Q33 = ""Menos de 1 mês"" , ""antes de ""&amp; TO_TEXT( EDATE(P33, 1)), EDATE(P33,Q33)))"),44415.0)</f>
        <v>44415</v>
      </c>
      <c r="S33" s="21">
        <v>1.0</v>
      </c>
      <c r="T33" s="19">
        <v>11400.0</v>
      </c>
      <c r="U33" s="19">
        <v>11400.0</v>
      </c>
      <c r="V33" s="27">
        <v>43377.0</v>
      </c>
      <c r="W33" s="21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ht="60.0" customHeight="1">
      <c r="A34" s="14" t="str">
        <f>if(H34&lt;&gt;"",VLOOKUP(H34,ID!$A$2:$C$999,3,FALSE),"") </f>
        <v>BT0031</v>
      </c>
      <c r="B34" s="15" t="s">
        <v>0</v>
      </c>
      <c r="C34" s="16" t="s">
        <v>1</v>
      </c>
      <c r="D34" s="17" t="s">
        <v>33</v>
      </c>
      <c r="E34" s="18" t="s">
        <v>161</v>
      </c>
      <c r="F34" s="34">
        <v>4999.2</v>
      </c>
      <c r="G34" s="20" t="s">
        <v>162</v>
      </c>
      <c r="H34" s="21" t="s">
        <v>163</v>
      </c>
      <c r="I34" s="22" t="s">
        <v>164</v>
      </c>
      <c r="J34" s="21" t="s">
        <v>165</v>
      </c>
      <c r="K34" s="21" t="s">
        <v>8</v>
      </c>
      <c r="L34" s="21" t="s">
        <v>9</v>
      </c>
      <c r="M34" s="22" t="s">
        <v>10</v>
      </c>
      <c r="N34" s="23"/>
      <c r="O34" s="24">
        <v>43699.0</v>
      </c>
      <c r="P34" s="24">
        <v>43699.0</v>
      </c>
      <c r="Q34" s="25">
        <v>36.0</v>
      </c>
      <c r="R34" s="26">
        <f>IFERROR(__xludf.DUMMYFUNCTION("IF (OR( Q34 = """" , P34 =""""), """" , IF(Q34 = ""Menos de 1 mês"" , ""antes de ""&amp; TO_TEXT( EDATE(P34, 1)), EDATE(P34,Q34)))"),44795.0)</f>
        <v>44795</v>
      </c>
      <c r="S34" s="21">
        <v>2.0</v>
      </c>
      <c r="T34" s="19">
        <v>936000.0</v>
      </c>
      <c r="U34" s="19">
        <v>936000.0</v>
      </c>
      <c r="V34" s="27">
        <v>43699.0</v>
      </c>
      <c r="W34" s="21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ht="60.0" customHeight="1">
      <c r="A35" s="14" t="str">
        <f>if(H35&lt;&gt;"",VLOOKUP(H35,ID!$A$2:$C$999,3,FALSE),"") </f>
        <v>BT0032</v>
      </c>
      <c r="B35" s="15" t="s">
        <v>0</v>
      </c>
      <c r="C35" s="16" t="s">
        <v>1</v>
      </c>
      <c r="D35" s="17" t="s">
        <v>33</v>
      </c>
      <c r="E35" s="18" t="s">
        <v>166</v>
      </c>
      <c r="F35" s="34">
        <v>1122.05</v>
      </c>
      <c r="G35" s="20" t="s">
        <v>167</v>
      </c>
      <c r="H35" s="21" t="s">
        <v>168</v>
      </c>
      <c r="I35" s="22" t="s">
        <v>164</v>
      </c>
      <c r="J35" s="21" t="s">
        <v>169</v>
      </c>
      <c r="K35" s="21" t="s">
        <v>8</v>
      </c>
      <c r="L35" s="21" t="s">
        <v>9</v>
      </c>
      <c r="M35" s="22" t="s">
        <v>10</v>
      </c>
      <c r="N35" s="23"/>
      <c r="O35" s="24">
        <v>42685.0</v>
      </c>
      <c r="P35" s="24">
        <v>42685.0</v>
      </c>
      <c r="Q35" s="25">
        <v>36.0</v>
      </c>
      <c r="R35" s="26">
        <f>IFERROR(__xludf.DUMMYFUNCTION("IF (OR( Q35 = """" , P35 =""""), """" , IF(Q35 = ""Menos de 1 mês"" , ""antes de ""&amp; TO_TEXT( EDATE(P35, 1)), EDATE(P35,Q35)))"),43780.0)</f>
        <v>43780</v>
      </c>
      <c r="S35" s="21">
        <v>2.0</v>
      </c>
      <c r="T35" s="19">
        <v>13800.0</v>
      </c>
      <c r="U35" s="19">
        <v>13800.0</v>
      </c>
      <c r="V35" s="27">
        <v>43377.0</v>
      </c>
      <c r="W35" s="2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ht="60.0" customHeight="1">
      <c r="A36" s="14" t="str">
        <f>if(H36&lt;&gt;"",VLOOKUP(H36,ID!$A$2:$C$999,3,FALSE),"") </f>
        <v>BT0033</v>
      </c>
      <c r="B36" s="15" t="s">
        <v>0</v>
      </c>
      <c r="C36" s="16" t="s">
        <v>1</v>
      </c>
      <c r="D36" s="17" t="s">
        <v>46</v>
      </c>
      <c r="E36" s="18" t="s">
        <v>170</v>
      </c>
      <c r="F36" s="19">
        <v>4955.0</v>
      </c>
      <c r="G36" s="20" t="s">
        <v>171</v>
      </c>
      <c r="H36" s="21" t="s">
        <v>172</v>
      </c>
      <c r="I36" s="22" t="s">
        <v>173</v>
      </c>
      <c r="J36" s="21" t="s">
        <v>174</v>
      </c>
      <c r="K36" s="21" t="s">
        <v>8</v>
      </c>
      <c r="L36" s="21" t="s">
        <v>96</v>
      </c>
      <c r="M36" s="22" t="s">
        <v>10</v>
      </c>
      <c r="N36" s="23"/>
      <c r="O36" s="24">
        <v>43699.0</v>
      </c>
      <c r="P36" s="24">
        <v>43699.0</v>
      </c>
      <c r="Q36" s="25">
        <v>36.0</v>
      </c>
      <c r="R36" s="26">
        <f>IFERROR(__xludf.DUMMYFUNCTION("IF (OR( Q36 = """" , P36 =""""), """" , IF(Q36 = ""Menos de 1 mês"" , ""antes de ""&amp; TO_TEXT( EDATE(P36, 1)), EDATE(P36,Q36)))"),44795.0)</f>
        <v>44795</v>
      </c>
      <c r="S36" s="21">
        <v>2.0</v>
      </c>
      <c r="T36" s="19">
        <v>158400.0</v>
      </c>
      <c r="U36" s="19">
        <v>12950.0</v>
      </c>
      <c r="V36" s="27">
        <v>43699.0</v>
      </c>
      <c r="W36" s="2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ht="60.0" customHeight="1">
      <c r="A37" s="14" t="str">
        <f>if(H37&lt;&gt;"",VLOOKUP(H37,ID!$A$2:$C$999,3,FALSE),"") </f>
        <v>BT0034</v>
      </c>
      <c r="B37" s="15" t="s">
        <v>0</v>
      </c>
      <c r="C37" s="16" t="s">
        <v>1</v>
      </c>
      <c r="D37" s="17" t="s">
        <v>2</v>
      </c>
      <c r="E37" s="18" t="s">
        <v>175</v>
      </c>
      <c r="F37" s="19">
        <v>4955.0</v>
      </c>
      <c r="G37" s="20" t="s">
        <v>176</v>
      </c>
      <c r="H37" s="21" t="s">
        <v>177</v>
      </c>
      <c r="I37" s="22" t="s">
        <v>173</v>
      </c>
      <c r="J37" s="21" t="s">
        <v>174</v>
      </c>
      <c r="K37" s="21" t="s">
        <v>8</v>
      </c>
      <c r="L37" s="21" t="s">
        <v>30</v>
      </c>
      <c r="M37" s="22" t="s">
        <v>62</v>
      </c>
      <c r="N37" s="23"/>
      <c r="O37" s="24">
        <v>43699.0</v>
      </c>
      <c r="P37" s="24">
        <v>43699.0</v>
      </c>
      <c r="Q37" s="25">
        <v>36.0</v>
      </c>
      <c r="R37" s="26">
        <f>IFERROR(__xludf.DUMMYFUNCTION("IF (OR( Q37 = """" , P37 =""""), """" , IF(Q37 = ""Menos de 1 mês"" , ""antes de ""&amp; TO_TEXT( EDATE(P37, 1)), EDATE(P37,Q37)))"),44795.0)</f>
        <v>44795</v>
      </c>
      <c r="S37" s="21">
        <v>2.0</v>
      </c>
      <c r="T37" s="19">
        <v>79200.0</v>
      </c>
      <c r="U37" s="19">
        <v>79200.0</v>
      </c>
      <c r="V37" s="27">
        <v>43699.0</v>
      </c>
      <c r="W37" s="2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ht="60.0" customHeight="1">
      <c r="A38" s="14" t="str">
        <f>if(H38&lt;&gt;"",VLOOKUP(H38,ID!$A$2:$C$999,3,FALSE),"") </f>
        <v>BT0035</v>
      </c>
      <c r="B38" s="15" t="s">
        <v>0</v>
      </c>
      <c r="C38" s="16" t="s">
        <v>1</v>
      </c>
      <c r="D38" s="17" t="s">
        <v>178</v>
      </c>
      <c r="E38" s="18" t="s">
        <v>179</v>
      </c>
      <c r="F38" s="19">
        <v>2210.0</v>
      </c>
      <c r="G38" s="20" t="s">
        <v>180</v>
      </c>
      <c r="H38" s="21" t="s">
        <v>181</v>
      </c>
      <c r="I38" s="22" t="s">
        <v>182</v>
      </c>
      <c r="J38" s="21" t="s">
        <v>183</v>
      </c>
      <c r="K38" s="21" t="s">
        <v>8</v>
      </c>
      <c r="L38" s="21" t="s">
        <v>30</v>
      </c>
      <c r="M38" s="22" t="s">
        <v>62</v>
      </c>
      <c r="N38" s="23"/>
      <c r="O38" s="24">
        <v>42820.0</v>
      </c>
      <c r="P38" s="24">
        <v>42820.0</v>
      </c>
      <c r="Q38" s="25">
        <v>36.0</v>
      </c>
      <c r="R38" s="26">
        <f>IFERROR(__xludf.DUMMYFUNCTION("IF (OR( Q38 = """" , P38 =""""), """" , IF(Q38 = ""Menos de 1 mês"" , ""antes de ""&amp; TO_TEXT( EDATE(P38, 1)), EDATE(P38,Q38)))"),43916.0)</f>
        <v>43916</v>
      </c>
      <c r="S38" s="21">
        <v>1.0</v>
      </c>
      <c r="T38" s="19">
        <v>22373.0</v>
      </c>
      <c r="U38" s="19">
        <v>22373.0</v>
      </c>
      <c r="V38" s="27">
        <v>43377.0</v>
      </c>
      <c r="W38" s="21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ht="60.0" customHeight="1">
      <c r="A39" s="14" t="str">
        <f>if(H39&lt;&gt;"",VLOOKUP(H39,ID!$A$2:$C$999,3,FALSE),"") </f>
        <v>BT0036</v>
      </c>
      <c r="B39" s="15" t="s">
        <v>0</v>
      </c>
      <c r="C39" s="16" t="s">
        <v>1</v>
      </c>
      <c r="D39" s="17" t="s">
        <v>33</v>
      </c>
      <c r="E39" s="18" t="s">
        <v>184</v>
      </c>
      <c r="F39" s="19">
        <v>450.0</v>
      </c>
      <c r="G39" s="20" t="s">
        <v>185</v>
      </c>
      <c r="H39" s="21" t="s">
        <v>186</v>
      </c>
      <c r="I39" s="22" t="s">
        <v>187</v>
      </c>
      <c r="J39" s="21" t="s">
        <v>29</v>
      </c>
      <c r="K39" s="21" t="s">
        <v>8</v>
      </c>
      <c r="L39" s="21" t="s">
        <v>9</v>
      </c>
      <c r="M39" s="22" t="s">
        <v>188</v>
      </c>
      <c r="N39" s="23"/>
      <c r="O39" s="32">
        <v>44230.0</v>
      </c>
      <c r="P39" s="32">
        <v>44230.0</v>
      </c>
      <c r="Q39" s="25">
        <v>36.0</v>
      </c>
      <c r="R39" s="26">
        <f>IFERROR(__xludf.DUMMYFUNCTION("IF (OR( Q39 = """" , P39 =""""), """" , IF(Q39 = ""Menos de 1 mês"" , ""antes de ""&amp; TO_TEXT( EDATE(P39, 1)), EDATE(P39,Q39)))"),45325.0)</f>
        <v>45325</v>
      </c>
      <c r="S39" s="21">
        <v>1.0</v>
      </c>
      <c r="T39" s="19">
        <v>42000.0</v>
      </c>
      <c r="U39" s="19">
        <v>126000.0</v>
      </c>
      <c r="V39" s="27">
        <v>44230.0</v>
      </c>
      <c r="W39" s="2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ht="60.0" customHeight="1">
      <c r="A40" s="14" t="str">
        <f>if(H40&lt;&gt;"",VLOOKUP(H40,ID!$A$2:$C$999,3,FALSE),"") </f>
        <v>BT0037</v>
      </c>
      <c r="B40" s="15" t="s">
        <v>0</v>
      </c>
      <c r="C40" s="16" t="s">
        <v>1</v>
      </c>
      <c r="D40" s="17" t="s">
        <v>33</v>
      </c>
      <c r="E40" s="18" t="s">
        <v>189</v>
      </c>
      <c r="F40" s="21">
        <v>545.0</v>
      </c>
      <c r="G40" s="20" t="s">
        <v>190</v>
      </c>
      <c r="H40" s="21" t="s">
        <v>191</v>
      </c>
      <c r="I40" s="22" t="s">
        <v>192</v>
      </c>
      <c r="J40" s="21" t="s">
        <v>165</v>
      </c>
      <c r="K40" s="21" t="s">
        <v>8</v>
      </c>
      <c r="L40" s="21" t="s">
        <v>96</v>
      </c>
      <c r="M40" s="22" t="s">
        <v>10</v>
      </c>
      <c r="N40" s="23"/>
      <c r="O40" s="24">
        <v>42867.0</v>
      </c>
      <c r="P40" s="24">
        <v>42867.0</v>
      </c>
      <c r="Q40" s="25">
        <v>36.0</v>
      </c>
      <c r="R40" s="26">
        <f>IFERROR(__xludf.DUMMYFUNCTION("IF (OR( Q40 = """" , P40 =""""), """" , IF(Q40 = ""Menos de 1 mês"" , ""antes de ""&amp; TO_TEXT( EDATE(P40, 1)), EDATE(P40,Q40)))"),43963.0)</f>
        <v>43963</v>
      </c>
      <c r="S40" s="21">
        <v>2.0</v>
      </c>
      <c r="T40" s="19">
        <v>614000.0</v>
      </c>
      <c r="U40" s="19">
        <v>614000.0</v>
      </c>
      <c r="V40" s="27">
        <v>43377.0</v>
      </c>
      <c r="W40" s="21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ht="60.0" customHeight="1">
      <c r="A41" s="14" t="str">
        <f>if(H41&lt;&gt;"",VLOOKUP(H41,ID!$A$2:$C$999,3,FALSE),"") </f>
        <v>BT0038</v>
      </c>
      <c r="B41" s="15" t="s">
        <v>0</v>
      </c>
      <c r="C41" s="16" t="s">
        <v>1</v>
      </c>
      <c r="D41" s="17" t="s">
        <v>63</v>
      </c>
      <c r="E41" s="18" t="s">
        <v>193</v>
      </c>
      <c r="F41" s="21">
        <v>110.0</v>
      </c>
      <c r="G41" s="20" t="s">
        <v>194</v>
      </c>
      <c r="H41" s="21" t="s">
        <v>195</v>
      </c>
      <c r="I41" s="22" t="s">
        <v>196</v>
      </c>
      <c r="J41" s="21" t="s">
        <v>197</v>
      </c>
      <c r="K41" s="21" t="s">
        <v>8</v>
      </c>
      <c r="L41" s="21" t="s">
        <v>30</v>
      </c>
      <c r="M41" s="22" t="s">
        <v>62</v>
      </c>
      <c r="N41" s="23"/>
      <c r="O41" s="24">
        <v>42875.0</v>
      </c>
      <c r="P41" s="24">
        <v>42875.0</v>
      </c>
      <c r="Q41" s="25">
        <v>36.0</v>
      </c>
      <c r="R41" s="26">
        <f>IFERROR(__xludf.DUMMYFUNCTION("IF (OR( Q41 = """" , P41 =""""), """" , IF(Q41 = ""Menos de 1 mês"" , ""antes de ""&amp; TO_TEXT( EDATE(P41, 1)), EDATE(P41,Q41)))"),43971.0)</f>
        <v>43971</v>
      </c>
      <c r="S41" s="21">
        <v>1.0</v>
      </c>
      <c r="T41" s="19">
        <v>18800.0</v>
      </c>
      <c r="U41" s="19">
        <v>18800.0</v>
      </c>
      <c r="V41" s="27">
        <v>43377.0</v>
      </c>
      <c r="W41" s="21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ht="60.0" customHeight="1">
      <c r="A42" s="14" t="str">
        <f>if(H42&lt;&gt;"",VLOOKUP(H42,ID!$A$2:$C$999,3,FALSE),"") </f>
        <v>BT0039</v>
      </c>
      <c r="B42" s="15" t="s">
        <v>0</v>
      </c>
      <c r="C42" s="16" t="s">
        <v>1</v>
      </c>
      <c r="D42" s="17" t="s">
        <v>33</v>
      </c>
      <c r="E42" s="18" t="s">
        <v>198</v>
      </c>
      <c r="F42" s="21">
        <v>831.89</v>
      </c>
      <c r="G42" s="20" t="s">
        <v>199</v>
      </c>
      <c r="H42" s="21" t="s">
        <v>200</v>
      </c>
      <c r="I42" s="22" t="s">
        <v>201</v>
      </c>
      <c r="J42" s="21" t="s">
        <v>202</v>
      </c>
      <c r="K42" s="21" t="s">
        <v>8</v>
      </c>
      <c r="L42" s="21" t="s">
        <v>30</v>
      </c>
      <c r="M42" s="22" t="s">
        <v>62</v>
      </c>
      <c r="N42" s="23"/>
      <c r="O42" s="24">
        <v>42754.0</v>
      </c>
      <c r="P42" s="24">
        <v>42754.0</v>
      </c>
      <c r="Q42" s="25">
        <v>36.0</v>
      </c>
      <c r="R42" s="26">
        <f>IFERROR(__xludf.DUMMYFUNCTION("IF (OR( Q42 = """" , P42 =""""), """" , IF(Q42 = ""Menos de 1 mês"" , ""antes de ""&amp; TO_TEXT( EDATE(P42, 1)), EDATE(P42,Q42)))"),43849.0)</f>
        <v>43849</v>
      </c>
      <c r="S42" s="21">
        <v>3.0</v>
      </c>
      <c r="T42" s="19">
        <v>21000.0</v>
      </c>
      <c r="U42" s="19">
        <v>21000.0</v>
      </c>
      <c r="V42" s="27">
        <v>43377.0</v>
      </c>
      <c r="W42" s="2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ht="60.0" customHeight="1">
      <c r="A43" s="14" t="str">
        <f>if(H43&lt;&gt;"",VLOOKUP(H43,ID!$A$2:$C$999,3,FALSE),"") </f>
        <v>BT0040</v>
      </c>
      <c r="B43" s="15" t="s">
        <v>0</v>
      </c>
      <c r="C43" s="16" t="s">
        <v>1</v>
      </c>
      <c r="D43" s="17" t="s">
        <v>33</v>
      </c>
      <c r="E43" s="18" t="s">
        <v>203</v>
      </c>
      <c r="F43" s="21">
        <v>111.92</v>
      </c>
      <c r="G43" s="20" t="s">
        <v>204</v>
      </c>
      <c r="H43" s="21" t="s">
        <v>205</v>
      </c>
      <c r="I43" s="22" t="s">
        <v>206</v>
      </c>
      <c r="J43" s="21" t="s">
        <v>207</v>
      </c>
      <c r="K43" s="21" t="s">
        <v>8</v>
      </c>
      <c r="L43" s="21" t="s">
        <v>9</v>
      </c>
      <c r="M43" s="22" t="s">
        <v>10</v>
      </c>
      <c r="N43" s="23"/>
      <c r="O43" s="29" t="s">
        <v>208</v>
      </c>
      <c r="P43" s="29" t="s">
        <v>208</v>
      </c>
      <c r="Q43" s="25">
        <v>36.0</v>
      </c>
      <c r="R43" s="26" t="str">
        <f>IFERROR(__xludf.DUMMYFUNCTION("IF (OR( Q43 = """" , P43 =""""), """" , IF(Q43 = ""Menos de 1 mês"" , ""antes de ""&amp; TO_TEXT( EDATE(P43, 1)), EDATE(P43,Q43)))"),"#VALUE!")</f>
        <v>#VALUE!</v>
      </c>
      <c r="S43" s="21">
        <v>8.0</v>
      </c>
      <c r="T43" s="19">
        <v>9600.0</v>
      </c>
      <c r="U43" s="19">
        <v>9600.0</v>
      </c>
      <c r="V43" s="27">
        <v>44198.0</v>
      </c>
      <c r="W43" s="21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ht="60.0" customHeight="1">
      <c r="A44" s="14" t="str">
        <f>if(H44&lt;&gt;"",VLOOKUP(H44,ID!$A$2:$C$999,3,FALSE),"") </f>
        <v>BT0041</v>
      </c>
      <c r="B44" s="15" t="s">
        <v>0</v>
      </c>
      <c r="C44" s="16" t="s">
        <v>1</v>
      </c>
      <c r="D44" s="17" t="s">
        <v>63</v>
      </c>
      <c r="E44" s="18" t="s">
        <v>209</v>
      </c>
      <c r="F44" s="21">
        <v>208.81</v>
      </c>
      <c r="G44" s="20" t="s">
        <v>210</v>
      </c>
      <c r="H44" s="21" t="s">
        <v>211</v>
      </c>
      <c r="I44" s="22" t="s">
        <v>212</v>
      </c>
      <c r="J44" s="21" t="s">
        <v>213</v>
      </c>
      <c r="K44" s="21" t="s">
        <v>8</v>
      </c>
      <c r="L44" s="21" t="s">
        <v>96</v>
      </c>
      <c r="M44" s="22" t="s">
        <v>10</v>
      </c>
      <c r="N44" s="23"/>
      <c r="O44" s="24">
        <v>42013.0</v>
      </c>
      <c r="P44" s="24">
        <v>42013.0</v>
      </c>
      <c r="Q44" s="25">
        <v>36.0</v>
      </c>
      <c r="R44" s="26">
        <f>IFERROR(__xludf.DUMMYFUNCTION("IF (OR( Q44 = """" , P44 =""""), """" , IF(Q44 = ""Menos de 1 mês"" , ""antes de ""&amp; TO_TEXT( EDATE(P44, 1)), EDATE(P44,Q44)))"),43109.0)</f>
        <v>43109</v>
      </c>
      <c r="S44" s="21">
        <v>1.0</v>
      </c>
      <c r="T44" s="19">
        <v>20160.0</v>
      </c>
      <c r="U44" s="19">
        <v>20160.0</v>
      </c>
      <c r="V44" s="27">
        <v>43377.0</v>
      </c>
      <c r="W44" s="21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ht="60.0" customHeight="1">
      <c r="A45" s="14" t="str">
        <f>if(H45&lt;&gt;"",VLOOKUP(H45,ID!$A$2:$C$999,3,FALSE),"") </f>
        <v>BT0042</v>
      </c>
      <c r="B45" s="15" t="s">
        <v>0</v>
      </c>
      <c r="C45" s="16" t="s">
        <v>1</v>
      </c>
      <c r="D45" s="17" t="s">
        <v>33</v>
      </c>
      <c r="E45" s="18" t="s">
        <v>214</v>
      </c>
      <c r="F45" s="21">
        <v>715.21</v>
      </c>
      <c r="G45" s="20" t="s">
        <v>215</v>
      </c>
      <c r="H45" s="21" t="s">
        <v>216</v>
      </c>
      <c r="I45" s="22" t="s">
        <v>217</v>
      </c>
      <c r="J45" s="21" t="s">
        <v>218</v>
      </c>
      <c r="K45" s="21" t="s">
        <v>8</v>
      </c>
      <c r="L45" s="21" t="s">
        <v>96</v>
      </c>
      <c r="M45" s="22" t="s">
        <v>10</v>
      </c>
      <c r="N45" s="23"/>
      <c r="O45" s="24">
        <v>42754.0</v>
      </c>
      <c r="P45" s="24">
        <v>42754.0</v>
      </c>
      <c r="Q45" s="25">
        <v>36.0</v>
      </c>
      <c r="R45" s="26">
        <f>IFERROR(__xludf.DUMMYFUNCTION("IF (OR( Q45 = """" , P45 =""""), """" , IF(Q45 = ""Menos de 1 mês"" , ""antes de ""&amp; TO_TEXT( EDATE(P45, 1)), EDATE(P45,Q45)))"),43849.0)</f>
        <v>43849</v>
      </c>
      <c r="S45" s="21">
        <v>2.0</v>
      </c>
      <c r="T45" s="19">
        <v>116000.0</v>
      </c>
      <c r="U45" s="19">
        <v>116000.0</v>
      </c>
      <c r="V45" s="27">
        <v>43377.0</v>
      </c>
      <c r="W45" s="21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ht="60.0" customHeight="1">
      <c r="A46" s="14" t="str">
        <f>if(H46&lt;&gt;"",VLOOKUP(H46,ID!$A$2:$C$999,3,FALSE),"") </f>
        <v>BT0043</v>
      </c>
      <c r="B46" s="15" t="s">
        <v>0</v>
      </c>
      <c r="C46" s="16" t="s">
        <v>1</v>
      </c>
      <c r="D46" s="17" t="s">
        <v>46</v>
      </c>
      <c r="E46" s="18" t="s">
        <v>219</v>
      </c>
      <c r="F46" s="21">
        <v>323.64</v>
      </c>
      <c r="G46" s="20" t="s">
        <v>220</v>
      </c>
      <c r="H46" s="21" t="s">
        <v>221</v>
      </c>
      <c r="I46" s="22" t="s">
        <v>222</v>
      </c>
      <c r="J46" s="21" t="s">
        <v>223</v>
      </c>
      <c r="K46" s="21" t="s">
        <v>8</v>
      </c>
      <c r="L46" s="21" t="s">
        <v>30</v>
      </c>
      <c r="M46" s="22" t="s">
        <v>224</v>
      </c>
      <c r="N46" s="23"/>
      <c r="O46" s="24">
        <v>42843.0</v>
      </c>
      <c r="P46" s="24">
        <v>42843.0</v>
      </c>
      <c r="Q46" s="25">
        <v>36.0</v>
      </c>
      <c r="R46" s="26">
        <f>IFERROR(__xludf.DUMMYFUNCTION("IF (OR( Q46 = """" , P46 =""""), """" , IF(Q46 = ""Menos de 1 mês"" , ""antes de ""&amp; TO_TEXT( EDATE(P46, 1)), EDATE(P46,Q46)))"),43939.0)</f>
        <v>43939</v>
      </c>
      <c r="S46" s="21">
        <v>1.0</v>
      </c>
      <c r="T46" s="19">
        <v>3960.0</v>
      </c>
      <c r="U46" s="19">
        <v>3960.0</v>
      </c>
      <c r="V46" s="27">
        <v>43377.0</v>
      </c>
      <c r="W46" s="21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ht="60.0" customHeight="1">
      <c r="A47" s="14" t="str">
        <f>if(H47&lt;&gt;"",VLOOKUP(H47,ID!$A$2:$C$999,3,FALSE),"") </f>
        <v>BT0044</v>
      </c>
      <c r="B47" s="15" t="s">
        <v>0</v>
      </c>
      <c r="C47" s="16" t="s">
        <v>1</v>
      </c>
      <c r="D47" s="17" t="s">
        <v>2</v>
      </c>
      <c r="E47" s="18" t="s">
        <v>225</v>
      </c>
      <c r="F47" s="19">
        <v>230.0</v>
      </c>
      <c r="G47" s="20" t="s">
        <v>226</v>
      </c>
      <c r="H47" s="21" t="s">
        <v>227</v>
      </c>
      <c r="I47" s="22" t="s">
        <v>228</v>
      </c>
      <c r="J47" s="21" t="s">
        <v>229</v>
      </c>
      <c r="K47" s="21" t="s">
        <v>8</v>
      </c>
      <c r="L47" s="21" t="s">
        <v>9</v>
      </c>
      <c r="M47" s="22" t="s">
        <v>10</v>
      </c>
      <c r="N47" s="23"/>
      <c r="O47" s="29" t="s">
        <v>208</v>
      </c>
      <c r="P47" s="29" t="s">
        <v>230</v>
      </c>
      <c r="Q47" s="25">
        <v>36.0</v>
      </c>
      <c r="R47" s="26" t="str">
        <f>IFERROR(__xludf.DUMMYFUNCTION("IF (OR( Q47 = """" , P47 =""""), """" , IF(Q47 = ""Menos de 1 mês"" , ""antes de ""&amp; TO_TEXT( EDATE(P47, 1)), EDATE(P47,Q47)))"),"#VALUE!")</f>
        <v>#VALUE!</v>
      </c>
      <c r="S47" s="21">
        <v>1.0</v>
      </c>
      <c r="T47" s="19">
        <v>11100.0</v>
      </c>
      <c r="U47" s="19">
        <v>11100.0</v>
      </c>
      <c r="V47" s="31" t="s">
        <v>231</v>
      </c>
      <c r="W47" s="21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ht="60.0" customHeight="1">
      <c r="A48" s="14" t="str">
        <f>if(H48&lt;&gt;"",VLOOKUP(H48,ID!$A$2:$C$999,3,FALSE),"") </f>
        <v>BT0045</v>
      </c>
      <c r="B48" s="15" t="s">
        <v>0</v>
      </c>
      <c r="C48" s="16" t="s">
        <v>1</v>
      </c>
      <c r="D48" s="17" t="s">
        <v>155</v>
      </c>
      <c r="E48" s="18" t="s">
        <v>232</v>
      </c>
      <c r="F48" s="19">
        <v>2800.0</v>
      </c>
      <c r="G48" s="20" t="s">
        <v>233</v>
      </c>
      <c r="H48" s="21" t="s">
        <v>234</v>
      </c>
      <c r="I48" s="22" t="s">
        <v>235</v>
      </c>
      <c r="J48" s="21" t="s">
        <v>236</v>
      </c>
      <c r="K48" s="21" t="s">
        <v>8</v>
      </c>
      <c r="L48" s="21" t="s">
        <v>9</v>
      </c>
      <c r="M48" s="22" t="s">
        <v>10</v>
      </c>
      <c r="N48" s="23"/>
      <c r="O48" s="24">
        <v>42873.0</v>
      </c>
      <c r="P48" s="24">
        <v>42873.0</v>
      </c>
      <c r="Q48" s="25">
        <v>36.0</v>
      </c>
      <c r="R48" s="26">
        <f>IFERROR(__xludf.DUMMYFUNCTION("IF (OR( Q48 = """" , P48 =""""), """" , IF(Q48 = ""Menos de 1 mês"" , ""antes de ""&amp; TO_TEXT( EDATE(P48, 1)), EDATE(P48,Q48)))"),43969.0)</f>
        <v>43969</v>
      </c>
      <c r="S48" s="21">
        <v>1.0</v>
      </c>
      <c r="T48" s="19">
        <v>21600.0</v>
      </c>
      <c r="U48" s="19">
        <v>21600.0</v>
      </c>
      <c r="V48" s="27">
        <v>43377.0</v>
      </c>
      <c r="W48" s="21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ht="60.0" customHeight="1">
      <c r="A49" s="14" t="str">
        <f>if(H49&lt;&gt;"",VLOOKUP(H49,ID!$A$2:$C$999,3,FALSE),"") </f>
        <v>BT0046</v>
      </c>
      <c r="B49" s="15" t="s">
        <v>0</v>
      </c>
      <c r="C49" s="16" t="s">
        <v>1</v>
      </c>
      <c r="D49" s="17" t="s">
        <v>33</v>
      </c>
      <c r="E49" s="18" t="s">
        <v>237</v>
      </c>
      <c r="F49" s="21">
        <v>130.0</v>
      </c>
      <c r="G49" s="20" t="s">
        <v>238</v>
      </c>
      <c r="H49" s="21" t="s">
        <v>239</v>
      </c>
      <c r="I49" s="22" t="s">
        <v>240</v>
      </c>
      <c r="J49" s="21" t="s">
        <v>241</v>
      </c>
      <c r="K49" s="21" t="s">
        <v>8</v>
      </c>
      <c r="L49" s="21" t="s">
        <v>9</v>
      </c>
      <c r="M49" s="22" t="s">
        <v>10</v>
      </c>
      <c r="N49" s="23"/>
      <c r="O49" s="29" t="s">
        <v>208</v>
      </c>
      <c r="P49" s="29" t="s">
        <v>230</v>
      </c>
      <c r="Q49" s="25">
        <v>36.0</v>
      </c>
      <c r="R49" s="26" t="str">
        <f>IFERROR(__xludf.DUMMYFUNCTION("IF (OR( Q49 = """" , P49 =""""), """" , IF(Q49 = ""Menos de 1 mês"" , ""antes de ""&amp; TO_TEXT( EDATE(P49, 1)), EDATE(P49,Q49)))"),"#VALUE!")</f>
        <v>#VALUE!</v>
      </c>
      <c r="S49" s="21">
        <v>1.0</v>
      </c>
      <c r="T49" s="19">
        <v>21600.0</v>
      </c>
      <c r="U49" s="19">
        <v>21600.0</v>
      </c>
      <c r="V49" s="31" t="s">
        <v>231</v>
      </c>
      <c r="W49" s="21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ht="60.0" customHeight="1">
      <c r="A50" s="14" t="str">
        <f>if(H50&lt;&gt;"",VLOOKUP(H50,ID!$A$2:$C$999,3,FALSE),"") </f>
        <v>BT0047</v>
      </c>
      <c r="B50" s="15" t="s">
        <v>0</v>
      </c>
      <c r="C50" s="16" t="s">
        <v>1</v>
      </c>
      <c r="D50" s="17" t="s">
        <v>33</v>
      </c>
      <c r="E50" s="18" t="s">
        <v>242</v>
      </c>
      <c r="F50" s="21">
        <v>25.0</v>
      </c>
      <c r="G50" s="20" t="s">
        <v>243</v>
      </c>
      <c r="H50" s="21" t="s">
        <v>244</v>
      </c>
      <c r="I50" s="22" t="s">
        <v>240</v>
      </c>
      <c r="J50" s="21" t="s">
        <v>245</v>
      </c>
      <c r="K50" s="21" t="s">
        <v>8</v>
      </c>
      <c r="L50" s="21" t="s">
        <v>30</v>
      </c>
      <c r="M50" s="22" t="s">
        <v>126</v>
      </c>
      <c r="N50" s="23"/>
      <c r="O50" s="29" t="s">
        <v>208</v>
      </c>
      <c r="P50" s="29" t="s">
        <v>208</v>
      </c>
      <c r="Q50" s="25">
        <v>36.0</v>
      </c>
      <c r="R50" s="30" t="s">
        <v>208</v>
      </c>
      <c r="S50" s="21">
        <v>2.0</v>
      </c>
      <c r="T50" s="19">
        <v>25200.0</v>
      </c>
      <c r="U50" s="19">
        <v>25200.0</v>
      </c>
      <c r="V50" s="33">
        <v>44230.0</v>
      </c>
      <c r="W50" s="21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ht="60.0" customHeight="1">
      <c r="A51" s="14" t="str">
        <f>if(H51&lt;&gt;"",VLOOKUP(H51,ID!$A$2:$C$999,3,FALSE),"") </f>
        <v>BT0048</v>
      </c>
      <c r="B51" s="15" t="s">
        <v>0</v>
      </c>
      <c r="C51" s="16" t="s">
        <v>1</v>
      </c>
      <c r="D51" s="17" t="s">
        <v>63</v>
      </c>
      <c r="E51" s="18" t="s">
        <v>246</v>
      </c>
      <c r="F51" s="21">
        <v>569.0</v>
      </c>
      <c r="G51" s="20" t="s">
        <v>247</v>
      </c>
      <c r="H51" s="21" t="s">
        <v>248</v>
      </c>
      <c r="I51" s="22" t="s">
        <v>249</v>
      </c>
      <c r="J51" s="21" t="s">
        <v>250</v>
      </c>
      <c r="K51" s="21" t="s">
        <v>8</v>
      </c>
      <c r="L51" s="21" t="s">
        <v>96</v>
      </c>
      <c r="M51" s="22" t="s">
        <v>10</v>
      </c>
      <c r="N51" s="23"/>
      <c r="O51" s="29" t="s">
        <v>251</v>
      </c>
      <c r="P51" s="29" t="s">
        <v>251</v>
      </c>
      <c r="Q51" s="25">
        <v>36.0</v>
      </c>
      <c r="R51" s="30" t="s">
        <v>251</v>
      </c>
      <c r="S51" s="21">
        <v>1.0</v>
      </c>
      <c r="T51" s="19">
        <v>18500.0</v>
      </c>
      <c r="U51" s="19">
        <v>18500.0</v>
      </c>
      <c r="V51" s="31" t="s">
        <v>32</v>
      </c>
      <c r="W51" s="21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</row>
    <row r="52" ht="60.0" customHeight="1">
      <c r="A52" s="14" t="str">
        <f>if(H52&lt;&gt;"",VLOOKUP(H52,ID!$A$2:$C$999,3,FALSE),"") </f>
        <v>BT0049</v>
      </c>
      <c r="B52" s="15" t="s">
        <v>0</v>
      </c>
      <c r="C52" s="16" t="s">
        <v>1</v>
      </c>
      <c r="D52" s="17" t="s">
        <v>63</v>
      </c>
      <c r="E52" s="18" t="s">
        <v>252</v>
      </c>
      <c r="F52" s="21">
        <v>30.0</v>
      </c>
      <c r="G52" s="20" t="s">
        <v>253</v>
      </c>
      <c r="H52" s="21" t="s">
        <v>254</v>
      </c>
      <c r="I52" s="22" t="s">
        <v>255</v>
      </c>
      <c r="J52" s="21" t="s">
        <v>250</v>
      </c>
      <c r="K52" s="21" t="s">
        <v>8</v>
      </c>
      <c r="L52" s="21" t="s">
        <v>30</v>
      </c>
      <c r="M52" s="22" t="s">
        <v>62</v>
      </c>
      <c r="N52" s="23"/>
      <c r="O52" s="29" t="s">
        <v>251</v>
      </c>
      <c r="P52" s="29" t="s">
        <v>251</v>
      </c>
      <c r="Q52" s="25">
        <v>36.0</v>
      </c>
      <c r="R52" s="30" t="s">
        <v>251</v>
      </c>
      <c r="S52" s="21">
        <v>1.0</v>
      </c>
      <c r="T52" s="19">
        <v>11100.0</v>
      </c>
      <c r="U52" s="19">
        <v>11100.0</v>
      </c>
      <c r="V52" s="31" t="s">
        <v>32</v>
      </c>
      <c r="W52" s="21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</row>
    <row r="53" ht="60.0" customHeight="1">
      <c r="A53" s="14" t="str">
        <f>if(H53&lt;&gt;"",VLOOKUP(H53,ID!$A$2:$C$999,3,FALSE),"") </f>
        <v>BT0050</v>
      </c>
      <c r="B53" s="15" t="s">
        <v>0</v>
      </c>
      <c r="C53" s="16" t="s">
        <v>1</v>
      </c>
      <c r="D53" s="17" t="s">
        <v>63</v>
      </c>
      <c r="E53" s="18" t="s">
        <v>142</v>
      </c>
      <c r="F53" s="21">
        <v>545.0</v>
      </c>
      <c r="G53" s="20" t="s">
        <v>256</v>
      </c>
      <c r="H53" s="21" t="s">
        <v>257</v>
      </c>
      <c r="I53" s="22" t="s">
        <v>258</v>
      </c>
      <c r="J53" s="21" t="s">
        <v>259</v>
      </c>
      <c r="K53" s="21" t="s">
        <v>8</v>
      </c>
      <c r="L53" s="21" t="s">
        <v>9</v>
      </c>
      <c r="M53" s="22" t="s">
        <v>10</v>
      </c>
      <c r="N53" s="23"/>
      <c r="O53" s="24">
        <v>42964.0</v>
      </c>
      <c r="P53" s="24">
        <v>42964.0</v>
      </c>
      <c r="Q53" s="25">
        <v>36.0</v>
      </c>
      <c r="R53" s="26">
        <f>IFERROR(__xludf.DUMMYFUNCTION("IF (OR( Q53 = """" , P53 =""""), """" , IF(Q53 = ""Menos de 1 mês"" , ""antes de ""&amp; TO_TEXT( EDATE(P53, 1)), EDATE(P53,Q53)))"),44060.0)</f>
        <v>44060</v>
      </c>
      <c r="S53" s="21">
        <v>1.0</v>
      </c>
      <c r="T53" s="19">
        <v>11000.0</v>
      </c>
      <c r="U53" s="19">
        <v>11000.0</v>
      </c>
      <c r="V53" s="27">
        <v>43377.0</v>
      </c>
      <c r="W53" s="21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</row>
    <row r="54" ht="60.0" customHeight="1">
      <c r="A54" s="14" t="str">
        <f>if(H54&lt;&gt;"",VLOOKUP(H54,ID!$A$2:$C$999,3,FALSE),"") </f>
        <v>BT0051</v>
      </c>
      <c r="B54" s="15" t="s">
        <v>0</v>
      </c>
      <c r="C54" s="16" t="s">
        <v>1</v>
      </c>
      <c r="D54" s="17" t="s">
        <v>33</v>
      </c>
      <c r="E54" s="18" t="s">
        <v>260</v>
      </c>
      <c r="F54" s="19">
        <v>1089.0</v>
      </c>
      <c r="G54" s="20" t="s">
        <v>233</v>
      </c>
      <c r="H54" s="21" t="s">
        <v>261</v>
      </c>
      <c r="I54" s="22" t="s">
        <v>262</v>
      </c>
      <c r="J54" s="21" t="s">
        <v>263</v>
      </c>
      <c r="K54" s="21" t="s">
        <v>8</v>
      </c>
      <c r="L54" s="21" t="s">
        <v>30</v>
      </c>
      <c r="M54" s="22" t="s">
        <v>264</v>
      </c>
      <c r="N54" s="23"/>
      <c r="O54" s="24">
        <v>42949.0</v>
      </c>
      <c r="P54" s="24">
        <v>42949.0</v>
      </c>
      <c r="Q54" s="25">
        <v>36.0</v>
      </c>
      <c r="R54" s="26">
        <f>IFERROR(__xludf.DUMMYFUNCTION("IF (OR( Q54 = """" , P54 =""""), """" , IF(Q54 = ""Menos de 1 mês"" , ""antes de ""&amp; TO_TEXT( EDATE(P54, 1)), EDATE(P54,Q54)))"),44045.0)</f>
        <v>44045</v>
      </c>
      <c r="S54" s="21">
        <v>1.0</v>
      </c>
      <c r="T54" s="19">
        <v>10800.0</v>
      </c>
      <c r="U54" s="19">
        <v>10800.0</v>
      </c>
      <c r="V54" s="27">
        <v>43377.0</v>
      </c>
      <c r="W54" s="36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</row>
    <row r="55" ht="60.0" customHeight="1">
      <c r="A55" s="14" t="str">
        <f>if(H55&lt;&gt;"",VLOOKUP(H55,ID!$A$2:$C$999,3,FALSE),"") </f>
        <v>BT0052</v>
      </c>
      <c r="B55" s="15" t="s">
        <v>0</v>
      </c>
      <c r="C55" s="16" t="s">
        <v>1</v>
      </c>
      <c r="D55" s="17" t="s">
        <v>178</v>
      </c>
      <c r="E55" s="18" t="s">
        <v>265</v>
      </c>
      <c r="F55" s="21">
        <v>434.0</v>
      </c>
      <c r="G55" s="20" t="s">
        <v>266</v>
      </c>
      <c r="H55" s="21" t="s">
        <v>267</v>
      </c>
      <c r="I55" s="22" t="s">
        <v>268</v>
      </c>
      <c r="J55" s="21" t="s">
        <v>263</v>
      </c>
      <c r="K55" s="21" t="s">
        <v>8</v>
      </c>
      <c r="L55" s="21" t="s">
        <v>9</v>
      </c>
      <c r="M55" s="22" t="s">
        <v>10</v>
      </c>
      <c r="N55" s="23"/>
      <c r="O55" s="24">
        <v>42906.0</v>
      </c>
      <c r="P55" s="24">
        <v>42906.0</v>
      </c>
      <c r="Q55" s="25">
        <v>36.0</v>
      </c>
      <c r="R55" s="26">
        <f>IFERROR(__xludf.DUMMYFUNCTION("IF (OR( Q55 = """" , P55 =""""), """" , IF(Q55 = ""Menos de 1 mês"" , ""antes de ""&amp; TO_TEXT( EDATE(P55, 1)), EDATE(P55,Q55)))"),44002.0)</f>
        <v>44002</v>
      </c>
      <c r="S55" s="21">
        <v>1.0</v>
      </c>
      <c r="T55" s="19">
        <v>9000.0</v>
      </c>
      <c r="U55" s="19">
        <v>9000.0</v>
      </c>
      <c r="V55" s="27">
        <v>43377.0</v>
      </c>
      <c r="W55" s="2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ht="60.0" customHeight="1">
      <c r="A56" s="14" t="str">
        <f>if(H56&lt;&gt;"",VLOOKUP(H56,ID!$A$2:$C$999,3,FALSE),"") </f>
        <v>BT0053</v>
      </c>
      <c r="B56" s="15" t="s">
        <v>0</v>
      </c>
      <c r="C56" s="16" t="s">
        <v>1</v>
      </c>
      <c r="D56" s="17" t="s">
        <v>33</v>
      </c>
      <c r="E56" s="18" t="s">
        <v>269</v>
      </c>
      <c r="F56" s="19">
        <v>3435.0</v>
      </c>
      <c r="G56" s="20" t="s">
        <v>270</v>
      </c>
      <c r="H56" s="21" t="s">
        <v>271</v>
      </c>
      <c r="I56" s="22" t="s">
        <v>272</v>
      </c>
      <c r="J56" s="21" t="s">
        <v>273</v>
      </c>
      <c r="K56" s="21" t="s">
        <v>8</v>
      </c>
      <c r="L56" s="21" t="s">
        <v>9</v>
      </c>
      <c r="M56" s="22" t="s">
        <v>10</v>
      </c>
      <c r="N56" s="23"/>
      <c r="O56" s="29" t="s">
        <v>274</v>
      </c>
      <c r="P56" s="29" t="s">
        <v>274</v>
      </c>
      <c r="Q56" s="25">
        <v>36.0</v>
      </c>
      <c r="R56" s="30" t="s">
        <v>274</v>
      </c>
      <c r="S56" s="21">
        <v>3.0</v>
      </c>
      <c r="T56" s="19">
        <v>129600.0</v>
      </c>
      <c r="U56" s="19">
        <v>129600.0</v>
      </c>
      <c r="V56" s="33">
        <v>43983.0</v>
      </c>
      <c r="W56" s="21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ht="60.0" customHeight="1">
      <c r="A57" s="14" t="str">
        <f>if(H57&lt;&gt;"",VLOOKUP(H57,ID!$A$2:$C$999,3,FALSE),"") </f>
        <v>BT0054</v>
      </c>
      <c r="B57" s="15" t="s">
        <v>0</v>
      </c>
      <c r="C57" s="16" t="s">
        <v>1</v>
      </c>
      <c r="D57" s="17" t="s">
        <v>155</v>
      </c>
      <c r="E57" s="18" t="s">
        <v>275</v>
      </c>
      <c r="F57" s="19">
        <v>3700.0</v>
      </c>
      <c r="G57" s="20" t="s">
        <v>276</v>
      </c>
      <c r="H57" s="21" t="s">
        <v>277</v>
      </c>
      <c r="I57" s="22" t="s">
        <v>278</v>
      </c>
      <c r="J57" s="21" t="s">
        <v>279</v>
      </c>
      <c r="K57" s="21" t="s">
        <v>8</v>
      </c>
      <c r="L57" s="21" t="s">
        <v>30</v>
      </c>
      <c r="M57" s="22" t="s">
        <v>62</v>
      </c>
      <c r="N57" s="23"/>
      <c r="O57" s="24">
        <v>43679.0</v>
      </c>
      <c r="P57" s="24">
        <v>43679.0</v>
      </c>
      <c r="Q57" s="25">
        <v>36.0</v>
      </c>
      <c r="R57" s="26">
        <f>IFERROR(__xludf.DUMMYFUNCTION("IF (OR( Q57 = """" , P57 =""""), """" , IF(Q57 = ""Menos de 1 mês"" , ""antes de ""&amp; TO_TEXT( EDATE(P57, 1)), EDATE(P57,Q57)))"),44775.0)</f>
        <v>44775</v>
      </c>
      <c r="S57" s="21">
        <v>2.0</v>
      </c>
      <c r="T57" s="19">
        <v>72000.0</v>
      </c>
      <c r="U57" s="19">
        <v>72000.0</v>
      </c>
      <c r="V57" s="27">
        <v>43683.0</v>
      </c>
      <c r="W57" s="21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ht="60.0" customHeight="1">
      <c r="A58" s="14" t="str">
        <f>if(H58&lt;&gt;"",VLOOKUP(H58,ID!$A$2:$C$999,3,FALSE),"") </f>
        <v>BT0055</v>
      </c>
      <c r="B58" s="15" t="s">
        <v>0</v>
      </c>
      <c r="C58" s="16" t="s">
        <v>1</v>
      </c>
      <c r="D58" s="17" t="s">
        <v>178</v>
      </c>
      <c r="E58" s="18" t="s">
        <v>280</v>
      </c>
      <c r="F58" s="19">
        <v>1084.0</v>
      </c>
      <c r="G58" s="20" t="s">
        <v>281</v>
      </c>
      <c r="H58" s="21" t="s">
        <v>282</v>
      </c>
      <c r="I58" s="22" t="s">
        <v>283</v>
      </c>
      <c r="J58" s="21" t="s">
        <v>284</v>
      </c>
      <c r="K58" s="21" t="s">
        <v>8</v>
      </c>
      <c r="L58" s="21" t="s">
        <v>30</v>
      </c>
      <c r="M58" s="22" t="s">
        <v>62</v>
      </c>
      <c r="N58" s="23"/>
      <c r="O58" s="24">
        <v>42923.0</v>
      </c>
      <c r="P58" s="24">
        <v>42923.0</v>
      </c>
      <c r="Q58" s="25">
        <v>36.0</v>
      </c>
      <c r="R58" s="26">
        <f>IFERROR(__xludf.DUMMYFUNCTION("IF (OR( Q58 = """" , P58 =""""), """" , IF(Q58 = ""Menos de 1 mês"" , ""antes de ""&amp; TO_TEXT( EDATE(P58, 1)), EDATE(P58,Q58)))"),44019.0)</f>
        <v>44019</v>
      </c>
      <c r="S58" s="21">
        <v>2.0</v>
      </c>
      <c r="T58" s="19">
        <v>82800.0</v>
      </c>
      <c r="U58" s="19">
        <v>82800.0</v>
      </c>
      <c r="V58" s="27">
        <v>43377.0</v>
      </c>
      <c r="W58" s="21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ht="60.0" customHeight="1">
      <c r="A59" s="14" t="str">
        <f>if(H59&lt;&gt;"",VLOOKUP(H59,ID!$A$2:$C$999,3,FALSE),"") </f>
        <v>BT0056</v>
      </c>
      <c r="B59" s="15" t="s">
        <v>0</v>
      </c>
      <c r="C59" s="16" t="s">
        <v>1</v>
      </c>
      <c r="D59" s="17" t="s">
        <v>178</v>
      </c>
      <c r="E59" s="18" t="s">
        <v>285</v>
      </c>
      <c r="F59" s="21">
        <v>3.506</v>
      </c>
      <c r="G59" s="36" t="s">
        <v>286</v>
      </c>
      <c r="H59" s="21" t="s">
        <v>287</v>
      </c>
      <c r="I59" s="22" t="s">
        <v>288</v>
      </c>
      <c r="J59" s="21" t="s">
        <v>289</v>
      </c>
      <c r="K59" s="21" t="s">
        <v>8</v>
      </c>
      <c r="L59" s="21" t="s">
        <v>9</v>
      </c>
      <c r="M59" s="22" t="s">
        <v>10</v>
      </c>
      <c r="N59" s="23"/>
      <c r="O59" s="24">
        <v>43209.0</v>
      </c>
      <c r="P59" s="24">
        <v>43209.0</v>
      </c>
      <c r="Q59" s="25">
        <v>36.0</v>
      </c>
      <c r="R59" s="26">
        <f>IFERROR(__xludf.DUMMYFUNCTION("IF (OR( Q59 = """" , P59 =""""), """" , IF(Q59 = ""Menos de 1 mês"" , ""antes de ""&amp; TO_TEXT( EDATE(P59, 1)), EDATE(P59,Q59)))"),44305.0)</f>
        <v>44305</v>
      </c>
      <c r="S59" s="21">
        <v>2.0</v>
      </c>
      <c r="T59" s="19">
        <v>16200.0</v>
      </c>
      <c r="U59" s="19">
        <v>16200.0</v>
      </c>
      <c r="V59" s="27">
        <v>43377.0</v>
      </c>
      <c r="W59" s="36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ht="60.0" customHeight="1">
      <c r="A60" s="14" t="str">
        <f>if(H60&lt;&gt;"",VLOOKUP(H60,ID!$A$2:$C$999,3,FALSE),"") </f>
        <v>BT0057</v>
      </c>
      <c r="B60" s="15" t="s">
        <v>0</v>
      </c>
      <c r="C60" s="16" t="s">
        <v>1</v>
      </c>
      <c r="D60" s="17" t="s">
        <v>33</v>
      </c>
      <c r="E60" s="18" t="s">
        <v>290</v>
      </c>
      <c r="F60" s="19">
        <v>1260.0</v>
      </c>
      <c r="G60" s="21" t="s">
        <v>291</v>
      </c>
      <c r="H60" s="21" t="s">
        <v>292</v>
      </c>
      <c r="I60" s="22" t="s">
        <v>293</v>
      </c>
      <c r="J60" s="21" t="s">
        <v>294</v>
      </c>
      <c r="K60" s="21" t="s">
        <v>8</v>
      </c>
      <c r="L60" s="21" t="s">
        <v>9</v>
      </c>
      <c r="M60" s="22" t="s">
        <v>10</v>
      </c>
      <c r="N60" s="23"/>
      <c r="O60" s="24">
        <v>42945.0</v>
      </c>
      <c r="P60" s="24">
        <v>42945.0</v>
      </c>
      <c r="Q60" s="25">
        <v>36.0</v>
      </c>
      <c r="R60" s="26">
        <f>IFERROR(__xludf.DUMMYFUNCTION("IF (OR( Q60 = """" , P60 =""""), """" , IF(Q60 = ""Menos de 1 mês"" , ""antes de ""&amp; TO_TEXT( EDATE(P60, 1)), EDATE(P60,Q60)))"),44041.0)</f>
        <v>44041</v>
      </c>
      <c r="S60" s="21">
        <v>2.0</v>
      </c>
      <c r="T60" s="19">
        <v>31680.0</v>
      </c>
      <c r="U60" s="19">
        <v>31680.0</v>
      </c>
      <c r="V60" s="27">
        <v>43377.0</v>
      </c>
      <c r="W60" s="21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ht="60.0" customHeight="1">
      <c r="A61" s="14" t="str">
        <f>if(H61&lt;&gt;"",VLOOKUP(H61,ID!$A$2:$C$999,3,FALSE),"") </f>
        <v>BT0058</v>
      </c>
      <c r="B61" s="15" t="s">
        <v>0</v>
      </c>
      <c r="C61" s="16" t="s">
        <v>1</v>
      </c>
      <c r="D61" s="17" t="s">
        <v>155</v>
      </c>
      <c r="E61" s="18" t="s">
        <v>295</v>
      </c>
      <c r="F61" s="21" t="s">
        <v>296</v>
      </c>
      <c r="G61" s="21" t="s">
        <v>297</v>
      </c>
      <c r="H61" s="21" t="s">
        <v>298</v>
      </c>
      <c r="I61" s="22" t="s">
        <v>299</v>
      </c>
      <c r="J61" s="21" t="s">
        <v>300</v>
      </c>
      <c r="K61" s="21" t="s">
        <v>8</v>
      </c>
      <c r="L61" s="21" t="s">
        <v>9</v>
      </c>
      <c r="M61" s="22" t="s">
        <v>10</v>
      </c>
      <c r="N61" s="23"/>
      <c r="O61" s="24">
        <v>43054.0</v>
      </c>
      <c r="P61" s="24">
        <v>43054.0</v>
      </c>
      <c r="Q61" s="25">
        <v>36.0</v>
      </c>
      <c r="R61" s="26">
        <f>IFERROR(__xludf.DUMMYFUNCTION("IF (OR( Q61 = """" , P61 =""""), """" , IF(Q61 = ""Menos de 1 mês"" , ""antes de ""&amp; TO_TEXT( EDATE(P61, 1)), EDATE(P61,Q61)))"),44150.0)</f>
        <v>44150</v>
      </c>
      <c r="S61" s="21">
        <v>1.0</v>
      </c>
      <c r="T61" s="19">
        <v>25200.0</v>
      </c>
      <c r="U61" s="19">
        <v>25200.0</v>
      </c>
      <c r="V61" s="27">
        <v>43377.0</v>
      </c>
      <c r="W61" s="21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</row>
    <row r="62" ht="60.0" customHeight="1">
      <c r="A62" s="14" t="str">
        <f>if(H62&lt;&gt;"",VLOOKUP(H62,ID!$A$2:$C$999,3,FALSE),"") </f>
        <v>BT0059</v>
      </c>
      <c r="B62" s="15" t="s">
        <v>0</v>
      </c>
      <c r="C62" s="16" t="s">
        <v>1</v>
      </c>
      <c r="D62" s="17" t="s">
        <v>33</v>
      </c>
      <c r="E62" s="18" t="s">
        <v>301</v>
      </c>
      <c r="F62" s="21">
        <v>1100.0</v>
      </c>
      <c r="G62" s="21" t="s">
        <v>302</v>
      </c>
      <c r="H62" s="21" t="s">
        <v>303</v>
      </c>
      <c r="I62" s="22" t="s">
        <v>125</v>
      </c>
      <c r="J62" s="21" t="s">
        <v>29</v>
      </c>
      <c r="K62" s="21" t="s">
        <v>8</v>
      </c>
      <c r="L62" s="21" t="s">
        <v>9</v>
      </c>
      <c r="M62" s="22" t="s">
        <v>10</v>
      </c>
      <c r="N62" s="23"/>
      <c r="O62" s="24">
        <v>44288.0</v>
      </c>
      <c r="P62" s="24">
        <v>44288.0</v>
      </c>
      <c r="Q62" s="25">
        <v>36.0</v>
      </c>
      <c r="R62" s="26">
        <f>IFERROR(__xludf.DUMMYFUNCTION("IF (OR( Q62 = """" , P62 =""""), """" , IF(Q62 = ""Menos de 1 mês"" , ""antes de ""&amp; TO_TEXT( EDATE(P62, 1)), EDATE(P62,Q62)))"),45384.0)</f>
        <v>45384</v>
      </c>
      <c r="S62" s="21">
        <v>1.0</v>
      </c>
      <c r="T62" s="19">
        <v>4800.0</v>
      </c>
      <c r="U62" s="19">
        <v>4800.0</v>
      </c>
      <c r="V62" s="27">
        <v>44502.0</v>
      </c>
      <c r="W62" s="21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ht="60.0" customHeight="1">
      <c r="A63" s="14" t="str">
        <f>if(H63&lt;&gt;"",VLOOKUP(H63,ID!$A$2:$C$999,3,FALSE),"") </f>
        <v>BT0060</v>
      </c>
      <c r="B63" s="15" t="s">
        <v>0</v>
      </c>
      <c r="C63" s="16" t="s">
        <v>1</v>
      </c>
      <c r="D63" s="17" t="s">
        <v>33</v>
      </c>
      <c r="E63" s="18" t="s">
        <v>304</v>
      </c>
      <c r="F63" s="19">
        <v>1485.0</v>
      </c>
      <c r="G63" s="21" t="s">
        <v>305</v>
      </c>
      <c r="H63" s="21" t="s">
        <v>306</v>
      </c>
      <c r="I63" s="22" t="s">
        <v>125</v>
      </c>
      <c r="J63" s="21" t="s">
        <v>29</v>
      </c>
      <c r="K63" s="21" t="s">
        <v>8</v>
      </c>
      <c r="L63" s="21" t="s">
        <v>9</v>
      </c>
      <c r="M63" s="22" t="s">
        <v>10</v>
      </c>
      <c r="N63" s="23"/>
      <c r="O63" s="24">
        <v>44289.0</v>
      </c>
      <c r="P63" s="24">
        <v>44289.0</v>
      </c>
      <c r="Q63" s="25">
        <v>36.0</v>
      </c>
      <c r="R63" s="26">
        <f>IFERROR(__xludf.DUMMYFUNCTION("IF (OR( Q63 = """" , P63 =""""), """" , IF(Q63 = ""Menos de 1 mês"" , ""antes de ""&amp; TO_TEXT( EDATE(P63, 1)), EDATE(P63,Q63)))"),45385.0)</f>
        <v>45385</v>
      </c>
      <c r="S63" s="21">
        <v>1.0</v>
      </c>
      <c r="T63" s="19">
        <v>4800.0</v>
      </c>
      <c r="U63" s="19">
        <v>4800.0</v>
      </c>
      <c r="V63" s="31" t="s">
        <v>307</v>
      </c>
      <c r="W63" s="21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</row>
    <row r="64" ht="60.0" customHeight="1">
      <c r="A64" s="14" t="str">
        <f>if(H64&lt;&gt;"",VLOOKUP(H64,ID!$A$2:$C$999,3,FALSE),"") </f>
        <v>BT0061</v>
      </c>
      <c r="B64" s="15" t="s">
        <v>0</v>
      </c>
      <c r="C64" s="16" t="s">
        <v>1</v>
      </c>
      <c r="D64" s="17" t="s">
        <v>33</v>
      </c>
      <c r="E64" s="18" t="s">
        <v>308</v>
      </c>
      <c r="F64" s="19">
        <v>2775.0</v>
      </c>
      <c r="G64" s="21" t="s">
        <v>309</v>
      </c>
      <c r="H64" s="21" t="s">
        <v>310</v>
      </c>
      <c r="I64" s="22" t="s">
        <v>311</v>
      </c>
      <c r="J64" s="21" t="s">
        <v>312</v>
      </c>
      <c r="K64" s="21" t="s">
        <v>8</v>
      </c>
      <c r="L64" s="21" t="s">
        <v>96</v>
      </c>
      <c r="M64" s="22" t="s">
        <v>10</v>
      </c>
      <c r="N64" s="23"/>
      <c r="O64" s="29" t="s">
        <v>313</v>
      </c>
      <c r="P64" s="29" t="s">
        <v>314</v>
      </c>
      <c r="Q64" s="25">
        <v>36.0</v>
      </c>
      <c r="R64" s="26" t="str">
        <f>IFERROR(__xludf.DUMMYFUNCTION("IF (OR( Q64 = """" , P64 =""""), """" , IF(Q64 = ""Menos de 1 mês"" , ""antes de ""&amp; TO_TEXT( EDATE(P64, 1)), EDATE(P64,Q64)))"),"#VALUE!")</f>
        <v>#VALUE!</v>
      </c>
      <c r="S64" s="21">
        <v>3.0</v>
      </c>
      <c r="T64" s="19">
        <v>2400.0</v>
      </c>
      <c r="U64" s="19">
        <v>2400.0</v>
      </c>
      <c r="V64" s="31" t="s">
        <v>231</v>
      </c>
      <c r="W64" s="21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ht="60.0" customHeight="1">
      <c r="A65" s="14" t="str">
        <f>if(H65&lt;&gt;"",VLOOKUP(H65,ID!$A$2:$C$999,3,FALSE),"") </f>
        <v>BT0062</v>
      </c>
      <c r="B65" s="15" t="s">
        <v>0</v>
      </c>
      <c r="C65" s="16" t="s">
        <v>1</v>
      </c>
      <c r="D65" s="17" t="s">
        <v>46</v>
      </c>
      <c r="E65" s="18" t="s">
        <v>315</v>
      </c>
      <c r="F65" s="21" t="s">
        <v>316</v>
      </c>
      <c r="G65" s="21" t="s">
        <v>317</v>
      </c>
      <c r="H65" s="21" t="s">
        <v>318</v>
      </c>
      <c r="I65" s="22" t="s">
        <v>319</v>
      </c>
      <c r="J65" s="21" t="s">
        <v>320</v>
      </c>
      <c r="K65" s="21" t="s">
        <v>8</v>
      </c>
      <c r="L65" s="21" t="s">
        <v>30</v>
      </c>
      <c r="M65" s="22" t="s">
        <v>10</v>
      </c>
      <c r="N65" s="23"/>
      <c r="O65" s="24">
        <v>44147.0</v>
      </c>
      <c r="P65" s="24">
        <v>44147.0</v>
      </c>
      <c r="Q65" s="25">
        <v>36.0</v>
      </c>
      <c r="R65" s="26">
        <f>IFERROR(__xludf.DUMMYFUNCTION("IF (OR( Q65 = """" , P65 =""""), """" , IF(Q65 = ""Menos de 1 mês"" , ""antes de ""&amp; TO_TEXT( EDATE(P65, 1)), EDATE(P65,Q65)))"),45242.0)</f>
        <v>45242</v>
      </c>
      <c r="S65" s="21">
        <v>1.0</v>
      </c>
      <c r="T65" s="19">
        <v>4800.0</v>
      </c>
      <c r="U65" s="19">
        <v>4800.0</v>
      </c>
      <c r="V65" s="27">
        <v>44317.0</v>
      </c>
      <c r="W65" s="21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</row>
    <row r="66" ht="60.0" customHeight="1">
      <c r="A66" s="14" t="str">
        <f>if(H66&lt;&gt;"",VLOOKUP(H66,ID!$A$2:$C$999,3,FALSE),"") </f>
        <v>BT0063</v>
      </c>
      <c r="B66" s="15" t="s">
        <v>0</v>
      </c>
      <c r="C66" s="16" t="s">
        <v>1</v>
      </c>
      <c r="D66" s="17" t="s">
        <v>33</v>
      </c>
      <c r="E66" s="18" t="s">
        <v>321</v>
      </c>
      <c r="F66" s="19">
        <v>1310.0</v>
      </c>
      <c r="G66" s="21" t="s">
        <v>322</v>
      </c>
      <c r="H66" s="21" t="s">
        <v>323</v>
      </c>
      <c r="I66" s="22" t="s">
        <v>324</v>
      </c>
      <c r="J66" s="21" t="s">
        <v>325</v>
      </c>
      <c r="K66" s="21" t="s">
        <v>8</v>
      </c>
      <c r="L66" s="21" t="s">
        <v>96</v>
      </c>
      <c r="M66" s="22" t="s">
        <v>10</v>
      </c>
      <c r="N66" s="23"/>
      <c r="O66" s="24">
        <v>42997.0</v>
      </c>
      <c r="P66" s="24">
        <v>42997.0</v>
      </c>
      <c r="Q66" s="25">
        <v>36.0</v>
      </c>
      <c r="R66" s="26">
        <f>IFERROR(__xludf.DUMMYFUNCTION("IF (OR( Q66 = """" , P66 =""""), """" , IF(Q66 = ""Menos de 1 mês"" , ""antes de ""&amp; TO_TEXT( EDATE(P66, 1)), EDATE(P66,Q66)))"),44093.0)</f>
        <v>44093</v>
      </c>
      <c r="S66" s="21">
        <v>1.0</v>
      </c>
      <c r="T66" s="19">
        <v>144000.0</v>
      </c>
      <c r="U66" s="19">
        <v>144000.0</v>
      </c>
      <c r="V66" s="27">
        <v>43377.0</v>
      </c>
      <c r="W66" s="21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</row>
    <row r="67" ht="60.0" customHeight="1">
      <c r="A67" s="14" t="str">
        <f>if(H67&lt;&gt;"",VLOOKUP(H67,ID!$A$2:$C$999,3,FALSE),"") </f>
        <v>BT0064</v>
      </c>
      <c r="B67" s="15" t="s">
        <v>0</v>
      </c>
      <c r="C67" s="16" t="s">
        <v>1</v>
      </c>
      <c r="D67" s="17" t="s">
        <v>46</v>
      </c>
      <c r="E67" s="18" t="s">
        <v>326</v>
      </c>
      <c r="F67" s="19">
        <v>3810.0</v>
      </c>
      <c r="G67" s="21" t="s">
        <v>327</v>
      </c>
      <c r="H67" s="21" t="s">
        <v>328</v>
      </c>
      <c r="I67" s="22" t="s">
        <v>329</v>
      </c>
      <c r="J67" s="21" t="s">
        <v>330</v>
      </c>
      <c r="K67" s="21" t="s">
        <v>8</v>
      </c>
      <c r="L67" s="21" t="s">
        <v>9</v>
      </c>
      <c r="M67" s="22" t="s">
        <v>10</v>
      </c>
      <c r="N67" s="23"/>
      <c r="O67" s="24">
        <v>42997.0</v>
      </c>
      <c r="P67" s="24">
        <v>42997.0</v>
      </c>
      <c r="Q67" s="25">
        <v>36.0</v>
      </c>
      <c r="R67" s="26">
        <f>IFERROR(__xludf.DUMMYFUNCTION("IF (OR( Q67 = """" , P67 =""""), """" , IF(Q67 = ""Menos de 1 mês"" , ""antes de ""&amp; TO_TEXT( EDATE(P67, 1)), EDATE(P67,Q67)))"),44093.0)</f>
        <v>44093</v>
      </c>
      <c r="S67" s="21">
        <v>1.0</v>
      </c>
      <c r="T67" s="19">
        <v>66600.0</v>
      </c>
      <c r="U67" s="19">
        <v>66600.0</v>
      </c>
      <c r="V67" s="27">
        <v>43377.0</v>
      </c>
      <c r="W67" s="21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</row>
    <row r="68" ht="60.0" customHeight="1">
      <c r="A68" s="14" t="str">
        <f>if(H68&lt;&gt;"",VLOOKUP(H68,ID!$A$2:$C$999,3,FALSE),"") </f>
        <v>BT0065</v>
      </c>
      <c r="B68" s="15" t="s">
        <v>0</v>
      </c>
      <c r="C68" s="16" t="s">
        <v>1</v>
      </c>
      <c r="D68" s="17" t="s">
        <v>178</v>
      </c>
      <c r="E68" s="18" t="s">
        <v>331</v>
      </c>
      <c r="F68" s="21" t="s">
        <v>332</v>
      </c>
      <c r="G68" s="21" t="s">
        <v>333</v>
      </c>
      <c r="H68" s="21" t="s">
        <v>334</v>
      </c>
      <c r="I68" s="22" t="s">
        <v>335</v>
      </c>
      <c r="J68" s="21" t="s">
        <v>336</v>
      </c>
      <c r="K68" s="21" t="s">
        <v>8</v>
      </c>
      <c r="L68" s="21" t="s">
        <v>9</v>
      </c>
      <c r="M68" s="22" t="s">
        <v>10</v>
      </c>
      <c r="N68" s="23"/>
      <c r="O68" s="24">
        <v>42997.0</v>
      </c>
      <c r="P68" s="24">
        <v>42997.0</v>
      </c>
      <c r="Q68" s="25">
        <v>36.0</v>
      </c>
      <c r="R68" s="26">
        <f>IFERROR(__xludf.DUMMYFUNCTION("IF (OR( Q68 = """" , P68 =""""), """" , IF(Q68 = ""Menos de 1 mês"" , ""antes de ""&amp; TO_TEXT( EDATE(P68, 1)), EDATE(P68,Q68)))"),44093.0)</f>
        <v>44093</v>
      </c>
      <c r="S68" s="21">
        <v>1.0</v>
      </c>
      <c r="T68" s="19">
        <v>3600.0</v>
      </c>
      <c r="U68" s="19">
        <v>3600.0</v>
      </c>
      <c r="V68" s="27">
        <v>43377.0</v>
      </c>
      <c r="W68" s="21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</row>
    <row r="69" ht="60.0" customHeight="1">
      <c r="A69" s="14" t="str">
        <f>if(H69&lt;&gt;"",VLOOKUP(H69,ID!$A$2:$C$999,3,FALSE),"") </f>
        <v>BT0066</v>
      </c>
      <c r="B69" s="15" t="s">
        <v>0</v>
      </c>
      <c r="C69" s="16" t="s">
        <v>1</v>
      </c>
      <c r="D69" s="17" t="s">
        <v>63</v>
      </c>
      <c r="E69" s="18" t="s">
        <v>337</v>
      </c>
      <c r="F69" s="19">
        <v>10960.0</v>
      </c>
      <c r="G69" s="21" t="s">
        <v>338</v>
      </c>
      <c r="H69" s="21" t="s">
        <v>339</v>
      </c>
      <c r="I69" s="22" t="s">
        <v>340</v>
      </c>
      <c r="J69" s="21" t="s">
        <v>341</v>
      </c>
      <c r="K69" s="21" t="s">
        <v>8</v>
      </c>
      <c r="L69" s="21" t="s">
        <v>9</v>
      </c>
      <c r="M69" s="22" t="s">
        <v>10</v>
      </c>
      <c r="N69" s="23"/>
      <c r="O69" s="24">
        <v>44147.0</v>
      </c>
      <c r="P69" s="24">
        <v>44147.0</v>
      </c>
      <c r="Q69" s="25">
        <v>36.0</v>
      </c>
      <c r="R69" s="26">
        <f>IFERROR(__xludf.DUMMYFUNCTION("IF (OR( Q69 = """" , P69 =""""), """" , IF(Q69 = ""Menos de 1 mês"" , ""antes de ""&amp; TO_TEXT( EDATE(P69, 1)), EDATE(P69,Q69)))"),45242.0)</f>
        <v>45242</v>
      </c>
      <c r="S69" s="21">
        <v>6.0</v>
      </c>
      <c r="T69" s="19">
        <v>2400.0</v>
      </c>
      <c r="U69" s="19">
        <v>2400.0</v>
      </c>
      <c r="V69" s="27">
        <v>44317.0</v>
      </c>
      <c r="W69" s="21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  <row r="70" ht="60.0" customHeight="1">
      <c r="A70" s="14" t="str">
        <f>if(H70&lt;&gt;"",VLOOKUP(H70,ID!$A$2:$C$999,3,FALSE),"") </f>
        <v>BT0067</v>
      </c>
      <c r="B70" s="15" t="s">
        <v>0</v>
      </c>
      <c r="C70" s="16" t="s">
        <v>1</v>
      </c>
      <c r="D70" s="17" t="s">
        <v>33</v>
      </c>
      <c r="E70" s="18" t="s">
        <v>342</v>
      </c>
      <c r="F70" s="21"/>
      <c r="G70" s="21" t="s">
        <v>343</v>
      </c>
      <c r="H70" s="21" t="s">
        <v>344</v>
      </c>
      <c r="I70" s="22" t="s">
        <v>345</v>
      </c>
      <c r="J70" s="21" t="s">
        <v>346</v>
      </c>
      <c r="K70" s="21" t="s">
        <v>8</v>
      </c>
      <c r="L70" s="21" t="s">
        <v>9</v>
      </c>
      <c r="M70" s="22" t="s">
        <v>10</v>
      </c>
      <c r="N70" s="23"/>
      <c r="O70" s="29" t="s">
        <v>347</v>
      </c>
      <c r="P70" s="29" t="s">
        <v>347</v>
      </c>
      <c r="Q70" s="25">
        <v>36.0</v>
      </c>
      <c r="R70" s="26" t="str">
        <f>IFERROR(__xludf.DUMMYFUNCTION("IF (OR( Q70 = """" , P70 =""""), """" , IF(Q70 = ""Menos de 1 mês"" , ""antes de ""&amp; TO_TEXT( EDATE(P70, 1)), EDATE(P70,Q70)))"),"#VALUE!")</f>
        <v>#VALUE!</v>
      </c>
      <c r="S70" s="21">
        <v>1.0</v>
      </c>
      <c r="T70" s="19">
        <v>32000.0</v>
      </c>
      <c r="U70" s="19">
        <v>32000.0</v>
      </c>
      <c r="V70" s="31" t="s">
        <v>348</v>
      </c>
      <c r="W70" s="21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</row>
    <row r="71" ht="60.0" customHeight="1">
      <c r="A71" s="14" t="str">
        <f>if(H71&lt;&gt;"",VLOOKUP(H71,ID!$A$2:$C$999,3,FALSE),"") </f>
        <v>BT0068</v>
      </c>
      <c r="B71" s="15" t="s">
        <v>0</v>
      </c>
      <c r="C71" s="16" t="s">
        <v>1</v>
      </c>
      <c r="D71" s="17" t="s">
        <v>155</v>
      </c>
      <c r="E71" s="18" t="s">
        <v>349</v>
      </c>
      <c r="F71" s="19">
        <v>4920.0</v>
      </c>
      <c r="G71" s="21" t="s">
        <v>350</v>
      </c>
      <c r="H71" s="21" t="s">
        <v>351</v>
      </c>
      <c r="I71" s="22" t="s">
        <v>352</v>
      </c>
      <c r="J71" s="21" t="s">
        <v>353</v>
      </c>
      <c r="K71" s="21" t="s">
        <v>8</v>
      </c>
      <c r="L71" s="21" t="s">
        <v>9</v>
      </c>
      <c r="M71" s="22" t="s">
        <v>10</v>
      </c>
      <c r="N71" s="23"/>
      <c r="O71" s="24">
        <v>42997.0</v>
      </c>
      <c r="P71" s="24">
        <v>42997.0</v>
      </c>
      <c r="Q71" s="25">
        <v>36.0</v>
      </c>
      <c r="R71" s="26">
        <f>IFERROR(__xludf.DUMMYFUNCTION("IF (OR( Q71 = """" , P71 =""""), """" , IF(Q71 = ""Menos de 1 mês"" , ""antes de ""&amp; TO_TEXT( EDATE(P71, 1)), EDATE(P71,Q71)))"),44093.0)</f>
        <v>44093</v>
      </c>
      <c r="S71" s="21">
        <v>4.0</v>
      </c>
      <c r="T71" s="19">
        <v>18500.0</v>
      </c>
      <c r="U71" s="19">
        <v>18500.0</v>
      </c>
      <c r="V71" s="27">
        <v>43377.0</v>
      </c>
      <c r="W71" s="21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</row>
    <row r="72" ht="60.0" customHeight="1">
      <c r="A72" s="14" t="str">
        <f>if(H72&lt;&gt;"",VLOOKUP(H72,ID!$A$2:$C$999,3,FALSE),"") </f>
        <v>BT0069</v>
      </c>
      <c r="B72" s="15" t="s">
        <v>0</v>
      </c>
      <c r="C72" s="16" t="s">
        <v>1</v>
      </c>
      <c r="D72" s="17" t="s">
        <v>354</v>
      </c>
      <c r="E72" s="18" t="s">
        <v>355</v>
      </c>
      <c r="F72" s="21">
        <v>486.0</v>
      </c>
      <c r="G72" s="21" t="s">
        <v>356</v>
      </c>
      <c r="H72" s="21" t="s">
        <v>357</v>
      </c>
      <c r="I72" s="22" t="s">
        <v>319</v>
      </c>
      <c r="J72" s="21" t="s">
        <v>341</v>
      </c>
      <c r="K72" s="21" t="s">
        <v>8</v>
      </c>
      <c r="L72" s="21" t="s">
        <v>30</v>
      </c>
      <c r="M72" s="22" t="s">
        <v>62</v>
      </c>
      <c r="N72" s="23"/>
      <c r="O72" s="24">
        <v>44147.0</v>
      </c>
      <c r="P72" s="24">
        <v>44147.0</v>
      </c>
      <c r="Q72" s="25">
        <v>36.0</v>
      </c>
      <c r="R72" s="26">
        <f>IFERROR(__xludf.DUMMYFUNCTION("IF (OR( Q72 = """" , P72 =""""), """" , IF(Q72 = ""Menos de 1 mês"" , ""antes de ""&amp; TO_TEXT( EDATE(P72, 1)), EDATE(P72,Q72)))"),45242.0)</f>
        <v>45242</v>
      </c>
      <c r="S72" s="21">
        <v>1.0</v>
      </c>
      <c r="T72" s="19">
        <v>4800.0</v>
      </c>
      <c r="U72" s="19">
        <v>4800.0</v>
      </c>
      <c r="V72" s="27">
        <v>44317.0</v>
      </c>
      <c r="W72" s="21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ht="60.0" customHeight="1">
      <c r="A73" s="14" t="str">
        <f>if(H73&lt;&gt;"",VLOOKUP(H73,ID!$A$2:$C$999,3,FALSE),"") </f>
        <v>BT0070</v>
      </c>
      <c r="B73" s="15" t="s">
        <v>0</v>
      </c>
      <c r="C73" s="16" t="s">
        <v>1</v>
      </c>
      <c r="D73" s="17" t="s">
        <v>46</v>
      </c>
      <c r="E73" s="18" t="s">
        <v>358</v>
      </c>
      <c r="F73" s="21">
        <v>2325.0</v>
      </c>
      <c r="G73" s="21" t="s">
        <v>359</v>
      </c>
      <c r="H73" s="21" t="s">
        <v>360</v>
      </c>
      <c r="I73" s="22" t="s">
        <v>340</v>
      </c>
      <c r="J73" s="21" t="s">
        <v>341</v>
      </c>
      <c r="K73" s="21" t="s">
        <v>8</v>
      </c>
      <c r="L73" s="21" t="s">
        <v>9</v>
      </c>
      <c r="M73" s="22" t="s">
        <v>10</v>
      </c>
      <c r="N73" s="23"/>
      <c r="O73" s="24">
        <v>44147.0</v>
      </c>
      <c r="P73" s="24">
        <v>44147.0</v>
      </c>
      <c r="Q73" s="25">
        <v>36.0</v>
      </c>
      <c r="R73" s="26">
        <f>IFERROR(__xludf.DUMMYFUNCTION("IF (OR( Q73 = """" , P73 =""""), """" , IF(Q73 = ""Menos de 1 mês"" , ""antes de ""&amp; TO_TEXT( EDATE(P73, 1)), EDATE(P73,Q73)))"),45242.0)</f>
        <v>45242</v>
      </c>
      <c r="S73" s="21">
        <v>1.0</v>
      </c>
      <c r="T73" s="19">
        <v>14400.0</v>
      </c>
      <c r="U73" s="19">
        <v>14400.0</v>
      </c>
      <c r="V73" s="27">
        <v>44317.0</v>
      </c>
      <c r="W73" s="21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ht="60.0" customHeight="1">
      <c r="A74" s="14" t="str">
        <f>if(H74&lt;&gt;"",VLOOKUP(H74,ID!$A$2:$C$999,3,FALSE),"") </f>
        <v>BT0071</v>
      </c>
      <c r="B74" s="15" t="s">
        <v>0</v>
      </c>
      <c r="C74" s="16" t="s">
        <v>1</v>
      </c>
      <c r="D74" s="17" t="s">
        <v>33</v>
      </c>
      <c r="E74" s="18" t="s">
        <v>361</v>
      </c>
      <c r="F74" s="21">
        <v>68.0</v>
      </c>
      <c r="G74" s="21" t="s">
        <v>362</v>
      </c>
      <c r="H74" s="21" t="s">
        <v>363</v>
      </c>
      <c r="I74" s="22" t="s">
        <v>364</v>
      </c>
      <c r="J74" s="21" t="s">
        <v>365</v>
      </c>
      <c r="K74" s="21" t="s">
        <v>8</v>
      </c>
      <c r="L74" s="21" t="s">
        <v>30</v>
      </c>
      <c r="M74" s="22" t="s">
        <v>62</v>
      </c>
      <c r="N74" s="23"/>
      <c r="O74" s="24">
        <v>42997.0</v>
      </c>
      <c r="P74" s="24">
        <v>42997.0</v>
      </c>
      <c r="Q74" s="25">
        <v>36.0</v>
      </c>
      <c r="R74" s="26">
        <f>IFERROR(__xludf.DUMMYFUNCTION("IF (OR( Q74 = """" , P74 =""""), """" , IF(Q74 = ""Menos de 1 mês"" , ""antes de ""&amp; TO_TEXT( EDATE(P74, 1)), EDATE(P74,Q74)))"),44093.0)</f>
        <v>44093</v>
      </c>
      <c r="S74" s="21">
        <v>1.0</v>
      </c>
      <c r="T74" s="19">
        <v>54000.0</v>
      </c>
      <c r="U74" s="19">
        <v>54000.0</v>
      </c>
      <c r="V74" s="27">
        <v>43377.0</v>
      </c>
      <c r="W74" s="21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</row>
    <row r="75" ht="60.0" customHeight="1">
      <c r="A75" s="14" t="str">
        <f>if(H75&lt;&gt;"",VLOOKUP(H75,ID!$A$2:$C$999,3,FALSE),"") </f>
        <v>BT0072</v>
      </c>
      <c r="B75" s="15" t="s">
        <v>0</v>
      </c>
      <c r="C75" s="16" t="s">
        <v>1</v>
      </c>
      <c r="D75" s="17" t="s">
        <v>33</v>
      </c>
      <c r="E75" s="18" t="s">
        <v>366</v>
      </c>
      <c r="F75" s="19">
        <v>3000.0</v>
      </c>
      <c r="G75" s="21" t="s">
        <v>367</v>
      </c>
      <c r="H75" s="21" t="s">
        <v>368</v>
      </c>
      <c r="I75" s="22" t="s">
        <v>324</v>
      </c>
      <c r="J75" s="21" t="s">
        <v>325</v>
      </c>
      <c r="K75" s="21" t="s">
        <v>8</v>
      </c>
      <c r="L75" s="21" t="s">
        <v>96</v>
      </c>
      <c r="M75" s="22" t="s">
        <v>10</v>
      </c>
      <c r="N75" s="23"/>
      <c r="O75" s="24">
        <v>42997.0</v>
      </c>
      <c r="P75" s="24">
        <v>42997.0</v>
      </c>
      <c r="Q75" s="25">
        <v>36.0</v>
      </c>
      <c r="R75" s="26">
        <f>IFERROR(__xludf.DUMMYFUNCTION("IF (OR( Q75 = """" , P75 =""""), """" , IF(Q75 = ""Menos de 1 mês"" , ""antes de ""&amp; TO_TEXT( EDATE(P75, 1)), EDATE(P75,Q75)))"),44093.0)</f>
        <v>44093</v>
      </c>
      <c r="S75" s="37"/>
      <c r="T75" s="19">
        <v>144000.0</v>
      </c>
      <c r="U75" s="19">
        <v>144000.0</v>
      </c>
      <c r="V75" s="27">
        <v>43377.0</v>
      </c>
      <c r="W75" s="21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</row>
    <row r="76" ht="60.0" customHeight="1">
      <c r="A76" s="14" t="str">
        <f>if(H76&lt;&gt;"",VLOOKUP(H76,ID!$A$2:$C$999,3,FALSE),"") </f>
        <v>BT0073</v>
      </c>
      <c r="B76" s="15" t="s">
        <v>0</v>
      </c>
      <c r="C76" s="16" t="s">
        <v>1</v>
      </c>
      <c r="D76" s="17" t="s">
        <v>354</v>
      </c>
      <c r="E76" s="18" t="s">
        <v>369</v>
      </c>
      <c r="F76" s="21">
        <v>384.0</v>
      </c>
      <c r="G76" s="21" t="s">
        <v>370</v>
      </c>
      <c r="H76" s="21" t="s">
        <v>371</v>
      </c>
      <c r="I76" s="22" t="s">
        <v>319</v>
      </c>
      <c r="J76" s="21" t="s">
        <v>341</v>
      </c>
      <c r="K76" s="21" t="s">
        <v>8</v>
      </c>
      <c r="L76" s="21" t="s">
        <v>30</v>
      </c>
      <c r="M76" s="22" t="s">
        <v>62</v>
      </c>
      <c r="N76" s="23"/>
      <c r="O76" s="24">
        <v>44147.0</v>
      </c>
      <c r="P76" s="24">
        <v>44147.0</v>
      </c>
      <c r="Q76" s="25">
        <v>36.0</v>
      </c>
      <c r="R76" s="26">
        <f>IFERROR(__xludf.DUMMYFUNCTION("IF (OR( Q76 = """" , P76 =""""), """" , IF(Q76 = ""Menos de 1 mês"" , ""antes de ""&amp; TO_TEXT( EDATE(P76, 1)), EDATE(P76,Q76)))"),45242.0)</f>
        <v>45242</v>
      </c>
      <c r="S76" s="21">
        <v>1.0</v>
      </c>
      <c r="T76" s="19">
        <v>4800.0</v>
      </c>
      <c r="U76" s="19">
        <v>4800.0</v>
      </c>
      <c r="V76" s="27">
        <v>44317.0</v>
      </c>
      <c r="W76" s="21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</row>
    <row r="77" ht="60.0" customHeight="1">
      <c r="A77" s="14" t="str">
        <f>if(H77&lt;&gt;"",VLOOKUP(H77,ID!$A$2:$C$999,3,FALSE),"") </f>
        <v>BT0074</v>
      </c>
      <c r="B77" s="15" t="s">
        <v>0</v>
      </c>
      <c r="C77" s="16" t="s">
        <v>1</v>
      </c>
      <c r="D77" s="17" t="s">
        <v>2</v>
      </c>
      <c r="E77" s="18" t="s">
        <v>372</v>
      </c>
      <c r="F77" s="21" t="s">
        <v>373</v>
      </c>
      <c r="G77" s="21" t="s">
        <v>374</v>
      </c>
      <c r="H77" s="21" t="s">
        <v>375</v>
      </c>
      <c r="I77" s="22" t="s">
        <v>376</v>
      </c>
      <c r="J77" s="21" t="s">
        <v>377</v>
      </c>
      <c r="K77" s="21" t="s">
        <v>8</v>
      </c>
      <c r="L77" s="21" t="s">
        <v>9</v>
      </c>
      <c r="M77" s="22" t="s">
        <v>10</v>
      </c>
      <c r="N77" s="23"/>
      <c r="O77" s="24">
        <v>42948.0</v>
      </c>
      <c r="P77" s="24">
        <v>42948.0</v>
      </c>
      <c r="Q77" s="25">
        <v>36.0</v>
      </c>
      <c r="R77" s="26">
        <f>IFERROR(__xludf.DUMMYFUNCTION("IF (OR( Q77 = """" , P77 =""""), """" , IF(Q77 = ""Menos de 1 mês"" , ""antes de ""&amp; TO_TEXT( EDATE(P77, 1)), EDATE(P77,Q77)))"),44044.0)</f>
        <v>44044</v>
      </c>
      <c r="S77" s="21">
        <v>1.0</v>
      </c>
      <c r="T77" s="19">
        <v>36000.0</v>
      </c>
      <c r="U77" s="19">
        <v>36000.0</v>
      </c>
      <c r="V77" s="27">
        <v>43377.0</v>
      </c>
      <c r="W77" s="21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</row>
    <row r="78" ht="60.0" customHeight="1">
      <c r="A78" s="14" t="str">
        <f>if(H78&lt;&gt;"",VLOOKUP(H78,ID!$A$2:$C$999,3,FALSE),"") </f>
        <v>BT0075</v>
      </c>
      <c r="B78" s="15" t="s">
        <v>0</v>
      </c>
      <c r="C78" s="16" t="s">
        <v>1</v>
      </c>
      <c r="D78" s="17" t="s">
        <v>33</v>
      </c>
      <c r="E78" s="18" t="s">
        <v>378</v>
      </c>
      <c r="F78" s="21">
        <v>349.0</v>
      </c>
      <c r="G78" s="21" t="s">
        <v>379</v>
      </c>
      <c r="H78" s="21" t="s">
        <v>380</v>
      </c>
      <c r="I78" s="22" t="s">
        <v>381</v>
      </c>
      <c r="J78" s="21" t="s">
        <v>382</v>
      </c>
      <c r="K78" s="21" t="s">
        <v>8</v>
      </c>
      <c r="L78" s="21" t="s">
        <v>9</v>
      </c>
      <c r="M78" s="22" t="s">
        <v>10</v>
      </c>
      <c r="N78" s="23"/>
      <c r="O78" s="24">
        <v>42992.0</v>
      </c>
      <c r="P78" s="24">
        <v>42992.0</v>
      </c>
      <c r="Q78" s="25">
        <v>36.0</v>
      </c>
      <c r="R78" s="26">
        <f>IFERROR(__xludf.DUMMYFUNCTION("IF (OR( Q78 = """" , P78 =""""), """" , IF(Q78 = ""Menos de 1 mês"" , ""antes de ""&amp; TO_TEXT( EDATE(P78, 1)), EDATE(P78,Q78)))"),44088.0)</f>
        <v>44088</v>
      </c>
      <c r="S78" s="21">
        <v>1.0</v>
      </c>
      <c r="T78" s="19">
        <v>36000.0</v>
      </c>
      <c r="U78" s="19">
        <v>36000.0</v>
      </c>
      <c r="V78" s="27">
        <v>43377.0</v>
      </c>
      <c r="W78" s="21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</row>
    <row r="79" ht="60.0" customHeight="1">
      <c r="A79" s="14" t="str">
        <f>if(H79&lt;&gt;"",VLOOKUP(H79,ID!$A$2:$C$999,3,FALSE),"") </f>
        <v>BT0076</v>
      </c>
      <c r="B79" s="15" t="s">
        <v>0</v>
      </c>
      <c r="C79" s="16" t="s">
        <v>1</v>
      </c>
      <c r="D79" s="17" t="s">
        <v>155</v>
      </c>
      <c r="E79" s="18" t="s">
        <v>383</v>
      </c>
      <c r="F79" s="21">
        <v>2280.0</v>
      </c>
      <c r="G79" s="21" t="s">
        <v>384</v>
      </c>
      <c r="H79" s="21" t="s">
        <v>385</v>
      </c>
      <c r="I79" s="22" t="s">
        <v>386</v>
      </c>
      <c r="J79" s="21" t="s">
        <v>387</v>
      </c>
      <c r="K79" s="21" t="s">
        <v>8</v>
      </c>
      <c r="L79" s="21" t="s">
        <v>9</v>
      </c>
      <c r="M79" s="22" t="s">
        <v>10</v>
      </c>
      <c r="N79" s="23"/>
      <c r="O79" s="24">
        <v>43018.0</v>
      </c>
      <c r="P79" s="24">
        <v>43018.0</v>
      </c>
      <c r="Q79" s="25">
        <v>36.0</v>
      </c>
      <c r="R79" s="26">
        <f>IFERROR(__xludf.DUMMYFUNCTION("IF (OR( Q79 = """" , P79 =""""), """" , IF(Q79 = ""Menos de 1 mês"" , ""antes de ""&amp; TO_TEXT( EDATE(P79, 1)), EDATE(P79,Q79)))"),44114.0)</f>
        <v>44114</v>
      </c>
      <c r="S79" s="21">
        <v>2.0</v>
      </c>
      <c r="T79" s="19">
        <v>7200.0</v>
      </c>
      <c r="U79" s="19">
        <v>7200.0</v>
      </c>
      <c r="V79" s="27">
        <v>43377.0</v>
      </c>
      <c r="W79" s="21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</row>
    <row r="80" ht="60.0" customHeight="1">
      <c r="A80" s="14" t="str">
        <f>if(H80&lt;&gt;"",VLOOKUP(H80,ID!$A$2:$C$999,3,FALSE),"") </f>
        <v>BT0077</v>
      </c>
      <c r="B80" s="15" t="s">
        <v>0</v>
      </c>
      <c r="C80" s="16" t="s">
        <v>1</v>
      </c>
      <c r="D80" s="38" t="s">
        <v>33</v>
      </c>
      <c r="E80" s="39" t="s">
        <v>388</v>
      </c>
      <c r="F80" s="39">
        <v>130.0</v>
      </c>
      <c r="G80" s="40" t="s">
        <v>389</v>
      </c>
      <c r="H80" s="39" t="s">
        <v>390</v>
      </c>
      <c r="I80" s="39" t="s">
        <v>391</v>
      </c>
      <c r="J80" s="39" t="s">
        <v>392</v>
      </c>
      <c r="K80" s="21" t="s">
        <v>8</v>
      </c>
      <c r="L80" s="21" t="s">
        <v>30</v>
      </c>
      <c r="M80" s="22" t="s">
        <v>126</v>
      </c>
      <c r="N80" s="23"/>
      <c r="O80" s="41">
        <v>44208.0</v>
      </c>
      <c r="P80" s="42">
        <v>44208.0</v>
      </c>
      <c r="Q80" s="25">
        <v>36.0</v>
      </c>
      <c r="R80" s="26">
        <f>IFERROR(__xludf.DUMMYFUNCTION("IF (OR( Q80 = """" , P80 =""""), """" , IF(Q80 = ""Menos de 1 mês"" , ""antes de ""&amp; TO_TEXT( EDATE(P80, 1)), EDATE(P80,Q80)))"),45303.0)</f>
        <v>45303</v>
      </c>
      <c r="S80" s="21">
        <v>1.0</v>
      </c>
      <c r="T80" s="43" t="s">
        <v>393</v>
      </c>
      <c r="U80" s="44" t="s">
        <v>393</v>
      </c>
      <c r="V80" s="33">
        <v>44684.0</v>
      </c>
      <c r="W80" s="21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</row>
    <row r="81" ht="60.0" customHeight="1">
      <c r="A81" s="14" t="str">
        <f>if(H81&lt;&gt;"",VLOOKUP(H81,ID!$A$2:$C$999,3,FALSE),"") </f>
        <v>BT0078</v>
      </c>
      <c r="B81" s="15" t="s">
        <v>0</v>
      </c>
      <c r="C81" s="16" t="s">
        <v>1</v>
      </c>
      <c r="D81" s="17" t="s">
        <v>178</v>
      </c>
      <c r="E81" s="18" t="s">
        <v>394</v>
      </c>
      <c r="F81" s="21" t="s">
        <v>395</v>
      </c>
      <c r="G81" s="21" t="s">
        <v>396</v>
      </c>
      <c r="H81" s="21" t="s">
        <v>397</v>
      </c>
      <c r="I81" s="22" t="s">
        <v>398</v>
      </c>
      <c r="J81" s="21" t="s">
        <v>399</v>
      </c>
      <c r="K81" s="21" t="s">
        <v>8</v>
      </c>
      <c r="L81" s="21" t="s">
        <v>30</v>
      </c>
      <c r="M81" s="22" t="s">
        <v>62</v>
      </c>
      <c r="N81" s="23"/>
      <c r="O81" s="24">
        <v>42997.0</v>
      </c>
      <c r="P81" s="24">
        <v>42997.0</v>
      </c>
      <c r="Q81" s="25">
        <v>36.0</v>
      </c>
      <c r="R81" s="26">
        <f>IFERROR(__xludf.DUMMYFUNCTION("IF (OR( Q81 = """" , P81 =""""), """" , IF(Q81 = ""Menos de 1 mês"" , ""antes de ""&amp; TO_TEXT( EDATE(P81, 1)), EDATE(P81,Q81)))"),44093.0)</f>
        <v>44093</v>
      </c>
      <c r="S81" s="21">
        <v>3.0</v>
      </c>
      <c r="T81" s="19">
        <v>72000.0</v>
      </c>
      <c r="U81" s="19">
        <v>72000.0</v>
      </c>
      <c r="V81" s="27">
        <v>43377.0</v>
      </c>
      <c r="W81" s="21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ht="60.0" customHeight="1">
      <c r="A82" s="14" t="str">
        <f>if(H82&lt;&gt;"",VLOOKUP(H82,ID!$A$2:$C$999,3,FALSE),"") </f>
        <v>BT0079</v>
      </c>
      <c r="B82" s="15" t="s">
        <v>0</v>
      </c>
      <c r="C82" s="16" t="s">
        <v>1</v>
      </c>
      <c r="D82" s="17" t="s">
        <v>2</v>
      </c>
      <c r="E82" s="18" t="s">
        <v>400</v>
      </c>
      <c r="F82" s="21">
        <v>859.53</v>
      </c>
      <c r="G82" s="21" t="s">
        <v>401</v>
      </c>
      <c r="H82" s="21" t="s">
        <v>402</v>
      </c>
      <c r="I82" s="22" t="s">
        <v>403</v>
      </c>
      <c r="J82" s="21" t="s">
        <v>404</v>
      </c>
      <c r="K82" s="21" t="s">
        <v>8</v>
      </c>
      <c r="L82" s="21" t="s">
        <v>96</v>
      </c>
      <c r="M82" s="22" t="s">
        <v>10</v>
      </c>
      <c r="N82" s="23"/>
      <c r="O82" s="24">
        <v>42997.0</v>
      </c>
      <c r="P82" s="24">
        <v>42997.0</v>
      </c>
      <c r="Q82" s="25">
        <v>36.0</v>
      </c>
      <c r="R82" s="26">
        <f>IFERROR(__xludf.DUMMYFUNCTION("IF (OR( Q82 = """" , P82 =""""), """" , IF(Q82 = ""Menos de 1 mês"" , ""antes de ""&amp; TO_TEXT( EDATE(P82, 1)), EDATE(P82,Q82)))"),44093.0)</f>
        <v>44093</v>
      </c>
      <c r="S82" s="21">
        <v>2.0</v>
      </c>
      <c r="T82" s="19">
        <v>22340.0</v>
      </c>
      <c r="U82" s="19">
        <v>22340.0</v>
      </c>
      <c r="V82" s="27">
        <v>43377.0</v>
      </c>
      <c r="W82" s="21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ht="60.0" customHeight="1">
      <c r="A83" s="14" t="str">
        <f>if(H83&lt;&gt;"",VLOOKUP(H83,ID!$A$2:$C$999,3,FALSE),"") </f>
        <v>BT0080</v>
      </c>
      <c r="B83" s="15" t="s">
        <v>0</v>
      </c>
      <c r="C83" s="16" t="s">
        <v>1</v>
      </c>
      <c r="D83" s="17" t="s">
        <v>2</v>
      </c>
      <c r="E83" s="18" t="s">
        <v>405</v>
      </c>
      <c r="F83" s="21">
        <v>500.0</v>
      </c>
      <c r="G83" s="21" t="s">
        <v>406</v>
      </c>
      <c r="H83" s="21" t="s">
        <v>407</v>
      </c>
      <c r="I83" s="22" t="s">
        <v>408</v>
      </c>
      <c r="J83" s="21" t="s">
        <v>409</v>
      </c>
      <c r="K83" s="21" t="s">
        <v>8</v>
      </c>
      <c r="L83" s="21" t="s">
        <v>9</v>
      </c>
      <c r="M83" s="22" t="s">
        <v>10</v>
      </c>
      <c r="N83" s="23"/>
      <c r="O83" s="24">
        <v>42997.0</v>
      </c>
      <c r="P83" s="24">
        <v>42997.0</v>
      </c>
      <c r="Q83" s="25">
        <v>36.0</v>
      </c>
      <c r="R83" s="26">
        <f>IFERROR(__xludf.DUMMYFUNCTION("IF (OR( Q83 = """" , P83 =""""), """" , IF(Q83 = ""Menos de 1 mês"" , ""antes de ""&amp; TO_TEXT( EDATE(P83, 1)), EDATE(P83,Q83)))"),44093.0)</f>
        <v>44093</v>
      </c>
      <c r="S83" s="21">
        <v>2.0</v>
      </c>
      <c r="T83" s="19">
        <v>273000.0</v>
      </c>
      <c r="U83" s="19">
        <v>273000.0</v>
      </c>
      <c r="V83" s="27">
        <v>43377.0</v>
      </c>
      <c r="W83" s="21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</row>
    <row r="84" ht="60.0" customHeight="1">
      <c r="A84" s="14" t="str">
        <f>if(H84&lt;&gt;"",VLOOKUP(H84,ID!$A$2:$C$999,3,FALSE),"") </f>
        <v>BT0081</v>
      </c>
      <c r="B84" s="15" t="s">
        <v>0</v>
      </c>
      <c r="C84" s="16" t="s">
        <v>1</v>
      </c>
      <c r="D84" s="17" t="s">
        <v>46</v>
      </c>
      <c r="E84" s="18" t="s">
        <v>410</v>
      </c>
      <c r="F84" s="21">
        <v>120.0</v>
      </c>
      <c r="G84" s="21" t="s">
        <v>411</v>
      </c>
      <c r="H84" s="21" t="s">
        <v>412</v>
      </c>
      <c r="I84" s="22" t="s">
        <v>413</v>
      </c>
      <c r="J84" s="21" t="s">
        <v>250</v>
      </c>
      <c r="K84" s="21" t="s">
        <v>8</v>
      </c>
      <c r="L84" s="21" t="s">
        <v>96</v>
      </c>
      <c r="M84" s="22" t="s">
        <v>10</v>
      </c>
      <c r="N84" s="23"/>
      <c r="O84" s="24">
        <v>43483.0</v>
      </c>
      <c r="P84" s="24">
        <v>43483.0</v>
      </c>
      <c r="Q84" s="25">
        <v>36.0</v>
      </c>
      <c r="R84" s="26">
        <f>IFERROR(__xludf.DUMMYFUNCTION("IF (OR( Q84 = """" , P84 =""""), """" , IF(Q84 = ""Menos de 1 mês"" , ""antes de ""&amp; TO_TEXT( EDATE(P84, 1)), EDATE(P84,Q84)))"),44579.0)</f>
        <v>44579</v>
      </c>
      <c r="S84" s="21">
        <v>1.0</v>
      </c>
      <c r="T84" s="19">
        <v>18000.0</v>
      </c>
      <c r="U84" s="19">
        <v>18000.0</v>
      </c>
      <c r="V84" s="27">
        <v>43482.0</v>
      </c>
      <c r="W84" s="21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ht="60.0" customHeight="1">
      <c r="A85" s="14" t="str">
        <f>if(H85&lt;&gt;"",VLOOKUP(H85,ID!$A$2:$C$999,3,FALSE),"") </f>
        <v>BT0082</v>
      </c>
      <c r="B85" s="15" t="s">
        <v>0</v>
      </c>
      <c r="C85" s="16" t="s">
        <v>1</v>
      </c>
      <c r="D85" s="17" t="s">
        <v>33</v>
      </c>
      <c r="E85" s="18" t="s">
        <v>414</v>
      </c>
      <c r="F85" s="21">
        <v>500.0</v>
      </c>
      <c r="G85" s="21" t="s">
        <v>415</v>
      </c>
      <c r="H85" s="21" t="s">
        <v>416</v>
      </c>
      <c r="I85" s="22" t="s">
        <v>408</v>
      </c>
      <c r="J85" s="21" t="s">
        <v>409</v>
      </c>
      <c r="K85" s="21" t="s">
        <v>8</v>
      </c>
      <c r="L85" s="21" t="s">
        <v>30</v>
      </c>
      <c r="M85" s="22" t="s">
        <v>126</v>
      </c>
      <c r="N85" s="23"/>
      <c r="O85" s="24">
        <v>42997.0</v>
      </c>
      <c r="P85" s="24">
        <v>42997.0</v>
      </c>
      <c r="Q85" s="25">
        <v>36.0</v>
      </c>
      <c r="R85" s="26">
        <f>IFERROR(__xludf.DUMMYFUNCTION("IF (OR( Q85 = """" , P85 =""""), """" , IF(Q85 = ""Menos de 1 mês"" , ""antes de ""&amp; TO_TEXT( EDATE(P85, 1)), EDATE(P85,Q85)))"),44093.0)</f>
        <v>44093</v>
      </c>
      <c r="S85" s="21">
        <v>1.0</v>
      </c>
      <c r="T85" s="19">
        <v>137000.0</v>
      </c>
      <c r="U85" s="19">
        <v>137000.0</v>
      </c>
      <c r="V85" s="27">
        <v>43377.0</v>
      </c>
      <c r="W85" s="21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ht="60.0" customHeight="1">
      <c r="A86" s="14" t="str">
        <f>if(H86&lt;&gt;"",VLOOKUP(H86,ID!$A$2:$C$999,3,FALSE),"") </f>
        <v>BT0083</v>
      </c>
      <c r="B86" s="15" t="s">
        <v>0</v>
      </c>
      <c r="C86" s="16" t="s">
        <v>1</v>
      </c>
      <c r="D86" s="17" t="s">
        <v>33</v>
      </c>
      <c r="E86" s="18" t="s">
        <v>417</v>
      </c>
      <c r="F86" s="21" t="s">
        <v>418</v>
      </c>
      <c r="G86" s="21" t="s">
        <v>419</v>
      </c>
      <c r="H86" s="21" t="s">
        <v>420</v>
      </c>
      <c r="I86" s="22" t="s">
        <v>421</v>
      </c>
      <c r="J86" s="21" t="s">
        <v>422</v>
      </c>
      <c r="K86" s="21" t="s">
        <v>8</v>
      </c>
      <c r="L86" s="21" t="s">
        <v>9</v>
      </c>
      <c r="M86" s="22" t="s">
        <v>10</v>
      </c>
      <c r="N86" s="23"/>
      <c r="O86" s="24">
        <v>42997.0</v>
      </c>
      <c r="P86" s="24">
        <v>42997.0</v>
      </c>
      <c r="Q86" s="25">
        <v>36.0</v>
      </c>
      <c r="R86" s="26">
        <f>IFERROR(__xludf.DUMMYFUNCTION("IF (OR( Q86 = """" , P86 =""""), """" , IF(Q86 = ""Menos de 1 mês"" , ""antes de ""&amp; TO_TEXT( EDATE(P86, 1)), EDATE(P86,Q86)))"),44093.0)</f>
        <v>44093</v>
      </c>
      <c r="S86" s="21">
        <v>1.0</v>
      </c>
      <c r="T86" s="19">
        <v>56500.0</v>
      </c>
      <c r="U86" s="19">
        <v>56500.0</v>
      </c>
      <c r="V86" s="27">
        <v>43377.0</v>
      </c>
      <c r="W86" s="21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ht="60.0" customHeight="1">
      <c r="A87" s="14" t="str">
        <f>if(H87&lt;&gt;"",VLOOKUP(H87,ID!$A$2:$C$999,3,FALSE),"") </f>
        <v>BT0084</v>
      </c>
      <c r="B87" s="15" t="s">
        <v>0</v>
      </c>
      <c r="C87" s="16" t="s">
        <v>1</v>
      </c>
      <c r="D87" s="17" t="s">
        <v>33</v>
      </c>
      <c r="E87" s="18" t="s">
        <v>423</v>
      </c>
      <c r="F87" s="21">
        <v>960.0</v>
      </c>
      <c r="G87" s="21" t="s">
        <v>424</v>
      </c>
      <c r="H87" s="21" t="s">
        <v>425</v>
      </c>
      <c r="I87" s="22" t="s">
        <v>421</v>
      </c>
      <c r="J87" s="21" t="s">
        <v>422</v>
      </c>
      <c r="K87" s="21" t="s">
        <v>8</v>
      </c>
      <c r="L87" s="21" t="s">
        <v>9</v>
      </c>
      <c r="M87" s="22" t="s">
        <v>10</v>
      </c>
      <c r="N87" s="23"/>
      <c r="O87" s="24">
        <v>43018.0</v>
      </c>
      <c r="P87" s="24">
        <v>43018.0</v>
      </c>
      <c r="Q87" s="25">
        <v>36.0</v>
      </c>
      <c r="R87" s="26">
        <f>IFERROR(__xludf.DUMMYFUNCTION("IF (OR( Q87 = """" , P87 =""""), """" , IF(Q87 = ""Menos de 1 mês"" , ""antes de ""&amp; TO_TEXT( EDATE(P87, 1)), EDATE(P87,Q87)))"),44114.0)</f>
        <v>44114</v>
      </c>
      <c r="S87" s="21">
        <v>1.0</v>
      </c>
      <c r="T87" s="19">
        <v>56500.0</v>
      </c>
      <c r="U87" s="19">
        <v>56500.0</v>
      </c>
      <c r="V87" s="27">
        <v>43377.0</v>
      </c>
      <c r="W87" s="21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ht="60.0" customHeight="1">
      <c r="A88" s="14" t="str">
        <f>if(H88&lt;&gt;"",VLOOKUP(H88,ID!$A$2:$C$999,3,FALSE),"") </f>
        <v>BT0085</v>
      </c>
      <c r="B88" s="15" t="s">
        <v>0</v>
      </c>
      <c r="C88" s="16" t="s">
        <v>1</v>
      </c>
      <c r="D88" s="17" t="s">
        <v>46</v>
      </c>
      <c r="E88" s="18" t="s">
        <v>426</v>
      </c>
      <c r="F88" s="21">
        <v>623.0</v>
      </c>
      <c r="G88" s="21" t="s">
        <v>427</v>
      </c>
      <c r="H88" s="21" t="s">
        <v>428</v>
      </c>
      <c r="I88" s="22" t="s">
        <v>429</v>
      </c>
      <c r="J88" s="21" t="s">
        <v>430</v>
      </c>
      <c r="K88" s="21" t="s">
        <v>8</v>
      </c>
      <c r="L88" s="21" t="s">
        <v>9</v>
      </c>
      <c r="M88" s="22" t="s">
        <v>10</v>
      </c>
      <c r="N88" s="23"/>
      <c r="O88" s="24">
        <v>43018.0</v>
      </c>
      <c r="P88" s="24">
        <v>43018.0</v>
      </c>
      <c r="Q88" s="25">
        <v>36.0</v>
      </c>
      <c r="R88" s="26">
        <f>IFERROR(__xludf.DUMMYFUNCTION("IF (OR( Q88 = """" , P88 =""""), """" , IF(Q88 = ""Menos de 1 mês"" , ""antes de ""&amp; TO_TEXT( EDATE(P88, 1)), EDATE(P88,Q88)))"),44114.0)</f>
        <v>44114</v>
      </c>
      <c r="S88" s="21">
        <v>1.0</v>
      </c>
      <c r="T88" s="19">
        <v>25200.0</v>
      </c>
      <c r="U88" s="19">
        <v>25200.0</v>
      </c>
      <c r="V88" s="27">
        <v>43377.0</v>
      </c>
      <c r="W88" s="21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</row>
    <row r="89" ht="60.0" customHeight="1">
      <c r="A89" s="14" t="str">
        <f>if(H89&lt;&gt;"",VLOOKUP(H89,ID!$A$2:$C$999,3,FALSE),"") </f>
        <v>BT0086</v>
      </c>
      <c r="B89" s="15" t="s">
        <v>0</v>
      </c>
      <c r="C89" s="16" t="s">
        <v>1</v>
      </c>
      <c r="D89" s="17" t="s">
        <v>155</v>
      </c>
      <c r="E89" s="18" t="s">
        <v>431</v>
      </c>
      <c r="F89" s="21">
        <v>2.2</v>
      </c>
      <c r="G89" s="21" t="s">
        <v>432</v>
      </c>
      <c r="H89" s="21" t="s">
        <v>433</v>
      </c>
      <c r="I89" s="22" t="s">
        <v>434</v>
      </c>
      <c r="J89" s="21" t="s">
        <v>435</v>
      </c>
      <c r="K89" s="21" t="s">
        <v>8</v>
      </c>
      <c r="L89" s="21" t="s">
        <v>30</v>
      </c>
      <c r="M89" s="22" t="s">
        <v>62</v>
      </c>
      <c r="N89" s="23"/>
      <c r="O89" s="24">
        <v>42997.0</v>
      </c>
      <c r="P89" s="24">
        <v>42997.0</v>
      </c>
      <c r="Q89" s="25">
        <v>36.0</v>
      </c>
      <c r="R89" s="26">
        <f>IFERROR(__xludf.DUMMYFUNCTION("IF (OR( Q89 = """" , P89 =""""), """" , IF(Q89 = ""Menos de 1 mês"" , ""antes de ""&amp; TO_TEXT( EDATE(P89, 1)), EDATE(P89,Q89)))"),44093.0)</f>
        <v>44093</v>
      </c>
      <c r="S89" s="21">
        <v>2.0</v>
      </c>
      <c r="T89" s="19">
        <v>36000.0</v>
      </c>
      <c r="U89" s="19">
        <v>36000.0</v>
      </c>
      <c r="V89" s="27">
        <v>43377.0</v>
      </c>
      <c r="W89" s="21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</row>
    <row r="90" ht="60.0" customHeight="1">
      <c r="A90" s="14" t="str">
        <f>if(H90&lt;&gt;"",VLOOKUP(H90,ID!$A$2:$C$999,3,FALSE),"") </f>
        <v>BT0087</v>
      </c>
      <c r="B90" s="15" t="s">
        <v>0</v>
      </c>
      <c r="C90" s="16" t="s">
        <v>1</v>
      </c>
      <c r="D90" s="17" t="s">
        <v>155</v>
      </c>
      <c r="E90" s="18" t="s">
        <v>436</v>
      </c>
      <c r="F90" s="21">
        <v>280.0</v>
      </c>
      <c r="G90" s="21" t="s">
        <v>437</v>
      </c>
      <c r="H90" s="21" t="s">
        <v>438</v>
      </c>
      <c r="I90" s="22" t="s">
        <v>439</v>
      </c>
      <c r="J90" s="21" t="s">
        <v>440</v>
      </c>
      <c r="K90" s="21" t="s">
        <v>8</v>
      </c>
      <c r="L90" s="21" t="s">
        <v>9</v>
      </c>
      <c r="M90" s="22" t="s">
        <v>10</v>
      </c>
      <c r="N90" s="23"/>
      <c r="O90" s="24">
        <v>43006.0</v>
      </c>
      <c r="P90" s="24">
        <v>43006.0</v>
      </c>
      <c r="Q90" s="25">
        <v>36.0</v>
      </c>
      <c r="R90" s="26">
        <f>IFERROR(__xludf.DUMMYFUNCTION("IF (OR( Q90 = """" , P90 =""""), """" , IF(Q90 = ""Menos de 1 mês"" , ""antes de ""&amp; TO_TEXT( EDATE(P90, 1)), EDATE(P90,Q90)))"),44102.0)</f>
        <v>44102</v>
      </c>
      <c r="S90" s="21">
        <v>1.0</v>
      </c>
      <c r="T90" s="19">
        <v>18500.0</v>
      </c>
      <c r="U90" s="19">
        <v>18500.0</v>
      </c>
      <c r="V90" s="27">
        <v>43377.0</v>
      </c>
      <c r="W90" s="21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</row>
    <row r="91" ht="60.0" customHeight="1">
      <c r="A91" s="14" t="str">
        <f>if(H91&lt;&gt;"",VLOOKUP(H91,ID!$A$2:$C$999,3,FALSE),"") </f>
        <v>BT0088</v>
      </c>
      <c r="B91" s="15" t="s">
        <v>0</v>
      </c>
      <c r="C91" s="16" t="s">
        <v>1</v>
      </c>
      <c r="D91" s="17" t="s">
        <v>2</v>
      </c>
      <c r="E91" s="18" t="s">
        <v>441</v>
      </c>
      <c r="F91" s="21">
        <v>150.0</v>
      </c>
      <c r="G91" s="21" t="s">
        <v>442</v>
      </c>
      <c r="H91" s="21" t="s">
        <v>443</v>
      </c>
      <c r="I91" s="22" t="s">
        <v>444</v>
      </c>
      <c r="J91" s="21" t="s">
        <v>346</v>
      </c>
      <c r="K91" s="21" t="s">
        <v>8</v>
      </c>
      <c r="L91" s="21" t="s">
        <v>30</v>
      </c>
      <c r="M91" s="22" t="s">
        <v>62</v>
      </c>
      <c r="N91" s="23"/>
      <c r="O91" s="24">
        <v>44288.0</v>
      </c>
      <c r="P91" s="24">
        <v>44288.0</v>
      </c>
      <c r="Q91" s="25">
        <v>36.0</v>
      </c>
      <c r="R91" s="26">
        <f>IFERROR(__xludf.DUMMYFUNCTION("IF (OR( Q91 = """" , P91 =""""), """" , IF(Q91 = ""Menos de 1 mês"" , ""antes de ""&amp; TO_TEXT( EDATE(P91, 1)), EDATE(P91,Q91)))"),45384.0)</f>
        <v>45384</v>
      </c>
      <c r="S91" s="21">
        <v>1.0</v>
      </c>
      <c r="T91" s="19">
        <v>55200.0</v>
      </c>
      <c r="U91" s="19">
        <v>55200.0</v>
      </c>
      <c r="V91" s="31" t="s">
        <v>231</v>
      </c>
      <c r="W91" s="21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</row>
    <row r="92" ht="60.0" customHeight="1">
      <c r="A92" s="14" t="str">
        <f>if(H92&lt;&gt;"",VLOOKUP(H92,ID!$A$2:$C$999,3,FALSE),"") </f>
        <v>BT0089</v>
      </c>
      <c r="B92" s="15" t="s">
        <v>0</v>
      </c>
      <c r="C92" s="16" t="s">
        <v>1</v>
      </c>
      <c r="D92" s="17" t="s">
        <v>46</v>
      </c>
      <c r="E92" s="18" t="s">
        <v>445</v>
      </c>
      <c r="F92" s="19">
        <v>2512.0</v>
      </c>
      <c r="G92" s="21" t="s">
        <v>446</v>
      </c>
      <c r="H92" s="21" t="s">
        <v>447</v>
      </c>
      <c r="I92" s="22" t="s">
        <v>448</v>
      </c>
      <c r="J92" s="21" t="s">
        <v>449</v>
      </c>
      <c r="K92" s="21" t="s">
        <v>8</v>
      </c>
      <c r="L92" s="21" t="s">
        <v>9</v>
      </c>
      <c r="M92" s="22" t="s">
        <v>10</v>
      </c>
      <c r="N92" s="23"/>
      <c r="O92" s="24">
        <v>43018.0</v>
      </c>
      <c r="P92" s="24">
        <v>43018.0</v>
      </c>
      <c r="Q92" s="25">
        <v>36.0</v>
      </c>
      <c r="R92" s="26">
        <f>IFERROR(__xludf.DUMMYFUNCTION("IF (OR( Q92 = """" , P92 =""""), """" , IF(Q92 = ""Menos de 1 mês"" , ""antes de ""&amp; TO_TEXT( EDATE(P92, 1)), EDATE(P92,Q92)))"),44114.0)</f>
        <v>44114</v>
      </c>
      <c r="S92" s="21">
        <v>3.0</v>
      </c>
      <c r="T92" s="19">
        <v>172800.0</v>
      </c>
      <c r="U92" s="19">
        <v>172800.0</v>
      </c>
      <c r="V92" s="27">
        <v>43377.0</v>
      </c>
      <c r="W92" s="21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</row>
    <row r="93" ht="60.0" customHeight="1">
      <c r="A93" s="14" t="str">
        <f>if(H93&lt;&gt;"",VLOOKUP(H93,ID!$A$2:$C$999,3,FALSE),"") </f>
        <v>BT0090</v>
      </c>
      <c r="B93" s="15" t="s">
        <v>0</v>
      </c>
      <c r="C93" s="16" t="s">
        <v>1</v>
      </c>
      <c r="D93" s="17" t="s">
        <v>33</v>
      </c>
      <c r="E93" s="18" t="s">
        <v>450</v>
      </c>
      <c r="F93" s="19">
        <v>10000.0</v>
      </c>
      <c r="G93" s="21" t="s">
        <v>451</v>
      </c>
      <c r="H93" s="21" t="s">
        <v>452</v>
      </c>
      <c r="I93" s="22" t="s">
        <v>453</v>
      </c>
      <c r="J93" s="21" t="s">
        <v>346</v>
      </c>
      <c r="K93" s="21" t="s">
        <v>8</v>
      </c>
      <c r="L93" s="21" t="s">
        <v>9</v>
      </c>
      <c r="M93" s="22" t="s">
        <v>10</v>
      </c>
      <c r="N93" s="23"/>
      <c r="O93" s="24">
        <v>44147.0</v>
      </c>
      <c r="P93" s="24">
        <v>44147.0</v>
      </c>
      <c r="Q93" s="25">
        <v>36.0</v>
      </c>
      <c r="R93" s="26">
        <f>IFERROR(__xludf.DUMMYFUNCTION("IF (OR( Q93 = """" , P93 =""""), """" , IF(Q93 = ""Menos de 1 mês"" , ""antes de ""&amp; TO_TEXT( EDATE(P93, 1)), EDATE(P93,Q93)))"),45242.0)</f>
        <v>45242</v>
      </c>
      <c r="S93" s="21">
        <v>7.0</v>
      </c>
      <c r="T93" s="19">
        <v>144000.0</v>
      </c>
      <c r="U93" s="19">
        <v>144000.0</v>
      </c>
      <c r="V93" s="27">
        <v>44317.0</v>
      </c>
      <c r="W93" s="21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</row>
    <row r="94" ht="60.0" customHeight="1">
      <c r="A94" s="14" t="str">
        <f>if(H94&lt;&gt;"",VLOOKUP(H94,ID!$A$2:$C$999,3,FALSE),"") </f>
        <v>BT0091</v>
      </c>
      <c r="B94" s="15" t="s">
        <v>0</v>
      </c>
      <c r="C94" s="16" t="s">
        <v>1</v>
      </c>
      <c r="D94" s="17" t="s">
        <v>155</v>
      </c>
      <c r="E94" s="18" t="s">
        <v>454</v>
      </c>
      <c r="F94" s="21">
        <v>960.0</v>
      </c>
      <c r="G94" s="21" t="s">
        <v>455</v>
      </c>
      <c r="H94" s="21" t="s">
        <v>456</v>
      </c>
      <c r="I94" s="22" t="s">
        <v>457</v>
      </c>
      <c r="J94" s="21" t="s">
        <v>458</v>
      </c>
      <c r="K94" s="21" t="s">
        <v>8</v>
      </c>
      <c r="L94" s="21" t="s">
        <v>30</v>
      </c>
      <c r="M94" s="22" t="s">
        <v>62</v>
      </c>
      <c r="N94" s="23"/>
      <c r="O94" s="24">
        <v>44288.0</v>
      </c>
      <c r="P94" s="24">
        <v>44288.0</v>
      </c>
      <c r="Q94" s="25">
        <v>36.0</v>
      </c>
      <c r="R94" s="26">
        <f>IFERROR(__xludf.DUMMYFUNCTION("IF (OR( Q94 = """" , P94 =""""), """" , IF(Q94 = ""Menos de 1 mês"" , ""antes de ""&amp; TO_TEXT( EDATE(P94, 1)), EDATE(P94,Q94)))"),45384.0)</f>
        <v>45384</v>
      </c>
      <c r="S94" s="21">
        <v>2.0</v>
      </c>
      <c r="T94" s="19">
        <v>13680.0</v>
      </c>
      <c r="U94" s="19">
        <v>13680.0</v>
      </c>
      <c r="V94" s="31" t="s">
        <v>459</v>
      </c>
      <c r="W94" s="21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</row>
    <row r="95" ht="60.0" customHeight="1">
      <c r="A95" s="14" t="str">
        <f>if(H95&lt;&gt;"",VLOOKUP(H95,ID!$A$2:$C$999,3,FALSE),"") </f>
        <v>BT0092</v>
      </c>
      <c r="B95" s="15" t="s">
        <v>0</v>
      </c>
      <c r="C95" s="16" t="s">
        <v>1</v>
      </c>
      <c r="D95" s="17" t="s">
        <v>33</v>
      </c>
      <c r="E95" s="18" t="s">
        <v>460</v>
      </c>
      <c r="F95" s="19">
        <v>10000.0</v>
      </c>
      <c r="G95" s="21" t="s">
        <v>461</v>
      </c>
      <c r="H95" s="21" t="s">
        <v>462</v>
      </c>
      <c r="I95" s="22" t="s">
        <v>463</v>
      </c>
      <c r="J95" s="21" t="s">
        <v>464</v>
      </c>
      <c r="K95" s="21" t="s">
        <v>8</v>
      </c>
      <c r="L95" s="21" t="s">
        <v>9</v>
      </c>
      <c r="M95" s="22" t="s">
        <v>10</v>
      </c>
      <c r="N95" s="23"/>
      <c r="O95" s="24">
        <v>44502.0</v>
      </c>
      <c r="P95" s="24">
        <v>44502.0</v>
      </c>
      <c r="Q95" s="25">
        <v>36.0</v>
      </c>
      <c r="R95" s="26">
        <f>IFERROR(__xludf.DUMMYFUNCTION("IF (OR( Q95 = """" , P95 =""""), """" , IF(Q95 = ""Menos de 1 mês"" , ""antes de ""&amp; TO_TEXT( EDATE(P95, 1)), EDATE(P95,Q95)))"),45598.0)</f>
        <v>45598</v>
      </c>
      <c r="S95" s="21">
        <v>8.0</v>
      </c>
      <c r="T95" s="21">
        <v>108.0</v>
      </c>
      <c r="U95" s="21">
        <v>108.0</v>
      </c>
      <c r="V95" s="27">
        <v>44502.0</v>
      </c>
      <c r="W95" s="21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</row>
    <row r="96" ht="60.0" customHeight="1">
      <c r="A96" s="14" t="str">
        <f>if(H96&lt;&gt;"",VLOOKUP(H96,ID!$A$2:$C$999,3,FALSE),"") </f>
        <v>BT0093</v>
      </c>
      <c r="B96" s="15" t="s">
        <v>0</v>
      </c>
      <c r="C96" s="16" t="s">
        <v>1</v>
      </c>
      <c r="D96" s="17" t="s">
        <v>155</v>
      </c>
      <c r="E96" s="18" t="s">
        <v>465</v>
      </c>
      <c r="F96" s="21" t="s">
        <v>466</v>
      </c>
      <c r="G96" s="21" t="s">
        <v>467</v>
      </c>
      <c r="H96" s="21" t="s">
        <v>468</v>
      </c>
      <c r="I96" s="22" t="s">
        <v>469</v>
      </c>
      <c r="J96" s="21" t="s">
        <v>470</v>
      </c>
      <c r="K96" s="21" t="s">
        <v>8</v>
      </c>
      <c r="L96" s="21" t="s">
        <v>9</v>
      </c>
      <c r="M96" s="22" t="s">
        <v>10</v>
      </c>
      <c r="N96" s="23"/>
      <c r="O96" s="24">
        <v>44288.0</v>
      </c>
      <c r="P96" s="24">
        <v>44288.0</v>
      </c>
      <c r="Q96" s="25">
        <v>36.0</v>
      </c>
      <c r="R96" s="26">
        <f>IFERROR(__xludf.DUMMYFUNCTION("IF (OR( Q96 = """" , P96 =""""), """" , IF(Q96 = ""Menos de 1 mês"" , ""antes de ""&amp; TO_TEXT( EDATE(P96, 1)), EDATE(P96,Q96)))"),45384.0)</f>
        <v>45384</v>
      </c>
      <c r="S96" s="21">
        <v>1.0</v>
      </c>
      <c r="T96" s="19">
        <v>37000.0</v>
      </c>
      <c r="U96" s="19">
        <v>37000.0</v>
      </c>
      <c r="V96" s="31" t="s">
        <v>231</v>
      </c>
      <c r="W96" s="21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</row>
    <row r="97" ht="60.0" customHeight="1">
      <c r="A97" s="14" t="str">
        <f>if(H97&lt;&gt;"",VLOOKUP(H97,ID!$A$2:$C$999,3,FALSE),"") </f>
        <v>BT0094</v>
      </c>
      <c r="B97" s="15" t="s">
        <v>0</v>
      </c>
      <c r="C97" s="16" t="s">
        <v>1</v>
      </c>
      <c r="D97" s="17" t="s">
        <v>155</v>
      </c>
      <c r="E97" s="18" t="s">
        <v>471</v>
      </c>
      <c r="F97" s="21" t="s">
        <v>472</v>
      </c>
      <c r="G97" s="21" t="s">
        <v>473</v>
      </c>
      <c r="H97" s="21" t="s">
        <v>474</v>
      </c>
      <c r="I97" s="22" t="s">
        <v>469</v>
      </c>
      <c r="J97" s="21" t="s">
        <v>470</v>
      </c>
      <c r="K97" s="21" t="s">
        <v>8</v>
      </c>
      <c r="L97" s="21" t="s">
        <v>9</v>
      </c>
      <c r="M97" s="22" t="s">
        <v>10</v>
      </c>
      <c r="N97" s="23"/>
      <c r="O97" s="24">
        <v>44288.0</v>
      </c>
      <c r="P97" s="24">
        <v>44288.0</v>
      </c>
      <c r="Q97" s="25">
        <v>36.0</v>
      </c>
      <c r="R97" s="26">
        <f>IFERROR(__xludf.DUMMYFUNCTION("IF (OR( Q97 = """" , P97 =""""), """" , IF(Q97 = ""Menos de 1 mês"" , ""antes de ""&amp; TO_TEXT( EDATE(P97, 1)), EDATE(P97,Q97)))"),45384.0)</f>
        <v>45384</v>
      </c>
      <c r="S97" s="21">
        <v>1.0</v>
      </c>
      <c r="T97" s="19">
        <v>37000.0</v>
      </c>
      <c r="U97" s="19">
        <v>37000.0</v>
      </c>
      <c r="V97" s="27">
        <v>44409.0</v>
      </c>
      <c r="W97" s="21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</row>
    <row r="98" ht="60.0" customHeight="1">
      <c r="A98" s="14" t="str">
        <f>if(H98&lt;&gt;"",VLOOKUP(H98,ID!$A$2:$C$999,3,FALSE),"") </f>
        <v>BT0095</v>
      </c>
      <c r="B98" s="15" t="s">
        <v>0</v>
      </c>
      <c r="C98" s="16" t="s">
        <v>1</v>
      </c>
      <c r="D98" s="17" t="s">
        <v>155</v>
      </c>
      <c r="E98" s="18" t="s">
        <v>475</v>
      </c>
      <c r="F98" s="21" t="s">
        <v>476</v>
      </c>
      <c r="G98" s="21" t="s">
        <v>477</v>
      </c>
      <c r="H98" s="21" t="s">
        <v>478</v>
      </c>
      <c r="I98" s="22" t="s">
        <v>469</v>
      </c>
      <c r="J98" s="21" t="s">
        <v>470</v>
      </c>
      <c r="K98" s="21" t="s">
        <v>8</v>
      </c>
      <c r="L98" s="21" t="s">
        <v>479</v>
      </c>
      <c r="M98" s="22" t="s">
        <v>10</v>
      </c>
      <c r="N98" s="23"/>
      <c r="O98" s="24">
        <v>44288.0</v>
      </c>
      <c r="P98" s="24">
        <v>44288.0</v>
      </c>
      <c r="Q98" s="25">
        <v>36.0</v>
      </c>
      <c r="R98" s="26">
        <f>IFERROR(__xludf.DUMMYFUNCTION("IF (OR( Q98 = """" , P98 =""""), """" , IF(Q98 = ""Menos de 1 mês"" , ""antes de ""&amp; TO_TEXT( EDATE(P98, 1)), EDATE(P98,Q98)))"),45384.0)</f>
        <v>45384</v>
      </c>
      <c r="S98" s="21">
        <v>1.0</v>
      </c>
      <c r="T98" s="19">
        <v>18500.0</v>
      </c>
      <c r="U98" s="19">
        <v>18500.0</v>
      </c>
      <c r="V98" s="27">
        <v>44409.0</v>
      </c>
      <c r="W98" s="21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</row>
    <row r="99" ht="60.0" customHeight="1">
      <c r="A99" s="14" t="str">
        <f>if(H99&lt;&gt;"",VLOOKUP(H99,ID!$A$2:$C$999,3,FALSE),"") </f>
        <v>BT0096</v>
      </c>
      <c r="B99" s="15" t="s">
        <v>0</v>
      </c>
      <c r="C99" s="16" t="s">
        <v>1</v>
      </c>
      <c r="D99" s="17" t="s">
        <v>155</v>
      </c>
      <c r="E99" s="18" t="s">
        <v>480</v>
      </c>
      <c r="F99" s="21" t="s">
        <v>481</v>
      </c>
      <c r="G99" s="36" t="s">
        <v>482</v>
      </c>
      <c r="H99" s="21" t="s">
        <v>483</v>
      </c>
      <c r="I99" s="22" t="s">
        <v>469</v>
      </c>
      <c r="J99" s="21" t="s">
        <v>470</v>
      </c>
      <c r="K99" s="21" t="s">
        <v>8</v>
      </c>
      <c r="L99" s="21" t="s">
        <v>9</v>
      </c>
      <c r="M99" s="22" t="s">
        <v>10</v>
      </c>
      <c r="N99" s="23"/>
      <c r="O99" s="24">
        <v>44288.0</v>
      </c>
      <c r="P99" s="24">
        <v>44288.0</v>
      </c>
      <c r="Q99" s="25">
        <v>36.0</v>
      </c>
      <c r="R99" s="26">
        <f>IFERROR(__xludf.DUMMYFUNCTION("IF (OR( Q99 = """" , P99 =""""), """" , IF(Q99 = ""Menos de 1 mês"" , ""antes de ""&amp; TO_TEXT( EDATE(P99, 1)), EDATE(P99,Q99)))"),45384.0)</f>
        <v>45384</v>
      </c>
      <c r="S99" s="21">
        <v>1.0</v>
      </c>
      <c r="T99" s="19">
        <v>55500.0</v>
      </c>
      <c r="U99" s="19">
        <v>55500.0</v>
      </c>
      <c r="V99" s="27">
        <v>44288.0</v>
      </c>
      <c r="W99" s="45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</row>
    <row r="100" ht="60.0" customHeight="1">
      <c r="A100" s="14" t="str">
        <f>if(H100&lt;&gt;"",VLOOKUP(H100,ID!$A$2:$C$999,3,FALSE),"") </f>
        <v>BT0097</v>
      </c>
      <c r="B100" s="15" t="s">
        <v>0</v>
      </c>
      <c r="C100" s="16" t="s">
        <v>1</v>
      </c>
      <c r="D100" s="17" t="s">
        <v>2</v>
      </c>
      <c r="E100" s="18" t="s">
        <v>484</v>
      </c>
      <c r="F100" s="21">
        <v>2400.0</v>
      </c>
      <c r="G100" s="21" t="s">
        <v>485</v>
      </c>
      <c r="H100" s="21" t="s">
        <v>486</v>
      </c>
      <c r="I100" s="22" t="s">
        <v>487</v>
      </c>
      <c r="J100" s="21" t="s">
        <v>488</v>
      </c>
      <c r="K100" s="21" t="s">
        <v>8</v>
      </c>
      <c r="L100" s="21" t="s">
        <v>9</v>
      </c>
      <c r="M100" s="22" t="s">
        <v>10</v>
      </c>
      <c r="N100" s="23"/>
      <c r="O100" s="29" t="s">
        <v>489</v>
      </c>
      <c r="P100" s="29" t="s">
        <v>489</v>
      </c>
      <c r="Q100" s="25">
        <v>1.0</v>
      </c>
      <c r="R100" s="26" t="str">
        <f>IFERROR(__xludf.DUMMYFUNCTION("IF (OR( Q100 = """" , P100 =""""), """" , IF(Q100 = ""Menos de 1 mês"" , ""antes de ""&amp; TO_TEXT( EDATE(P100, 1)), EDATE(P100,Q100)))"),"#VALUE!")</f>
        <v>#VALUE!</v>
      </c>
      <c r="S100" s="21"/>
      <c r="T100" s="19">
        <v>18000.0</v>
      </c>
      <c r="U100" s="19">
        <v>18000.0</v>
      </c>
      <c r="V100" s="31" t="s">
        <v>307</v>
      </c>
      <c r="W100" s="21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</row>
    <row r="101" ht="60.0" customHeight="1">
      <c r="A101" s="14" t="str">
        <f>if(H101&lt;&gt;"",VLOOKUP(H101,ID!$A$2:$C$999,3,FALSE),"") </f>
        <v>BT0098</v>
      </c>
      <c r="B101" s="15" t="s">
        <v>0</v>
      </c>
      <c r="C101" s="16" t="s">
        <v>1</v>
      </c>
      <c r="D101" s="17" t="s">
        <v>178</v>
      </c>
      <c r="E101" s="18" t="s">
        <v>490</v>
      </c>
      <c r="F101" s="21">
        <v>144.0</v>
      </c>
      <c r="G101" s="21" t="s">
        <v>491</v>
      </c>
      <c r="H101" s="21" t="s">
        <v>492</v>
      </c>
      <c r="I101" s="22" t="s">
        <v>493</v>
      </c>
      <c r="J101" s="21" t="s">
        <v>494</v>
      </c>
      <c r="K101" s="21" t="s">
        <v>8</v>
      </c>
      <c r="L101" s="21" t="s">
        <v>9</v>
      </c>
      <c r="M101" s="22" t="s">
        <v>10</v>
      </c>
      <c r="N101" s="23"/>
      <c r="O101" s="24">
        <v>43046.0</v>
      </c>
      <c r="P101" s="24">
        <v>43046.0</v>
      </c>
      <c r="Q101" s="25">
        <v>36.0</v>
      </c>
      <c r="R101" s="26">
        <f>IFERROR(__xludf.DUMMYFUNCTION("IF (OR( Q101 = """" , P101 =""""), """" , IF(Q101 = ""Menos de 1 mês"" , ""antes de ""&amp; TO_TEXT( EDATE(P101, 1)), EDATE(P101,Q101)))"),44142.0)</f>
        <v>44142</v>
      </c>
      <c r="S101" s="21">
        <v>1.0</v>
      </c>
      <c r="T101" s="19">
        <v>7200.0</v>
      </c>
      <c r="U101" s="19">
        <v>7200.0</v>
      </c>
      <c r="V101" s="27">
        <v>43377.0</v>
      </c>
      <c r="W101" s="21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</row>
    <row r="102" ht="60.0" customHeight="1">
      <c r="A102" s="14" t="str">
        <f>if(H102&lt;&gt;"",VLOOKUP(H102,ID!$A$2:$C$999,3,FALSE),"") </f>
        <v>BT0099</v>
      </c>
      <c r="B102" s="15" t="s">
        <v>0</v>
      </c>
      <c r="C102" s="16" t="s">
        <v>1</v>
      </c>
      <c r="D102" s="17" t="s">
        <v>33</v>
      </c>
      <c r="E102" s="18" t="s">
        <v>495</v>
      </c>
      <c r="F102" s="21">
        <v>402.93</v>
      </c>
      <c r="G102" s="21" t="s">
        <v>496</v>
      </c>
      <c r="H102" s="21" t="s">
        <v>497</v>
      </c>
      <c r="I102" s="22" t="s">
        <v>498</v>
      </c>
      <c r="J102" s="21" t="s">
        <v>499</v>
      </c>
      <c r="K102" s="21" t="s">
        <v>8</v>
      </c>
      <c r="L102" s="21" t="s">
        <v>30</v>
      </c>
      <c r="M102" s="22" t="s">
        <v>500</v>
      </c>
      <c r="N102" s="23"/>
      <c r="O102" s="24">
        <v>43062.0</v>
      </c>
      <c r="P102" s="24">
        <v>43062.0</v>
      </c>
      <c r="Q102" s="25">
        <v>36.0</v>
      </c>
      <c r="R102" s="26">
        <f>IFERROR(__xludf.DUMMYFUNCTION("IF (OR( Q102 = """" , P102 =""""), """" , IF(Q102 = ""Menos de 1 mês"" , ""antes de ""&amp; TO_TEXT( EDATE(P102, 1)), EDATE(P102,Q102)))"),44158.0)</f>
        <v>44158</v>
      </c>
      <c r="S102" s="21">
        <v>1.0</v>
      </c>
      <c r="T102" s="19">
        <v>54000.0</v>
      </c>
      <c r="U102" s="19">
        <v>54000.0</v>
      </c>
      <c r="V102" s="27">
        <v>43377.0</v>
      </c>
      <c r="W102" s="21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</row>
    <row r="103" ht="60.0" customHeight="1">
      <c r="A103" s="14" t="str">
        <f>if(H103&lt;&gt;"",VLOOKUP(H103,ID!$A$2:$C$999,3,FALSE),"") </f>
        <v>BT0100</v>
      </c>
      <c r="B103" s="15" t="s">
        <v>0</v>
      </c>
      <c r="C103" s="16" t="s">
        <v>1</v>
      </c>
      <c r="D103" s="17" t="s">
        <v>33</v>
      </c>
      <c r="E103" s="18" t="s">
        <v>501</v>
      </c>
      <c r="F103" s="21">
        <v>50.0</v>
      </c>
      <c r="G103" s="21" t="s">
        <v>502</v>
      </c>
      <c r="H103" s="21" t="s">
        <v>503</v>
      </c>
      <c r="I103" s="22" t="s">
        <v>504</v>
      </c>
      <c r="J103" s="21" t="s">
        <v>505</v>
      </c>
      <c r="K103" s="21" t="s">
        <v>8</v>
      </c>
      <c r="L103" s="21" t="s">
        <v>9</v>
      </c>
      <c r="M103" s="22" t="s">
        <v>10</v>
      </c>
      <c r="N103" s="23"/>
      <c r="O103" s="24">
        <v>44288.0</v>
      </c>
      <c r="P103" s="24">
        <v>44288.0</v>
      </c>
      <c r="Q103" s="25">
        <v>36.0</v>
      </c>
      <c r="R103" s="26">
        <f>IFERROR(__xludf.DUMMYFUNCTION("IF (OR( Q103 = """" , P103 =""""), """" , IF(Q103 = ""Menos de 1 mês"" , ""antes de ""&amp; TO_TEXT( EDATE(P103, 1)), EDATE(P103,Q103)))"),45384.0)</f>
        <v>45384</v>
      </c>
      <c r="S103" s="21">
        <v>1.0</v>
      </c>
      <c r="T103" s="19">
        <v>54000.0</v>
      </c>
      <c r="U103" s="19">
        <v>54000.0</v>
      </c>
      <c r="V103" s="31" t="s">
        <v>231</v>
      </c>
      <c r="W103" s="21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</row>
    <row r="104" ht="60.0" customHeight="1">
      <c r="A104" s="14" t="str">
        <f>if(H104&lt;&gt;"",VLOOKUP(H104,ID!$A$2:$C$999,3,FALSE),"") </f>
        <v>BT0101</v>
      </c>
      <c r="B104" s="15" t="s">
        <v>0</v>
      </c>
      <c r="C104" s="16" t="s">
        <v>1</v>
      </c>
      <c r="D104" s="17" t="s">
        <v>33</v>
      </c>
      <c r="E104" s="18" t="s">
        <v>506</v>
      </c>
      <c r="F104" s="21">
        <v>85.0</v>
      </c>
      <c r="G104" s="21" t="s">
        <v>507</v>
      </c>
      <c r="H104" s="21" t="s">
        <v>508</v>
      </c>
      <c r="I104" s="22" t="s">
        <v>498</v>
      </c>
      <c r="J104" s="21" t="s">
        <v>499</v>
      </c>
      <c r="K104" s="21" t="s">
        <v>8</v>
      </c>
      <c r="L104" s="21" t="s">
        <v>30</v>
      </c>
      <c r="M104" s="22" t="s">
        <v>500</v>
      </c>
      <c r="N104" s="23"/>
      <c r="O104" s="24">
        <v>43062.0</v>
      </c>
      <c r="P104" s="24">
        <v>43062.0</v>
      </c>
      <c r="Q104" s="25">
        <v>36.0</v>
      </c>
      <c r="R104" s="26">
        <f>IFERROR(__xludf.DUMMYFUNCTION("IF (OR( Q104 = """" , P104 =""""), """" , IF(Q104 = ""Menos de 1 mês"" , ""antes de ""&amp; TO_TEXT( EDATE(P104, 1)), EDATE(P104,Q104)))"),44158.0)</f>
        <v>44158</v>
      </c>
      <c r="S104" s="21">
        <v>1.0</v>
      </c>
      <c r="T104" s="19">
        <v>54000.0</v>
      </c>
      <c r="U104" s="19">
        <v>54000.0</v>
      </c>
      <c r="V104" s="27">
        <v>43377.0</v>
      </c>
      <c r="W104" s="21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</row>
    <row r="105" ht="60.0" customHeight="1">
      <c r="A105" s="14" t="str">
        <f>if(H105&lt;&gt;"",VLOOKUP(H105,ID!$A$2:$C$999,3,FALSE),"") </f>
        <v>BT0102</v>
      </c>
      <c r="B105" s="15" t="s">
        <v>0</v>
      </c>
      <c r="C105" s="16" t="s">
        <v>1</v>
      </c>
      <c r="D105" s="17" t="s">
        <v>2</v>
      </c>
      <c r="E105" s="18" t="s">
        <v>509</v>
      </c>
      <c r="F105" s="21">
        <v>87.0</v>
      </c>
      <c r="G105" s="21" t="s">
        <v>510</v>
      </c>
      <c r="H105" s="21" t="s">
        <v>511</v>
      </c>
      <c r="I105" s="22" t="s">
        <v>222</v>
      </c>
      <c r="J105" s="21" t="s">
        <v>223</v>
      </c>
      <c r="K105" s="21" t="s">
        <v>8</v>
      </c>
      <c r="L105" s="21" t="s">
        <v>96</v>
      </c>
      <c r="M105" s="22" t="s">
        <v>10</v>
      </c>
      <c r="N105" s="23"/>
      <c r="O105" s="24">
        <v>43062.0</v>
      </c>
      <c r="P105" s="24">
        <v>43062.0</v>
      </c>
      <c r="Q105" s="25">
        <v>36.0</v>
      </c>
      <c r="R105" s="26">
        <f>IFERROR(__xludf.DUMMYFUNCTION("IF (OR( Q105 = """" , P105 =""""), """" , IF(Q105 = ""Menos de 1 mês"" , ""antes de ""&amp; TO_TEXT( EDATE(P105, 1)), EDATE(P105,Q105)))"),44158.0)</f>
        <v>44158</v>
      </c>
      <c r="S105" s="21">
        <v>1.0</v>
      </c>
      <c r="T105" s="19">
        <v>11600.0</v>
      </c>
      <c r="U105" s="19">
        <v>11600.0</v>
      </c>
      <c r="V105" s="27">
        <v>43377.0</v>
      </c>
      <c r="W105" s="21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</row>
    <row r="106" ht="60.0" customHeight="1">
      <c r="A106" s="14" t="str">
        <f>if(H106&lt;&gt;"",VLOOKUP(H106,ID!$A$2:$C$999,3,FALSE),"") </f>
        <v>BT0103</v>
      </c>
      <c r="B106" s="15" t="s">
        <v>0</v>
      </c>
      <c r="C106" s="16" t="s">
        <v>1</v>
      </c>
      <c r="D106" s="17" t="s">
        <v>2</v>
      </c>
      <c r="E106" s="18" t="s">
        <v>512</v>
      </c>
      <c r="F106" s="19">
        <v>1482.0</v>
      </c>
      <c r="G106" s="21" t="s">
        <v>513</v>
      </c>
      <c r="H106" s="21" t="s">
        <v>514</v>
      </c>
      <c r="I106" s="22" t="s">
        <v>515</v>
      </c>
      <c r="J106" s="21" t="s">
        <v>516</v>
      </c>
      <c r="K106" s="21" t="s">
        <v>8</v>
      </c>
      <c r="L106" s="21" t="s">
        <v>9</v>
      </c>
      <c r="M106" s="22" t="s">
        <v>10</v>
      </c>
      <c r="N106" s="23"/>
      <c r="O106" s="24">
        <v>43062.0</v>
      </c>
      <c r="P106" s="24">
        <v>43062.0</v>
      </c>
      <c r="Q106" s="25">
        <v>36.0</v>
      </c>
      <c r="R106" s="26">
        <f>IFERROR(__xludf.DUMMYFUNCTION("IF (OR( Q106 = """" , P106 =""""), """" , IF(Q106 = ""Menos de 1 mês"" , ""antes de ""&amp; TO_TEXT( EDATE(P106, 1)), EDATE(P106,Q106)))"),44158.0)</f>
        <v>44158</v>
      </c>
      <c r="S106" s="21">
        <v>1.0</v>
      </c>
      <c r="T106" s="19">
        <v>7200.0</v>
      </c>
      <c r="U106" s="19">
        <v>7200.0</v>
      </c>
      <c r="V106" s="27">
        <v>43377.0</v>
      </c>
      <c r="W106" s="21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</row>
    <row r="107" ht="60.0" customHeight="1">
      <c r="A107" s="14" t="str">
        <f>if(H107&lt;&gt;"",VLOOKUP(H107,ID!$A$2:$C$999,3,FALSE),"") </f>
        <v>BT0104</v>
      </c>
      <c r="B107" s="15" t="s">
        <v>0</v>
      </c>
      <c r="C107" s="16" t="s">
        <v>1</v>
      </c>
      <c r="D107" s="17" t="s">
        <v>33</v>
      </c>
      <c r="E107" s="18" t="s">
        <v>517</v>
      </c>
      <c r="F107" s="19">
        <v>2420.0</v>
      </c>
      <c r="G107" s="21" t="s">
        <v>518</v>
      </c>
      <c r="H107" s="21" t="s">
        <v>519</v>
      </c>
      <c r="I107" s="22" t="s">
        <v>520</v>
      </c>
      <c r="J107" s="21" t="s">
        <v>521</v>
      </c>
      <c r="K107" s="21" t="s">
        <v>8</v>
      </c>
      <c r="L107" s="21" t="s">
        <v>96</v>
      </c>
      <c r="M107" s="22" t="s">
        <v>10</v>
      </c>
      <c r="N107" s="23"/>
      <c r="O107" s="24">
        <v>43105.0</v>
      </c>
      <c r="P107" s="24">
        <v>43105.0</v>
      </c>
      <c r="Q107" s="25">
        <v>36.0</v>
      </c>
      <c r="R107" s="26">
        <f>IFERROR(__xludf.DUMMYFUNCTION("IF (OR( Q107 = """" , P107 =""""), """" , IF(Q107 = ""Menos de 1 mês"" , ""antes de ""&amp; TO_TEXT( EDATE(P107, 1)), EDATE(P107,Q107)))"),44201.0)</f>
        <v>44201</v>
      </c>
      <c r="S107" s="21">
        <v>1.0</v>
      </c>
      <c r="T107" s="19">
        <v>7200.0</v>
      </c>
      <c r="U107" s="19">
        <v>7200.0</v>
      </c>
      <c r="V107" s="27">
        <v>43377.0</v>
      </c>
      <c r="W107" s="21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</row>
    <row r="108" ht="60.0" customHeight="1">
      <c r="A108" s="14" t="str">
        <f>if(H108&lt;&gt;"",VLOOKUP(H108,ID!$A$2:$C$999,3,FALSE),"") </f>
        <v>BT0105</v>
      </c>
      <c r="B108" s="15" t="s">
        <v>0</v>
      </c>
      <c r="C108" s="16" t="s">
        <v>1</v>
      </c>
      <c r="D108" s="17" t="s">
        <v>46</v>
      </c>
      <c r="E108" s="18" t="s">
        <v>522</v>
      </c>
      <c r="F108" s="21">
        <v>10.0</v>
      </c>
      <c r="G108" s="21" t="s">
        <v>523</v>
      </c>
      <c r="H108" s="21" t="s">
        <v>524</v>
      </c>
      <c r="I108" s="22" t="s">
        <v>345</v>
      </c>
      <c r="J108" s="21" t="s">
        <v>346</v>
      </c>
      <c r="K108" s="21" t="s">
        <v>8</v>
      </c>
      <c r="L108" s="21" t="s">
        <v>96</v>
      </c>
      <c r="M108" s="22" t="s">
        <v>10</v>
      </c>
      <c r="N108" s="23"/>
      <c r="O108" s="24">
        <v>44295.0</v>
      </c>
      <c r="P108" s="24">
        <v>45539.0</v>
      </c>
      <c r="Q108" s="25">
        <v>36.0</v>
      </c>
      <c r="R108" s="26">
        <f>IFERROR(__xludf.DUMMYFUNCTION("IF (OR( Q108 = """" , P108 =""""), """" , IF(Q108 = ""Menos de 1 mês"" , ""antes de ""&amp; TO_TEXT( EDATE(P108, 1)), EDATE(P108,Q108)))"),46634.0)</f>
        <v>46634</v>
      </c>
      <c r="S108" s="21">
        <v>7.0</v>
      </c>
      <c r="T108" s="19">
        <v>32000.0</v>
      </c>
      <c r="U108" s="19">
        <v>32000.0</v>
      </c>
      <c r="V108" s="31" t="s">
        <v>525</v>
      </c>
      <c r="W108" s="21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</row>
    <row r="109" ht="60.0" customHeight="1">
      <c r="A109" s="14" t="str">
        <f>if(H109&lt;&gt;"",VLOOKUP(H109,ID!$A$2:$C$999,3,FALSE),"") </f>
        <v>BT0077</v>
      </c>
      <c r="B109" s="15" t="s">
        <v>0</v>
      </c>
      <c r="C109" s="16" t="s">
        <v>1</v>
      </c>
      <c r="D109" s="17" t="s">
        <v>33</v>
      </c>
      <c r="E109" s="18" t="s">
        <v>388</v>
      </c>
      <c r="F109" s="19">
        <v>130.0</v>
      </c>
      <c r="G109" s="21"/>
      <c r="H109" s="21" t="s">
        <v>390</v>
      </c>
      <c r="I109" s="22" t="s">
        <v>526</v>
      </c>
      <c r="J109" s="21" t="s">
        <v>392</v>
      </c>
      <c r="K109" s="21" t="s">
        <v>8</v>
      </c>
      <c r="L109" s="21" t="s">
        <v>30</v>
      </c>
      <c r="M109" s="22" t="s">
        <v>10</v>
      </c>
      <c r="N109" s="23"/>
      <c r="O109" s="24"/>
      <c r="P109" s="24"/>
      <c r="Q109" s="25">
        <v>36.0</v>
      </c>
      <c r="R109" s="26" t="str">
        <f>IFERROR(__xludf.DUMMYFUNCTION("IF (OR( Q109 = """" , P109 =""""), """" , IF(Q109 = ""Menos de 1 mês"" , ""antes de ""&amp; TO_TEXT( EDATE(P109, 1)), EDATE(P109,Q109)))"),"")</f>
        <v/>
      </c>
      <c r="S109" s="21">
        <v>1.0</v>
      </c>
      <c r="T109" s="19">
        <v>10800.0</v>
      </c>
      <c r="U109" s="19">
        <v>10800.0</v>
      </c>
      <c r="V109" s="31" t="s">
        <v>525</v>
      </c>
      <c r="W109" s="21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</row>
    <row r="110" ht="60.0" customHeight="1">
      <c r="A110" s="14" t="str">
        <f>if(H110&lt;&gt;"",VLOOKUP(H110,ID!$A$2:$C$999,3,FALSE),"") </f>
        <v>BT0106</v>
      </c>
      <c r="B110" s="15" t="s">
        <v>0</v>
      </c>
      <c r="C110" s="16" t="s">
        <v>1</v>
      </c>
      <c r="D110" s="17" t="s">
        <v>2</v>
      </c>
      <c r="E110" s="18" t="s">
        <v>527</v>
      </c>
      <c r="F110" s="19">
        <v>3000.0</v>
      </c>
      <c r="G110" s="21" t="s">
        <v>528</v>
      </c>
      <c r="H110" s="21" t="s">
        <v>529</v>
      </c>
      <c r="I110" s="22" t="s">
        <v>530</v>
      </c>
      <c r="J110" s="21" t="s">
        <v>22</v>
      </c>
      <c r="K110" s="21" t="s">
        <v>8</v>
      </c>
      <c r="L110" s="21" t="s">
        <v>9</v>
      </c>
      <c r="M110" s="22" t="s">
        <v>10</v>
      </c>
      <c r="N110" s="23"/>
      <c r="O110" s="24">
        <v>43105.0</v>
      </c>
      <c r="P110" s="24">
        <v>43105.0</v>
      </c>
      <c r="Q110" s="25">
        <v>36.0</v>
      </c>
      <c r="R110" s="26">
        <f>IFERROR(__xludf.DUMMYFUNCTION("IF (OR( Q110 = """" , P110 =""""), """" , IF(Q110 = ""Menos de 1 mês"" , ""antes de ""&amp; TO_TEXT( EDATE(P110, 1)), EDATE(P110,Q110)))"),44201.0)</f>
        <v>44201</v>
      </c>
      <c r="S110" s="21">
        <v>1.0</v>
      </c>
      <c r="T110" s="19">
        <v>32000.0</v>
      </c>
      <c r="U110" s="19">
        <v>32000.0</v>
      </c>
      <c r="V110" s="27">
        <v>43377.0</v>
      </c>
      <c r="W110" s="21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</row>
    <row r="111" ht="60.0" customHeight="1">
      <c r="A111" s="14" t="str">
        <f>if(H111&lt;&gt;"",VLOOKUP(H111,ID!$A$2:$C$999,3,FALSE),"") </f>
        <v>BT0107</v>
      </c>
      <c r="B111" s="15" t="s">
        <v>0</v>
      </c>
      <c r="C111" s="16" t="s">
        <v>1</v>
      </c>
      <c r="D111" s="17" t="s">
        <v>46</v>
      </c>
      <c r="E111" s="18" t="s">
        <v>531</v>
      </c>
      <c r="F111" s="21">
        <v>570.26</v>
      </c>
      <c r="G111" s="21" t="s">
        <v>532</v>
      </c>
      <c r="H111" s="21" t="s">
        <v>533</v>
      </c>
      <c r="I111" s="22" t="s">
        <v>534</v>
      </c>
      <c r="J111" s="21" t="s">
        <v>535</v>
      </c>
      <c r="K111" s="21" t="s">
        <v>8</v>
      </c>
      <c r="L111" s="21" t="s">
        <v>96</v>
      </c>
      <c r="M111" s="22" t="s">
        <v>10</v>
      </c>
      <c r="N111" s="23"/>
      <c r="O111" s="24">
        <v>43105.0</v>
      </c>
      <c r="P111" s="24">
        <v>43105.0</v>
      </c>
      <c r="Q111" s="25">
        <v>36.0</v>
      </c>
      <c r="R111" s="26">
        <f>IFERROR(__xludf.DUMMYFUNCTION("IF (OR( Q111 = """" , P111 =""""), """" , IF(Q111 = ""Menos de 1 mês"" , ""antes de ""&amp; TO_TEXT( EDATE(P111, 1)), EDATE(P111,Q111)))"),44201.0)</f>
        <v>44201</v>
      </c>
      <c r="S111" s="21">
        <v>1.0</v>
      </c>
      <c r="T111" s="19">
        <v>22200.0</v>
      </c>
      <c r="U111" s="19">
        <v>22200.0</v>
      </c>
      <c r="V111" s="27">
        <v>43377.0</v>
      </c>
      <c r="W111" s="21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</row>
    <row r="112" ht="60.0" customHeight="1">
      <c r="A112" s="14" t="str">
        <f>if(H112&lt;&gt;"",VLOOKUP(H112,ID!$A$2:$C$999,3,FALSE),"") </f>
        <v>BT0108</v>
      </c>
      <c r="B112" s="15" t="s">
        <v>0</v>
      </c>
      <c r="C112" s="16" t="s">
        <v>1</v>
      </c>
      <c r="D112" s="17" t="s">
        <v>46</v>
      </c>
      <c r="E112" s="18" t="s">
        <v>536</v>
      </c>
      <c r="F112" s="19">
        <v>2130.0</v>
      </c>
      <c r="G112" s="21" t="s">
        <v>537</v>
      </c>
      <c r="H112" s="21" t="s">
        <v>538</v>
      </c>
      <c r="I112" s="22" t="s">
        <v>130</v>
      </c>
      <c r="J112" s="21" t="s">
        <v>131</v>
      </c>
      <c r="K112" s="21" t="s">
        <v>8</v>
      </c>
      <c r="L112" s="21" t="s">
        <v>96</v>
      </c>
      <c r="M112" s="22" t="s">
        <v>10</v>
      </c>
      <c r="N112" s="23"/>
      <c r="O112" s="24">
        <v>43176.0</v>
      </c>
      <c r="P112" s="24">
        <v>43176.0</v>
      </c>
      <c r="Q112" s="25">
        <v>36.0</v>
      </c>
      <c r="R112" s="26">
        <f>IFERROR(__xludf.DUMMYFUNCTION("IF (OR( Q112 = """" , P112 =""""), """" , IF(Q112 = ""Menos de 1 mês"" , ""antes de ""&amp; TO_TEXT( EDATE(P112, 1)), EDATE(P112,Q112)))"),44272.0)</f>
        <v>44272</v>
      </c>
      <c r="S112" s="21">
        <v>2.0</v>
      </c>
      <c r="T112" s="19">
        <v>72000.0</v>
      </c>
      <c r="U112" s="19">
        <v>72000.0</v>
      </c>
      <c r="V112" s="27">
        <v>43377.0</v>
      </c>
      <c r="W112" s="21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</row>
    <row r="113" ht="60.0" customHeight="1">
      <c r="A113" s="14" t="str">
        <f>if(H113&lt;&gt;"",VLOOKUP(H113,ID!$A$2:$C$999,3,FALSE),"") </f>
        <v>BT0109</v>
      </c>
      <c r="B113" s="15" t="s">
        <v>0</v>
      </c>
      <c r="C113" s="16" t="s">
        <v>1</v>
      </c>
      <c r="D113" s="17" t="s">
        <v>2</v>
      </c>
      <c r="E113" s="18" t="s">
        <v>539</v>
      </c>
      <c r="F113" s="21">
        <v>600.0</v>
      </c>
      <c r="G113" s="21" t="s">
        <v>540</v>
      </c>
      <c r="H113" s="21" t="s">
        <v>541</v>
      </c>
      <c r="I113" s="22" t="s">
        <v>130</v>
      </c>
      <c r="J113" s="21" t="s">
        <v>542</v>
      </c>
      <c r="K113" s="21" t="s">
        <v>8</v>
      </c>
      <c r="L113" s="21" t="s">
        <v>9</v>
      </c>
      <c r="M113" s="22" t="s">
        <v>10</v>
      </c>
      <c r="N113" s="23"/>
      <c r="O113" s="24">
        <v>43176.0</v>
      </c>
      <c r="P113" s="24">
        <v>43176.0</v>
      </c>
      <c r="Q113" s="25">
        <v>36.0</v>
      </c>
      <c r="R113" s="26">
        <f>IFERROR(__xludf.DUMMYFUNCTION("IF (OR( Q113 = """" , P113 =""""), """" , IF(Q113 = ""Menos de 1 mês"" , ""antes de ""&amp; TO_TEXT( EDATE(P113, 1)), EDATE(P113,Q113)))"),44272.0)</f>
        <v>44272</v>
      </c>
      <c r="S113" s="21">
        <v>1.0</v>
      </c>
      <c r="T113" s="19">
        <v>36951.0</v>
      </c>
      <c r="U113" s="19">
        <v>36951.0</v>
      </c>
      <c r="V113" s="27">
        <v>43377.0</v>
      </c>
      <c r="W113" s="21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</row>
    <row r="114" ht="60.0" customHeight="1">
      <c r="A114" s="14" t="str">
        <f>if(H114&lt;&gt;"",VLOOKUP(H114,ID!$A$2:$C$999,3,FALSE),"") </f>
        <v>BT0110</v>
      </c>
      <c r="B114" s="15" t="s">
        <v>0</v>
      </c>
      <c r="C114" s="16" t="s">
        <v>1</v>
      </c>
      <c r="D114" s="17" t="s">
        <v>33</v>
      </c>
      <c r="E114" s="18" t="s">
        <v>543</v>
      </c>
      <c r="F114" s="19">
        <v>3000.0</v>
      </c>
      <c r="G114" s="21" t="s">
        <v>544</v>
      </c>
      <c r="H114" s="21" t="s">
        <v>545</v>
      </c>
      <c r="I114" s="22" t="s">
        <v>546</v>
      </c>
      <c r="J114" s="21" t="s">
        <v>273</v>
      </c>
      <c r="K114" s="21" t="s">
        <v>8</v>
      </c>
      <c r="L114" s="21" t="s">
        <v>9</v>
      </c>
      <c r="M114" s="22" t="s">
        <v>10</v>
      </c>
      <c r="N114" s="23"/>
      <c r="O114" s="24">
        <v>42585.0</v>
      </c>
      <c r="P114" s="24">
        <v>42585.0</v>
      </c>
      <c r="Q114" s="25">
        <v>36.0</v>
      </c>
      <c r="R114" s="26">
        <f>IFERROR(__xludf.DUMMYFUNCTION("IF (OR( Q114 = """" , P114 =""""), """" , IF(Q114 = ""Menos de 1 mês"" , ""antes de ""&amp; TO_TEXT( EDATE(P114, 1)), EDATE(P114,Q114)))"),43680.0)</f>
        <v>43680</v>
      </c>
      <c r="S114" s="21">
        <v>3.0</v>
      </c>
      <c r="T114" s="19">
        <v>68000.0</v>
      </c>
      <c r="U114" s="19">
        <v>68000.0</v>
      </c>
      <c r="V114" s="27">
        <v>43377.0</v>
      </c>
      <c r="W114" s="21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</row>
    <row r="115" ht="60.0" customHeight="1">
      <c r="A115" s="14" t="str">
        <f>if(H115&lt;&gt;"",VLOOKUP(H115,ID!$A$2:$C$999,3,FALSE),"") </f>
        <v>BT0111</v>
      </c>
      <c r="B115" s="15" t="s">
        <v>0</v>
      </c>
      <c r="C115" s="16" t="s">
        <v>1</v>
      </c>
      <c r="D115" s="17" t="s">
        <v>33</v>
      </c>
      <c r="E115" s="18" t="s">
        <v>547</v>
      </c>
      <c r="F115" s="19">
        <v>1400.0</v>
      </c>
      <c r="G115" s="21" t="s">
        <v>548</v>
      </c>
      <c r="H115" s="21" t="s">
        <v>549</v>
      </c>
      <c r="I115" s="22" t="s">
        <v>125</v>
      </c>
      <c r="J115" s="21" t="s">
        <v>29</v>
      </c>
      <c r="K115" s="21" t="s">
        <v>8</v>
      </c>
      <c r="L115" s="21" t="s">
        <v>9</v>
      </c>
      <c r="M115" s="22" t="s">
        <v>10</v>
      </c>
      <c r="N115" s="23"/>
      <c r="O115" s="24">
        <v>43131.0</v>
      </c>
      <c r="P115" s="24">
        <v>43131.0</v>
      </c>
      <c r="Q115" s="25">
        <v>36.0</v>
      </c>
      <c r="R115" s="26">
        <f>IFERROR(__xludf.DUMMYFUNCTION("IF (OR( Q115 = """" , P115 =""""), """" , IF(Q115 = ""Menos de 1 mês"" , ""antes de ""&amp; TO_TEXT( EDATE(P115, 1)), EDATE(P115,Q115)))"),44227.0)</f>
        <v>44227</v>
      </c>
      <c r="S115" s="21">
        <v>1.0</v>
      </c>
      <c r="T115" s="19">
        <v>4800.0</v>
      </c>
      <c r="U115" s="19">
        <v>4800.0</v>
      </c>
      <c r="V115" s="27">
        <v>43377.0</v>
      </c>
      <c r="W115" s="21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ht="60.0" customHeight="1">
      <c r="A116" s="14" t="str">
        <f>if(H116&lt;&gt;"",VLOOKUP(H116,ID!$A$2:$C$999,3,FALSE),"") </f>
        <v>BT0112</v>
      </c>
      <c r="B116" s="15" t="s">
        <v>0</v>
      </c>
      <c r="C116" s="16" t="s">
        <v>1</v>
      </c>
      <c r="D116" s="17" t="s">
        <v>33</v>
      </c>
      <c r="E116" s="18" t="s">
        <v>550</v>
      </c>
      <c r="F116" s="21">
        <v>176.0</v>
      </c>
      <c r="G116" s="21" t="s">
        <v>551</v>
      </c>
      <c r="H116" s="21" t="s">
        <v>552</v>
      </c>
      <c r="I116" s="22" t="s">
        <v>125</v>
      </c>
      <c r="J116" s="21" t="s">
        <v>29</v>
      </c>
      <c r="K116" s="21" t="s">
        <v>8</v>
      </c>
      <c r="L116" s="21" t="s">
        <v>9</v>
      </c>
      <c r="M116" s="22" t="s">
        <v>10</v>
      </c>
      <c r="N116" s="23"/>
      <c r="O116" s="24">
        <v>44230.0</v>
      </c>
      <c r="P116" s="24">
        <v>44230.0</v>
      </c>
      <c r="Q116" s="25">
        <v>36.0</v>
      </c>
      <c r="R116" s="26">
        <f>IFERROR(__xludf.DUMMYFUNCTION("IF (OR( Q116 = """" , P116 =""""), """" , IF(Q116 = ""Menos de 1 mês"" , ""antes de ""&amp; TO_TEXT( EDATE(P116, 1)), EDATE(P116,Q116)))"),45325.0)</f>
        <v>45325</v>
      </c>
      <c r="S116" s="21">
        <v>2.0</v>
      </c>
      <c r="T116" s="19">
        <v>144000.0</v>
      </c>
      <c r="U116" s="19">
        <v>144000.0</v>
      </c>
      <c r="V116" s="27">
        <v>44257.0</v>
      </c>
      <c r="W116" s="21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</row>
    <row r="117" ht="60.0" customHeight="1">
      <c r="A117" s="14" t="str">
        <f>if(H117&lt;&gt;"",VLOOKUP(H117,ID!$A$2:$C$999,3,FALSE),"") </f>
        <v>BT0113</v>
      </c>
      <c r="B117" s="15" t="s">
        <v>0</v>
      </c>
      <c r="C117" s="16" t="s">
        <v>1</v>
      </c>
      <c r="D117" s="17" t="s">
        <v>155</v>
      </c>
      <c r="E117" s="18" t="s">
        <v>553</v>
      </c>
      <c r="F117" s="19">
        <v>5074.0</v>
      </c>
      <c r="G117" s="21" t="s">
        <v>554</v>
      </c>
      <c r="H117" s="21" t="s">
        <v>555</v>
      </c>
      <c r="I117" s="22" t="s">
        <v>556</v>
      </c>
      <c r="J117" s="21" t="s">
        <v>557</v>
      </c>
      <c r="K117" s="21" t="s">
        <v>8</v>
      </c>
      <c r="L117" s="21" t="s">
        <v>30</v>
      </c>
      <c r="M117" s="22" t="s">
        <v>62</v>
      </c>
      <c r="N117" s="23"/>
      <c r="O117" s="24">
        <v>43169.0</v>
      </c>
      <c r="P117" s="24">
        <v>43169.0</v>
      </c>
      <c r="Q117" s="25">
        <v>36.0</v>
      </c>
      <c r="R117" s="26">
        <f>IFERROR(__xludf.DUMMYFUNCTION("IF (OR( Q117 = """" , P117 =""""), """" , IF(Q117 = ""Menos de 1 mês"" , ""antes de ""&amp; TO_TEXT( EDATE(P117, 1)), EDATE(P117,Q117)))"),44265.0)</f>
        <v>44265</v>
      </c>
      <c r="S117" s="21">
        <v>3.0</v>
      </c>
      <c r="T117" s="19">
        <v>10800.0</v>
      </c>
      <c r="U117" s="19">
        <v>10800.0</v>
      </c>
      <c r="V117" s="27">
        <v>43377.0</v>
      </c>
      <c r="W117" s="21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ht="60.0" customHeight="1">
      <c r="A118" s="14" t="str">
        <f>if(H118&lt;&gt;"",VLOOKUP(H118,ID!$A$2:$C$999,3,FALSE),"") </f>
        <v>BT0035</v>
      </c>
      <c r="B118" s="15" t="s">
        <v>0</v>
      </c>
      <c r="C118" s="16" t="s">
        <v>1</v>
      </c>
      <c r="D118" s="17" t="s">
        <v>178</v>
      </c>
      <c r="E118" s="18" t="s">
        <v>179</v>
      </c>
      <c r="F118" s="21">
        <v>185.0</v>
      </c>
      <c r="G118" s="21" t="s">
        <v>180</v>
      </c>
      <c r="H118" s="21" t="s">
        <v>181</v>
      </c>
      <c r="I118" s="22" t="s">
        <v>558</v>
      </c>
      <c r="J118" s="21" t="s">
        <v>559</v>
      </c>
      <c r="K118" s="21" t="s">
        <v>8</v>
      </c>
      <c r="L118" s="21" t="s">
        <v>30</v>
      </c>
      <c r="M118" s="22" t="s">
        <v>62</v>
      </c>
      <c r="N118" s="23"/>
      <c r="O118" s="24">
        <v>44261.0</v>
      </c>
      <c r="P118" s="24">
        <v>44350.0</v>
      </c>
      <c r="Q118" s="25">
        <v>36.0</v>
      </c>
      <c r="R118" s="26">
        <f>IFERROR(__xludf.DUMMYFUNCTION("IF (OR( Q118 = """" , P118 =""""), """" , IF(Q118 = ""Menos de 1 mês"" , ""antes de ""&amp; TO_TEXT( EDATE(P118, 1)), EDATE(P118,Q118)))"),45446.0)</f>
        <v>45446</v>
      </c>
      <c r="S118" s="21">
        <v>5.0</v>
      </c>
      <c r="T118" s="19">
        <v>186000.0</v>
      </c>
      <c r="U118" s="19">
        <v>186000.0</v>
      </c>
      <c r="V118" s="27">
        <v>44199.0</v>
      </c>
      <c r="W118" s="21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</row>
    <row r="119" ht="60.0" customHeight="1">
      <c r="A119" s="14" t="str">
        <f>if(H119&lt;&gt;"",VLOOKUP(H119,ID!$A$2:$C$999,3,FALSE),"") </f>
        <v>BT0114</v>
      </c>
      <c r="B119" s="15" t="s">
        <v>0</v>
      </c>
      <c r="C119" s="16" t="s">
        <v>1</v>
      </c>
      <c r="D119" s="17" t="s">
        <v>178</v>
      </c>
      <c r="E119" s="18" t="s">
        <v>560</v>
      </c>
      <c r="F119" s="19">
        <v>5100.0</v>
      </c>
      <c r="G119" s="21" t="s">
        <v>561</v>
      </c>
      <c r="H119" s="21" t="s">
        <v>562</v>
      </c>
      <c r="I119" s="22" t="s">
        <v>558</v>
      </c>
      <c r="J119" s="21" t="s">
        <v>559</v>
      </c>
      <c r="K119" s="21" t="s">
        <v>8</v>
      </c>
      <c r="L119" s="21" t="s">
        <v>9</v>
      </c>
      <c r="M119" s="22" t="s">
        <v>10</v>
      </c>
      <c r="N119" s="23"/>
      <c r="O119" s="24">
        <v>44350.0</v>
      </c>
      <c r="P119" s="24">
        <v>44261.0</v>
      </c>
      <c r="Q119" s="25">
        <v>36.0</v>
      </c>
      <c r="R119" s="26">
        <f>IFERROR(__xludf.DUMMYFUNCTION("IF (OR( Q119 = """" , P119 =""""), """" , IF(Q119 = ""Menos de 1 mês"" , ""antes de ""&amp; TO_TEXT( EDATE(P119, 1)), EDATE(P119,Q119)))"),45357.0)</f>
        <v>45357</v>
      </c>
      <c r="S119" s="21">
        <v>2.0</v>
      </c>
      <c r="T119" s="19">
        <v>14800.0</v>
      </c>
      <c r="U119" s="19">
        <v>14800.0</v>
      </c>
      <c r="V119" s="27">
        <v>44199.0</v>
      </c>
      <c r="W119" s="21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</row>
    <row r="120" ht="60.0" customHeight="1">
      <c r="A120" s="14" t="str">
        <f>if(H120&lt;&gt;"",VLOOKUP(H120,ID!$A$2:$C$999,3,FALSE),"") </f>
        <v>BT0115</v>
      </c>
      <c r="B120" s="15" t="s">
        <v>0</v>
      </c>
      <c r="C120" s="16" t="s">
        <v>1</v>
      </c>
      <c r="D120" s="17" t="s">
        <v>178</v>
      </c>
      <c r="E120" s="18" t="s">
        <v>563</v>
      </c>
      <c r="F120" s="19">
        <v>10297.0</v>
      </c>
      <c r="G120" s="21" t="s">
        <v>564</v>
      </c>
      <c r="H120" s="21" t="s">
        <v>565</v>
      </c>
      <c r="I120" s="22" t="s">
        <v>558</v>
      </c>
      <c r="J120" s="21" t="s">
        <v>559</v>
      </c>
      <c r="K120" s="21" t="s">
        <v>8</v>
      </c>
      <c r="L120" s="21" t="s">
        <v>9</v>
      </c>
      <c r="M120" s="22" t="s">
        <v>10</v>
      </c>
      <c r="N120" s="23"/>
      <c r="O120" s="24">
        <v>44261.0</v>
      </c>
      <c r="P120" s="24">
        <v>44261.0</v>
      </c>
      <c r="Q120" s="25">
        <v>36.0</v>
      </c>
      <c r="R120" s="26">
        <f>IFERROR(__xludf.DUMMYFUNCTION("IF (OR( Q120 = """" , P120 =""""), """" , IF(Q120 = ""Menos de 1 mês"" , ""antes de ""&amp; TO_TEXT( EDATE(P120, 1)), EDATE(P120,Q120)))"),45357.0)</f>
        <v>45357</v>
      </c>
      <c r="S120" s="21">
        <v>3.0</v>
      </c>
      <c r="T120" s="19">
        <v>18000.0</v>
      </c>
      <c r="U120" s="19">
        <v>18000.0</v>
      </c>
      <c r="V120" s="27">
        <v>44199.0</v>
      </c>
      <c r="W120" s="21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</row>
    <row r="121" ht="60.0" customHeight="1">
      <c r="A121" s="14" t="str">
        <f>if(H121&lt;&gt;"",VLOOKUP(H121,ID!$A$2:$C$999,3,FALSE),"") </f>
        <v>BT0116</v>
      </c>
      <c r="B121" s="15" t="s">
        <v>0</v>
      </c>
      <c r="C121" s="16" t="s">
        <v>1</v>
      </c>
      <c r="D121" s="17" t="s">
        <v>178</v>
      </c>
      <c r="E121" s="18" t="s">
        <v>566</v>
      </c>
      <c r="F121" s="19">
        <v>10000.0</v>
      </c>
      <c r="G121" s="21" t="s">
        <v>567</v>
      </c>
      <c r="H121" s="21" t="s">
        <v>568</v>
      </c>
      <c r="I121" s="22" t="s">
        <v>558</v>
      </c>
      <c r="J121" s="21" t="s">
        <v>559</v>
      </c>
      <c r="K121" s="21" t="s">
        <v>8</v>
      </c>
      <c r="L121" s="21" t="s">
        <v>9</v>
      </c>
      <c r="M121" s="22" t="s">
        <v>10</v>
      </c>
      <c r="N121" s="23"/>
      <c r="O121" s="24">
        <v>44350.0</v>
      </c>
      <c r="P121" s="24">
        <v>44261.0</v>
      </c>
      <c r="Q121" s="25">
        <v>36.0</v>
      </c>
      <c r="R121" s="26">
        <f>IFERROR(__xludf.DUMMYFUNCTION("IF (OR( Q121 = """" , P121 =""""), """" , IF(Q121 = ""Menos de 1 mês"" , ""antes de ""&amp; TO_TEXT( EDATE(P121, 1)), EDATE(P121,Q121)))"),45357.0)</f>
        <v>45357</v>
      </c>
      <c r="S121" s="21">
        <v>2.0</v>
      </c>
      <c r="T121" s="19">
        <v>37500.0</v>
      </c>
      <c r="U121" s="19">
        <v>37500.0</v>
      </c>
      <c r="V121" s="27">
        <v>44199.0</v>
      </c>
      <c r="W121" s="21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</row>
    <row r="122" ht="60.0" customHeight="1">
      <c r="A122" s="14" t="str">
        <f>if(H122&lt;&gt;"",VLOOKUP(H122,ID!$A$2:$C$999,3,FALSE),"") </f>
        <v>BT0117</v>
      </c>
      <c r="B122" s="15" t="s">
        <v>0</v>
      </c>
      <c r="C122" s="16" t="s">
        <v>1</v>
      </c>
      <c r="D122" s="17" t="s">
        <v>178</v>
      </c>
      <c r="E122" s="18" t="s">
        <v>569</v>
      </c>
      <c r="F122" s="19">
        <v>2100.0</v>
      </c>
      <c r="G122" s="21" t="s">
        <v>570</v>
      </c>
      <c r="H122" s="21" t="s">
        <v>571</v>
      </c>
      <c r="I122" s="22" t="s">
        <v>558</v>
      </c>
      <c r="J122" s="21" t="s">
        <v>559</v>
      </c>
      <c r="K122" s="21" t="s">
        <v>8</v>
      </c>
      <c r="L122" s="21" t="s">
        <v>9</v>
      </c>
      <c r="M122" s="22" t="s">
        <v>10</v>
      </c>
      <c r="N122" s="23"/>
      <c r="O122" s="24">
        <v>44261.0</v>
      </c>
      <c r="P122" s="24">
        <v>44261.0</v>
      </c>
      <c r="Q122" s="25">
        <v>36.0</v>
      </c>
      <c r="R122" s="26">
        <f>IFERROR(__xludf.DUMMYFUNCTION("IF (OR( Q122 = """" , P122 =""""), """" , IF(Q122 = ""Menos de 1 mês"" , ""antes de ""&amp; TO_TEXT( EDATE(P122, 1)), EDATE(P122,Q122)))"),45357.0)</f>
        <v>45357</v>
      </c>
      <c r="S122" s="21">
        <v>2.0</v>
      </c>
      <c r="T122" s="19">
        <v>37500.0</v>
      </c>
      <c r="U122" s="19">
        <v>37500.0</v>
      </c>
      <c r="V122" s="27">
        <v>44199.0</v>
      </c>
      <c r="W122" s="21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</row>
    <row r="123" ht="60.0" customHeight="1">
      <c r="A123" s="14" t="str">
        <f>if(H123&lt;&gt;"",VLOOKUP(H123,ID!$A$2:$C$999,3,FALSE),"") </f>
        <v>BT0118</v>
      </c>
      <c r="B123" s="15" t="s">
        <v>0</v>
      </c>
      <c r="C123" s="16" t="s">
        <v>1</v>
      </c>
      <c r="D123" s="17" t="s">
        <v>178</v>
      </c>
      <c r="E123" s="18" t="s">
        <v>572</v>
      </c>
      <c r="F123" s="21">
        <v>430.0</v>
      </c>
      <c r="G123" s="21" t="s">
        <v>573</v>
      </c>
      <c r="H123" s="21" t="s">
        <v>574</v>
      </c>
      <c r="I123" s="22" t="s">
        <v>558</v>
      </c>
      <c r="J123" s="21" t="s">
        <v>559</v>
      </c>
      <c r="K123" s="21" t="s">
        <v>8</v>
      </c>
      <c r="L123" s="21" t="s">
        <v>9</v>
      </c>
      <c r="M123" s="22" t="s">
        <v>10</v>
      </c>
      <c r="N123" s="23"/>
      <c r="O123" s="24">
        <v>44350.0</v>
      </c>
      <c r="P123" s="24">
        <v>44261.0</v>
      </c>
      <c r="Q123" s="25">
        <v>36.0</v>
      </c>
      <c r="R123" s="26">
        <f>IFERROR(__xludf.DUMMYFUNCTION("IF (OR( Q123 = """" , P123 =""""), """" , IF(Q123 = ""Menos de 1 mês"" , ""antes de ""&amp; TO_TEXT( EDATE(P123, 1)), EDATE(P123,Q123)))"),45357.0)</f>
        <v>45357</v>
      </c>
      <c r="S123" s="21">
        <v>2.0</v>
      </c>
      <c r="T123" s="19">
        <v>12580.0</v>
      </c>
      <c r="U123" s="19">
        <v>12580.0</v>
      </c>
      <c r="V123" s="27">
        <v>44199.0</v>
      </c>
      <c r="W123" s="21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</row>
    <row r="124" ht="60.0" customHeight="1">
      <c r="A124" s="14" t="str">
        <f>if(H124&lt;&gt;"",VLOOKUP(H124,ID!$A$2:$C$999,3,FALSE),"") </f>
        <v>BT0119</v>
      </c>
      <c r="B124" s="15" t="s">
        <v>0</v>
      </c>
      <c r="C124" s="16" t="s">
        <v>1</v>
      </c>
      <c r="D124" s="17" t="s">
        <v>178</v>
      </c>
      <c r="E124" s="18" t="s">
        <v>575</v>
      </c>
      <c r="F124" s="21">
        <v>63647.0</v>
      </c>
      <c r="G124" s="21" t="s">
        <v>576</v>
      </c>
      <c r="H124" s="21" t="s">
        <v>577</v>
      </c>
      <c r="I124" s="22" t="s">
        <v>558</v>
      </c>
      <c r="J124" s="21" t="s">
        <v>559</v>
      </c>
      <c r="K124" s="21" t="s">
        <v>8</v>
      </c>
      <c r="L124" s="21" t="s">
        <v>9</v>
      </c>
      <c r="M124" s="22" t="s">
        <v>10</v>
      </c>
      <c r="N124" s="23"/>
      <c r="O124" s="24">
        <v>44261.0</v>
      </c>
      <c r="P124" s="24">
        <v>44261.0</v>
      </c>
      <c r="Q124" s="25">
        <v>36.0</v>
      </c>
      <c r="R124" s="26">
        <f>IFERROR(__xludf.DUMMYFUNCTION("IF (OR( Q124 = """" , P124 =""""), """" , IF(Q124 = ""Menos de 1 mês"" , ""antes de ""&amp; TO_TEXT( EDATE(P124, 1)), EDATE(P124,Q124)))"),45357.0)</f>
        <v>45357</v>
      </c>
      <c r="S124" s="21">
        <v>2.0</v>
      </c>
      <c r="T124" s="19">
        <v>37500.0</v>
      </c>
      <c r="U124" s="19">
        <v>37500.0</v>
      </c>
      <c r="V124" s="27">
        <v>44199.0</v>
      </c>
      <c r="W124" s="21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</row>
    <row r="125" ht="60.0" customHeight="1">
      <c r="A125" s="14" t="str">
        <f>if(H125&lt;&gt;"",VLOOKUP(H125,ID!$A$2:$C$999,3,FALSE),"") </f>
        <v>BT0120</v>
      </c>
      <c r="B125" s="15" t="s">
        <v>0</v>
      </c>
      <c r="C125" s="16" t="s">
        <v>1</v>
      </c>
      <c r="D125" s="17" t="s">
        <v>178</v>
      </c>
      <c r="E125" s="18" t="s">
        <v>578</v>
      </c>
      <c r="F125" s="21">
        <v>708.0</v>
      </c>
      <c r="G125" s="21" t="s">
        <v>579</v>
      </c>
      <c r="H125" s="21" t="s">
        <v>580</v>
      </c>
      <c r="I125" s="22" t="s">
        <v>581</v>
      </c>
      <c r="J125" s="21" t="s">
        <v>559</v>
      </c>
      <c r="K125" s="21" t="s">
        <v>8</v>
      </c>
      <c r="L125" s="21" t="s">
        <v>30</v>
      </c>
      <c r="M125" s="22" t="s">
        <v>62</v>
      </c>
      <c r="N125" s="23"/>
      <c r="O125" s="24">
        <v>44261.0</v>
      </c>
      <c r="P125" s="24">
        <v>44261.0</v>
      </c>
      <c r="Q125" s="25">
        <v>36.0</v>
      </c>
      <c r="R125" s="26">
        <f>IFERROR(__xludf.DUMMYFUNCTION("IF (OR( Q125 = """" , P125 =""""), """" , IF(Q125 = ""Menos de 1 mês"" , ""antes de ""&amp; TO_TEXT( EDATE(P125, 1)), EDATE(P125,Q125)))"),45357.0)</f>
        <v>45357</v>
      </c>
      <c r="S125" s="21">
        <v>2.0</v>
      </c>
      <c r="T125" s="19">
        <v>10800.0</v>
      </c>
      <c r="U125" s="19">
        <v>10800.0</v>
      </c>
      <c r="V125" s="27">
        <v>44199.0</v>
      </c>
      <c r="W125" s="21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</row>
    <row r="126" ht="60.0" customHeight="1">
      <c r="A126" s="14" t="str">
        <f>if(H126&lt;&gt;"",VLOOKUP(H126,ID!$A$2:$C$999,3,FALSE),"") </f>
        <v>BT0121</v>
      </c>
      <c r="B126" s="15" t="s">
        <v>0</v>
      </c>
      <c r="C126" s="16" t="s">
        <v>1</v>
      </c>
      <c r="D126" s="17" t="s">
        <v>46</v>
      </c>
      <c r="E126" s="18" t="s">
        <v>582</v>
      </c>
      <c r="F126" s="21">
        <v>2940.0</v>
      </c>
      <c r="G126" s="21" t="s">
        <v>583</v>
      </c>
      <c r="H126" s="21" t="s">
        <v>584</v>
      </c>
      <c r="I126" s="22" t="s">
        <v>345</v>
      </c>
      <c r="J126" s="21" t="s">
        <v>585</v>
      </c>
      <c r="K126" s="21" t="s">
        <v>8</v>
      </c>
      <c r="L126" s="21" t="s">
        <v>96</v>
      </c>
      <c r="M126" s="22" t="s">
        <v>188</v>
      </c>
      <c r="N126" s="23"/>
      <c r="O126" s="24"/>
      <c r="P126" s="24"/>
      <c r="Q126" s="25">
        <v>36.0</v>
      </c>
      <c r="R126" s="26" t="str">
        <f>IFERROR(__xludf.DUMMYFUNCTION("IF (OR( Q126 = """" , P126 =""""), """" , IF(Q126 = ""Menos de 1 mês"" , ""antes de ""&amp; TO_TEXT( EDATE(P126, 1)), EDATE(P126,Q126)))"),"")</f>
        <v/>
      </c>
      <c r="S126" s="21"/>
      <c r="T126" s="19">
        <v>32000.0</v>
      </c>
      <c r="U126" s="19">
        <v>32000.0</v>
      </c>
      <c r="V126" s="31" t="s">
        <v>586</v>
      </c>
      <c r="W126" s="21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</row>
    <row r="127" ht="60.0" customHeight="1">
      <c r="A127" s="14" t="str">
        <f>if(H127&lt;&gt;"",VLOOKUP(H127,ID!$A$2:$C$999,3,FALSE),"") </f>
        <v>BT0122</v>
      </c>
      <c r="B127" s="15" t="s">
        <v>0</v>
      </c>
      <c r="C127" s="16" t="s">
        <v>1</v>
      </c>
      <c r="D127" s="17" t="s">
        <v>178</v>
      </c>
      <c r="E127" s="18" t="s">
        <v>587</v>
      </c>
      <c r="F127" s="34">
        <v>9109.04</v>
      </c>
      <c r="G127" s="21" t="s">
        <v>588</v>
      </c>
      <c r="H127" s="21" t="s">
        <v>589</v>
      </c>
      <c r="I127" s="22" t="s">
        <v>558</v>
      </c>
      <c r="J127" s="21" t="s">
        <v>559</v>
      </c>
      <c r="K127" s="21" t="s">
        <v>8</v>
      </c>
      <c r="L127" s="21" t="s">
        <v>96</v>
      </c>
      <c r="M127" s="22" t="s">
        <v>10</v>
      </c>
      <c r="N127" s="23"/>
      <c r="O127" s="24">
        <v>44264.0</v>
      </c>
      <c r="P127" s="24">
        <v>44264.0</v>
      </c>
      <c r="Q127" s="25">
        <v>36.0</v>
      </c>
      <c r="R127" s="26">
        <f>IFERROR(__xludf.DUMMYFUNCTION("IF (OR( Q127 = """" , P127 =""""), """" , IF(Q127 = ""Menos de 1 mês"" , ""antes de ""&amp; TO_TEXT( EDATE(P127, 1)), EDATE(P127,Q127)))"),45360.0)</f>
        <v>45360</v>
      </c>
      <c r="S127" s="21">
        <v>2.0</v>
      </c>
      <c r="T127" s="19">
        <v>11723.0</v>
      </c>
      <c r="U127" s="19">
        <v>11723.0</v>
      </c>
      <c r="V127" s="33">
        <v>44264.0</v>
      </c>
      <c r="W127" s="2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</row>
    <row r="128" ht="60.0" customHeight="1">
      <c r="A128" s="14" t="str">
        <f>if(H128&lt;&gt;"",VLOOKUP(H128,ID!$A$2:$C$999,3,FALSE),"") </f>
        <v>BT0123</v>
      </c>
      <c r="B128" s="15" t="s">
        <v>0</v>
      </c>
      <c r="C128" s="16" t="s">
        <v>1</v>
      </c>
      <c r="D128" s="17" t="s">
        <v>178</v>
      </c>
      <c r="E128" s="18" t="s">
        <v>590</v>
      </c>
      <c r="F128" s="46">
        <v>2520965.0</v>
      </c>
      <c r="G128" s="21" t="s">
        <v>591</v>
      </c>
      <c r="H128" s="21" t="s">
        <v>592</v>
      </c>
      <c r="I128" s="22" t="s">
        <v>558</v>
      </c>
      <c r="J128" s="21" t="s">
        <v>559</v>
      </c>
      <c r="K128" s="21" t="s">
        <v>8</v>
      </c>
      <c r="L128" s="21" t="s">
        <v>9</v>
      </c>
      <c r="M128" s="22" t="s">
        <v>10</v>
      </c>
      <c r="N128" s="23"/>
      <c r="O128" s="24">
        <v>44261.0</v>
      </c>
      <c r="P128" s="24">
        <v>44261.0</v>
      </c>
      <c r="Q128" s="25">
        <v>36.0</v>
      </c>
      <c r="R128" s="26">
        <f>IFERROR(__xludf.DUMMYFUNCTION("IF (OR( Q128 = """" , P128 =""""), """" , IF(Q128 = ""Menos de 1 mês"" , ""antes de ""&amp; TO_TEXT( EDATE(P128, 1)), EDATE(P128,Q128)))"),45357.0)</f>
        <v>45357</v>
      </c>
      <c r="S128" s="21">
        <v>2.0</v>
      </c>
      <c r="T128" s="19">
        <v>37500.0</v>
      </c>
      <c r="U128" s="19">
        <v>37500.0</v>
      </c>
      <c r="V128" s="27">
        <v>44199.0</v>
      </c>
      <c r="W128" s="2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</row>
    <row r="129" ht="60.0" customHeight="1">
      <c r="A129" s="14" t="str">
        <f>if(H129&lt;&gt;"",VLOOKUP(H129,ID!$A$2:$C$999,3,FALSE),"") </f>
        <v>BT0124</v>
      </c>
      <c r="B129" s="15" t="s">
        <v>0</v>
      </c>
      <c r="C129" s="16" t="s">
        <v>1</v>
      </c>
      <c r="D129" s="17" t="s">
        <v>2</v>
      </c>
      <c r="E129" s="18" t="s">
        <v>593</v>
      </c>
      <c r="F129" s="19">
        <v>2850.0</v>
      </c>
      <c r="G129" s="36" t="s">
        <v>594</v>
      </c>
      <c r="H129" s="21" t="s">
        <v>595</v>
      </c>
      <c r="I129" s="22" t="s">
        <v>558</v>
      </c>
      <c r="J129" s="21" t="s">
        <v>559</v>
      </c>
      <c r="K129" s="21" t="s">
        <v>8</v>
      </c>
      <c r="L129" s="21" t="s">
        <v>30</v>
      </c>
      <c r="M129" s="22" t="s">
        <v>10</v>
      </c>
      <c r="N129" s="23"/>
      <c r="O129" s="24">
        <v>44261.0</v>
      </c>
      <c r="P129" s="24">
        <v>44261.0</v>
      </c>
      <c r="Q129" s="25">
        <v>36.0</v>
      </c>
      <c r="R129" s="26">
        <f>IFERROR(__xludf.DUMMYFUNCTION("IF (OR( Q129 = """" , P129 =""""), """" , IF(Q129 = ""Menos de 1 mês"" , ""antes de ""&amp; TO_TEXT( EDATE(P129, 1)), EDATE(P129,Q129)))"),45357.0)</f>
        <v>45357</v>
      </c>
      <c r="S129" s="21">
        <v>1.0</v>
      </c>
      <c r="T129" s="19">
        <v>90000.0</v>
      </c>
      <c r="U129" s="19">
        <v>90000.0</v>
      </c>
      <c r="V129" s="27">
        <v>44199.0</v>
      </c>
      <c r="W129" s="36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</row>
    <row r="130" ht="60.0" customHeight="1">
      <c r="A130" s="14" t="str">
        <f>if(H130&lt;&gt;"",VLOOKUP(H130,ID!$A$2:$C$999,3,FALSE),"") </f>
        <v>BT0125</v>
      </c>
      <c r="B130" s="15" t="s">
        <v>0</v>
      </c>
      <c r="C130" s="16" t="s">
        <v>1</v>
      </c>
      <c r="D130" s="17" t="s">
        <v>2</v>
      </c>
      <c r="E130" s="18" t="s">
        <v>596</v>
      </c>
      <c r="F130" s="19">
        <v>1268.0</v>
      </c>
      <c r="G130" s="21" t="s">
        <v>597</v>
      </c>
      <c r="H130" s="21" t="s">
        <v>598</v>
      </c>
      <c r="I130" s="22" t="s">
        <v>558</v>
      </c>
      <c r="J130" s="21" t="s">
        <v>559</v>
      </c>
      <c r="K130" s="21" t="s">
        <v>8</v>
      </c>
      <c r="L130" s="21" t="s">
        <v>9</v>
      </c>
      <c r="M130" s="22" t="s">
        <v>10</v>
      </c>
      <c r="N130" s="23"/>
      <c r="O130" s="24">
        <v>44261.0</v>
      </c>
      <c r="P130" s="24">
        <v>44261.0</v>
      </c>
      <c r="Q130" s="25">
        <v>36.0</v>
      </c>
      <c r="R130" s="26">
        <f>IFERROR(__xludf.DUMMYFUNCTION("IF (OR( Q130 = """" , P130 =""""), """" , IF(Q130 = ""Menos de 1 mês"" , ""antes de ""&amp; TO_TEXT( EDATE(P130, 1)), EDATE(P130,Q130)))"),45357.0)</f>
        <v>45357</v>
      </c>
      <c r="S130" s="21">
        <v>1.0</v>
      </c>
      <c r="T130" s="19">
        <v>136800.0</v>
      </c>
      <c r="U130" s="19">
        <v>136800.0</v>
      </c>
      <c r="V130" s="27">
        <v>44199.0</v>
      </c>
      <c r="W130" s="21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</row>
    <row r="131" ht="60.0" customHeight="1">
      <c r="A131" s="14" t="str">
        <f>if(H131&lt;&gt;"",VLOOKUP(H131,ID!$A$2:$C$999,3,FALSE),"") </f>
        <v>BT0126</v>
      </c>
      <c r="B131" s="15" t="s">
        <v>0</v>
      </c>
      <c r="C131" s="16" t="s">
        <v>1</v>
      </c>
      <c r="D131" s="47" t="s">
        <v>2</v>
      </c>
      <c r="E131" s="48" t="s">
        <v>599</v>
      </c>
      <c r="F131" s="49">
        <v>10000.0</v>
      </c>
      <c r="G131" s="36" t="s">
        <v>600</v>
      </c>
      <c r="H131" s="36" t="s">
        <v>601</v>
      </c>
      <c r="I131" s="50" t="s">
        <v>558</v>
      </c>
      <c r="J131" s="36" t="s">
        <v>559</v>
      </c>
      <c r="K131" s="21" t="s">
        <v>8</v>
      </c>
      <c r="L131" s="21" t="s">
        <v>9</v>
      </c>
      <c r="M131" s="22" t="s">
        <v>10</v>
      </c>
      <c r="N131" s="23"/>
      <c r="O131" s="24">
        <v>44261.0</v>
      </c>
      <c r="P131" s="24">
        <v>44261.0</v>
      </c>
      <c r="Q131" s="25">
        <v>36.0</v>
      </c>
      <c r="R131" s="26">
        <f>IFERROR(__xludf.DUMMYFUNCTION("IF (OR( Q131 = """" , P131 =""""), """" , IF(Q131 = ""Menos de 1 mês"" , ""antes de ""&amp; TO_TEXT( EDATE(P131, 1)), EDATE(P131,Q131)))"),45357.0)</f>
        <v>45357</v>
      </c>
      <c r="S131" s="36">
        <v>2.0</v>
      </c>
      <c r="T131" s="49">
        <v>136800.0</v>
      </c>
      <c r="U131" s="49">
        <v>136800.0</v>
      </c>
      <c r="V131" s="27">
        <v>44199.0</v>
      </c>
      <c r="W131" s="36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</row>
    <row r="132" ht="60.0" customHeight="1">
      <c r="A132" s="14" t="str">
        <f>if(H132&lt;&gt;"",VLOOKUP(H132,ID!$A$2:$C$999,3,FALSE),"") </f>
        <v>BT0127</v>
      </c>
      <c r="B132" s="15" t="s">
        <v>0</v>
      </c>
      <c r="C132" s="16" t="s">
        <v>1</v>
      </c>
      <c r="D132" s="17" t="s">
        <v>33</v>
      </c>
      <c r="E132" s="18" t="s">
        <v>602</v>
      </c>
      <c r="F132" s="21">
        <v>250.0</v>
      </c>
      <c r="G132" s="21" t="s">
        <v>603</v>
      </c>
      <c r="H132" s="21" t="s">
        <v>604</v>
      </c>
      <c r="I132" s="22" t="s">
        <v>605</v>
      </c>
      <c r="J132" s="21" t="s">
        <v>606</v>
      </c>
      <c r="K132" s="21" t="s">
        <v>8</v>
      </c>
      <c r="L132" s="21" t="s">
        <v>9</v>
      </c>
      <c r="M132" s="22" t="s">
        <v>10</v>
      </c>
      <c r="N132" s="23"/>
      <c r="O132" s="24">
        <v>43781.0</v>
      </c>
      <c r="P132" s="24">
        <v>43781.0</v>
      </c>
      <c r="Q132" s="25">
        <v>36.0</v>
      </c>
      <c r="R132" s="26">
        <f>IFERROR(__xludf.DUMMYFUNCTION("IF (OR( Q132 = """" , P132 =""""), """" , IF(Q132 = ""Menos de 1 mês"" , ""antes de ""&amp; TO_TEXT( EDATE(P132, 1)), EDATE(P132,Q132)))"),44877.0)</f>
        <v>44877</v>
      </c>
      <c r="S132" s="21">
        <v>1.0</v>
      </c>
      <c r="T132" s="19">
        <v>14400.0</v>
      </c>
      <c r="U132" s="19">
        <v>14400.0</v>
      </c>
      <c r="V132" s="27" t="s">
        <v>607</v>
      </c>
      <c r="W132" s="21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</row>
    <row r="133" ht="60.0" customHeight="1">
      <c r="A133" s="14" t="str">
        <f>if(H133&lt;&gt;"",VLOOKUP(H133,ID!$A$2:$C$999,3,FALSE),"") </f>
        <v>BT0128</v>
      </c>
      <c r="B133" s="15" t="s">
        <v>0</v>
      </c>
      <c r="C133" s="16" t="s">
        <v>1</v>
      </c>
      <c r="D133" s="17" t="s">
        <v>46</v>
      </c>
      <c r="E133" s="18" t="s">
        <v>608</v>
      </c>
      <c r="F133" s="19">
        <v>3000.0</v>
      </c>
      <c r="G133" s="21" t="s">
        <v>609</v>
      </c>
      <c r="H133" s="21" t="s">
        <v>610</v>
      </c>
      <c r="I133" s="22" t="s">
        <v>611</v>
      </c>
      <c r="J133" s="21" t="s">
        <v>612</v>
      </c>
      <c r="K133" s="21" t="s">
        <v>8</v>
      </c>
      <c r="L133" s="21" t="s">
        <v>9</v>
      </c>
      <c r="M133" s="22" t="s">
        <v>10</v>
      </c>
      <c r="N133" s="23"/>
      <c r="O133" s="24">
        <v>43176.0</v>
      </c>
      <c r="P133" s="24">
        <v>43176.0</v>
      </c>
      <c r="Q133" s="25">
        <v>36.0</v>
      </c>
      <c r="R133" s="26">
        <f>IFERROR(__xludf.DUMMYFUNCTION("IF (OR( Q133 = """" , P133 =""""), """" , IF(Q133 = ""Menos de 1 mês"" , ""antes de ""&amp; TO_TEXT( EDATE(P133, 1)), EDATE(P133,Q133)))"),44272.0)</f>
        <v>44272</v>
      </c>
      <c r="S133" s="21">
        <v>3.0</v>
      </c>
      <c r="T133" s="19">
        <v>72000.0</v>
      </c>
      <c r="U133" s="19">
        <v>72000.0</v>
      </c>
      <c r="V133" s="27">
        <v>43377.0</v>
      </c>
      <c r="W133" s="21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</row>
    <row r="134" ht="60.0" customHeight="1">
      <c r="A134" s="14" t="str">
        <f>if(H134&lt;&gt;"",VLOOKUP(H134,ID!$A$2:$C$999,3,FALSE),"") </f>
        <v>BT0129</v>
      </c>
      <c r="B134" s="15" t="s">
        <v>0</v>
      </c>
      <c r="C134" s="16" t="s">
        <v>1</v>
      </c>
      <c r="D134" s="17" t="s">
        <v>46</v>
      </c>
      <c r="E134" s="18" t="s">
        <v>613</v>
      </c>
      <c r="F134" s="21" t="s">
        <v>614</v>
      </c>
      <c r="G134" s="21" t="s">
        <v>615</v>
      </c>
      <c r="H134" s="21" t="s">
        <v>616</v>
      </c>
      <c r="I134" s="22" t="s">
        <v>617</v>
      </c>
      <c r="J134" s="21" t="s">
        <v>618</v>
      </c>
      <c r="K134" s="21" t="s">
        <v>8</v>
      </c>
      <c r="L134" s="21" t="s">
        <v>30</v>
      </c>
      <c r="M134" s="22" t="s">
        <v>619</v>
      </c>
      <c r="N134" s="23"/>
      <c r="O134" s="29" t="s">
        <v>489</v>
      </c>
      <c r="P134" s="29" t="s">
        <v>489</v>
      </c>
      <c r="Q134" s="25">
        <v>36.0</v>
      </c>
      <c r="R134" s="26" t="str">
        <f>IFERROR(__xludf.DUMMYFUNCTION("IF (OR( Q134 = """" , P134 =""""), """" , IF(Q134 = ""Menos de 1 mês"" , ""antes de ""&amp; TO_TEXT( EDATE(P134, 1)), EDATE(P134,Q134)))"),"#VALUE!")</f>
        <v>#VALUE!</v>
      </c>
      <c r="S134" s="21">
        <v>1.0</v>
      </c>
      <c r="T134" s="19">
        <v>18000.0</v>
      </c>
      <c r="U134" s="19">
        <v>18000.0</v>
      </c>
      <c r="V134" s="31" t="s">
        <v>307</v>
      </c>
      <c r="W134" s="21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</row>
    <row r="135" ht="60.0" customHeight="1">
      <c r="A135" s="14" t="str">
        <f>if(H135&lt;&gt;"",VLOOKUP(H135,ID!$A$2:$C$999,3,FALSE),"") </f>
        <v>BT0010</v>
      </c>
      <c r="B135" s="15" t="s">
        <v>0</v>
      </c>
      <c r="C135" s="16" t="s">
        <v>1</v>
      </c>
      <c r="D135" s="17" t="s">
        <v>46</v>
      </c>
      <c r="E135" s="18" t="s">
        <v>620</v>
      </c>
      <c r="F135" s="51">
        <v>1379.0</v>
      </c>
      <c r="G135" s="52" t="s">
        <v>65</v>
      </c>
      <c r="H135" s="21" t="s">
        <v>66</v>
      </c>
      <c r="I135" s="53" t="s">
        <v>621</v>
      </c>
      <c r="J135" s="21" t="s">
        <v>68</v>
      </c>
      <c r="K135" s="21" t="s">
        <v>8</v>
      </c>
      <c r="L135" s="22" t="s">
        <v>9</v>
      </c>
      <c r="M135" s="54" t="s">
        <v>622</v>
      </c>
      <c r="N135" s="23"/>
      <c r="O135" s="24">
        <v>44239.0</v>
      </c>
      <c r="P135" s="24">
        <v>44239.0</v>
      </c>
      <c r="Q135" s="25">
        <v>36.0</v>
      </c>
      <c r="R135" s="26">
        <f>IFERROR(__xludf.DUMMYFUNCTION("IF (OR( Q135 = """" , P135 =""""), """" , IF(Q135 = ""Menos de 1 mês"" , ""antes de ""&amp; TO_TEXT( EDATE(P135, 1)), EDATE(P135,Q135)))"),45334.0)</f>
        <v>45334</v>
      </c>
      <c r="S135" s="21">
        <v>1.0</v>
      </c>
      <c r="T135" s="55" t="s">
        <v>623</v>
      </c>
      <c r="U135" s="56" t="s">
        <v>623</v>
      </c>
      <c r="V135" s="27">
        <v>44625.0</v>
      </c>
      <c r="W135" s="21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</row>
    <row r="136" ht="60.0" customHeight="1">
      <c r="A136" s="14" t="str">
        <f>if(H136&lt;&gt;"",VLOOKUP(H136,ID!$A$2:$C$999,3,FALSE),"") </f>
        <v>BT0130</v>
      </c>
      <c r="B136" s="15" t="s">
        <v>0</v>
      </c>
      <c r="C136" s="16" t="s">
        <v>1</v>
      </c>
      <c r="D136" s="17" t="s">
        <v>155</v>
      </c>
      <c r="E136" s="18" t="s">
        <v>624</v>
      </c>
      <c r="F136" s="34">
        <v>2008.55</v>
      </c>
      <c r="G136" s="21" t="s">
        <v>625</v>
      </c>
      <c r="H136" s="21" t="s">
        <v>626</v>
      </c>
      <c r="I136" s="22" t="s">
        <v>627</v>
      </c>
      <c r="J136" s="21" t="s">
        <v>628</v>
      </c>
      <c r="K136" s="21" t="s">
        <v>8</v>
      </c>
      <c r="L136" s="21" t="s">
        <v>9</v>
      </c>
      <c r="M136" s="22" t="s">
        <v>10</v>
      </c>
      <c r="N136" s="23"/>
      <c r="O136" s="24">
        <v>43181.0</v>
      </c>
      <c r="P136" s="24">
        <v>43181.0</v>
      </c>
      <c r="Q136" s="25">
        <v>36.0</v>
      </c>
      <c r="R136" s="26">
        <f>IFERROR(__xludf.DUMMYFUNCTION("IF (OR( Q136 = """" , P136 =""""), """" , IF(Q136 = ""Menos de 1 mês"" , ""antes de ""&amp; TO_TEXT( EDATE(P136, 1)), EDATE(P136,Q136)))"),44277.0)</f>
        <v>44277</v>
      </c>
      <c r="S136" s="21">
        <v>2.0</v>
      </c>
      <c r="T136" s="19">
        <v>8200.0</v>
      </c>
      <c r="U136" s="19">
        <v>8200.0</v>
      </c>
      <c r="V136" s="27">
        <v>43377.0</v>
      </c>
      <c r="W136" s="21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</row>
    <row r="137" ht="60.0" customHeight="1">
      <c r="A137" s="14" t="str">
        <f>if(H137&lt;&gt;"",VLOOKUP(H137,ID!$A$2:$C$999,3,FALSE),"") </f>
        <v>BT0131</v>
      </c>
      <c r="B137" s="15" t="s">
        <v>0</v>
      </c>
      <c r="C137" s="16" t="s">
        <v>1</v>
      </c>
      <c r="D137" s="17" t="s">
        <v>33</v>
      </c>
      <c r="E137" s="18" t="s">
        <v>629</v>
      </c>
      <c r="F137" s="21">
        <v>200.0</v>
      </c>
      <c r="G137" s="21" t="s">
        <v>630</v>
      </c>
      <c r="H137" s="21" t="s">
        <v>631</v>
      </c>
      <c r="I137" s="22" t="s">
        <v>632</v>
      </c>
      <c r="J137" s="21" t="s">
        <v>633</v>
      </c>
      <c r="K137" s="21" t="s">
        <v>8</v>
      </c>
      <c r="L137" s="21" t="s">
        <v>9</v>
      </c>
      <c r="M137" s="22" t="s">
        <v>10</v>
      </c>
      <c r="N137" s="23"/>
      <c r="O137" s="24">
        <v>43181.0</v>
      </c>
      <c r="P137" s="24">
        <v>43181.0</v>
      </c>
      <c r="Q137" s="25">
        <v>36.0</v>
      </c>
      <c r="R137" s="26">
        <f>IFERROR(__xludf.DUMMYFUNCTION("IF (OR( Q137 = """" , P137 =""""), """" , IF(Q137 = ""Menos de 1 mês"" , ""antes de ""&amp; TO_TEXT( EDATE(P137, 1)), EDATE(P137,Q137)))"),44277.0)</f>
        <v>44277</v>
      </c>
      <c r="S137" s="21">
        <v>1.0</v>
      </c>
      <c r="T137" s="19">
        <v>36000.0</v>
      </c>
      <c r="U137" s="19">
        <v>36000.0</v>
      </c>
      <c r="V137" s="27">
        <v>43377.0</v>
      </c>
      <c r="W137" s="21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</row>
    <row r="138" ht="60.0" customHeight="1">
      <c r="A138" s="14" t="str">
        <f>if(H138&lt;&gt;"",VLOOKUP(H138,ID!$A$2:$C$999,3,FALSE),"") </f>
        <v>BT0132</v>
      </c>
      <c r="B138" s="15" t="s">
        <v>0</v>
      </c>
      <c r="C138" s="16" t="s">
        <v>1</v>
      </c>
      <c r="D138" s="17" t="s">
        <v>178</v>
      </c>
      <c r="E138" s="18" t="s">
        <v>634</v>
      </c>
      <c r="F138" s="19">
        <v>5869.0</v>
      </c>
      <c r="G138" s="21" t="s">
        <v>635</v>
      </c>
      <c r="H138" s="21" t="s">
        <v>636</v>
      </c>
      <c r="I138" s="22" t="s">
        <v>637</v>
      </c>
      <c r="J138" s="21" t="s">
        <v>638</v>
      </c>
      <c r="K138" s="21" t="s">
        <v>8</v>
      </c>
      <c r="L138" s="21" t="s">
        <v>9</v>
      </c>
      <c r="M138" s="22" t="s">
        <v>10</v>
      </c>
      <c r="N138" s="23"/>
      <c r="O138" s="24">
        <v>43181.0</v>
      </c>
      <c r="P138" s="24">
        <v>43181.0</v>
      </c>
      <c r="Q138" s="25">
        <v>36.0</v>
      </c>
      <c r="R138" s="26">
        <f>IFERROR(__xludf.DUMMYFUNCTION("IF (OR( Q138 = """" , P138 =""""), """" , IF(Q138 = ""Menos de 1 mês"" , ""antes de ""&amp; TO_TEXT( EDATE(P138, 1)), EDATE(P138,Q138)))"),44277.0)</f>
        <v>44277</v>
      </c>
      <c r="S138" s="21">
        <v>4.0</v>
      </c>
      <c r="T138" s="19">
        <v>18000.0</v>
      </c>
      <c r="U138" s="19">
        <v>18000.0</v>
      </c>
      <c r="V138" s="27">
        <v>43377.0</v>
      </c>
      <c r="W138" s="21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</row>
    <row r="139" ht="60.0" customHeight="1">
      <c r="A139" s="14" t="str">
        <f>if(H139&lt;&gt;"",VLOOKUP(H139,ID!$A$2:$C$999,3,FALSE),"") </f>
        <v>BT0133</v>
      </c>
      <c r="B139" s="15" t="s">
        <v>0</v>
      </c>
      <c r="C139" s="16" t="s">
        <v>1</v>
      </c>
      <c r="D139" s="17" t="s">
        <v>2</v>
      </c>
      <c r="E139" s="18" t="s">
        <v>639</v>
      </c>
      <c r="F139" s="19">
        <v>6000.0</v>
      </c>
      <c r="G139" s="21" t="s">
        <v>640</v>
      </c>
      <c r="H139" s="21" t="s">
        <v>641</v>
      </c>
      <c r="I139" s="22" t="s">
        <v>642</v>
      </c>
      <c r="J139" s="21" t="s">
        <v>643</v>
      </c>
      <c r="K139" s="21" t="s">
        <v>8</v>
      </c>
      <c r="L139" s="21" t="s">
        <v>30</v>
      </c>
      <c r="M139" s="22" t="s">
        <v>500</v>
      </c>
      <c r="N139" s="23"/>
      <c r="O139" s="24">
        <v>43195.0</v>
      </c>
      <c r="P139" s="24">
        <v>43195.0</v>
      </c>
      <c r="Q139" s="25">
        <v>36.0</v>
      </c>
      <c r="R139" s="26">
        <f>IFERROR(__xludf.DUMMYFUNCTION("IF (OR( Q139 = """" , P139 =""""), """" , IF(Q139 = ""Menos de 1 mês"" , ""antes de ""&amp; TO_TEXT( EDATE(P139, 1)), EDATE(P139,Q139)))"),44291.0)</f>
        <v>44291</v>
      </c>
      <c r="S139" s="21">
        <v>4.0</v>
      </c>
      <c r="T139" s="19">
        <v>144000.0</v>
      </c>
      <c r="U139" s="19">
        <v>144000.0</v>
      </c>
      <c r="V139" s="27">
        <v>43377.0</v>
      </c>
      <c r="W139" s="21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</row>
    <row r="140" ht="60.0" customHeight="1">
      <c r="A140" s="14" t="str">
        <f>if(H140&lt;&gt;"",VLOOKUP(H140,ID!$A$2:$C$999,3,FALSE),"") </f>
        <v>BT0134</v>
      </c>
      <c r="B140" s="15" t="s">
        <v>0</v>
      </c>
      <c r="C140" s="16" t="s">
        <v>1</v>
      </c>
      <c r="D140" s="17" t="s">
        <v>155</v>
      </c>
      <c r="E140" s="18" t="s">
        <v>644</v>
      </c>
      <c r="F140" s="19">
        <v>1726.0</v>
      </c>
      <c r="G140" s="21" t="s">
        <v>645</v>
      </c>
      <c r="H140" s="21" t="s">
        <v>646</v>
      </c>
      <c r="I140" s="22" t="s">
        <v>647</v>
      </c>
      <c r="J140" s="21" t="s">
        <v>648</v>
      </c>
      <c r="K140" s="21" t="s">
        <v>8</v>
      </c>
      <c r="L140" s="21" t="s">
        <v>9</v>
      </c>
      <c r="M140" s="22" t="s">
        <v>10</v>
      </c>
      <c r="N140" s="23"/>
      <c r="O140" s="24">
        <v>43210.0</v>
      </c>
      <c r="P140" s="24">
        <v>43210.0</v>
      </c>
      <c r="Q140" s="25">
        <v>36.0</v>
      </c>
      <c r="R140" s="26">
        <f>IFERROR(__xludf.DUMMYFUNCTION("IF (OR( Q140 = """" , P140 =""""), """" , IF(Q140 = ""Menos de 1 mês"" , ""antes de ""&amp; TO_TEXT( EDATE(P140, 1)), EDATE(P140,Q140)))"),44306.0)</f>
        <v>44306</v>
      </c>
      <c r="S140" s="21">
        <v>2.0</v>
      </c>
      <c r="T140" s="19">
        <v>18000.0</v>
      </c>
      <c r="U140" s="19">
        <v>18000.0</v>
      </c>
      <c r="V140" s="27">
        <v>43377.0</v>
      </c>
      <c r="W140" s="21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</row>
    <row r="141" ht="60.0" customHeight="1">
      <c r="A141" s="14" t="str">
        <f>if(H141&lt;&gt;"",VLOOKUP(H141,ID!$A$2:$C$999,3,FALSE),"") </f>
        <v>BT0135</v>
      </c>
      <c r="B141" s="15" t="s">
        <v>0</v>
      </c>
      <c r="C141" s="16" t="s">
        <v>1</v>
      </c>
      <c r="D141" s="17" t="s">
        <v>178</v>
      </c>
      <c r="E141" s="18" t="s">
        <v>649</v>
      </c>
      <c r="F141" s="19">
        <v>2496.0</v>
      </c>
      <c r="G141" s="21" t="s">
        <v>650</v>
      </c>
      <c r="H141" s="21" t="s">
        <v>651</v>
      </c>
      <c r="I141" s="22" t="s">
        <v>652</v>
      </c>
      <c r="J141" s="21"/>
      <c r="K141" s="21" t="s">
        <v>8</v>
      </c>
      <c r="L141" s="21" t="s">
        <v>9</v>
      </c>
      <c r="M141" s="22" t="s">
        <v>10</v>
      </c>
      <c r="N141" s="23"/>
      <c r="O141" s="24">
        <v>43202.0</v>
      </c>
      <c r="P141" s="24">
        <v>43202.0</v>
      </c>
      <c r="Q141" s="25">
        <v>36.0</v>
      </c>
      <c r="R141" s="26">
        <f>IFERROR(__xludf.DUMMYFUNCTION("IF (OR( Q141 = """" , P141 =""""), """" , IF(Q141 = ""Menos de 1 mês"" , ""antes de ""&amp; TO_TEXT( EDATE(P141, 1)), EDATE(P141,Q141)))"),44298.0)</f>
        <v>44298</v>
      </c>
      <c r="S141" s="21">
        <v>3.0</v>
      </c>
      <c r="T141" s="19">
        <v>18000.0</v>
      </c>
      <c r="U141" s="19">
        <v>18000.0</v>
      </c>
      <c r="V141" s="27">
        <v>43377.0</v>
      </c>
      <c r="W141" s="21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</row>
    <row r="142" ht="60.0" customHeight="1">
      <c r="A142" s="14" t="str">
        <f>if(H142&lt;&gt;"",VLOOKUP(H142,ID!$A$2:$C$999,3,FALSE),"") </f>
        <v>BT0136</v>
      </c>
      <c r="B142" s="15" t="s">
        <v>0</v>
      </c>
      <c r="C142" s="16" t="s">
        <v>1</v>
      </c>
      <c r="D142" s="17" t="s">
        <v>46</v>
      </c>
      <c r="E142" s="18" t="s">
        <v>653</v>
      </c>
      <c r="F142" s="19">
        <v>5000.0</v>
      </c>
      <c r="G142" s="21" t="s">
        <v>654</v>
      </c>
      <c r="H142" s="21" t="s">
        <v>655</v>
      </c>
      <c r="I142" s="22" t="s">
        <v>656</v>
      </c>
      <c r="J142" s="21" t="s">
        <v>657</v>
      </c>
      <c r="K142" s="21" t="s">
        <v>8</v>
      </c>
      <c r="L142" s="21" t="s">
        <v>9</v>
      </c>
      <c r="M142" s="22" t="s">
        <v>10</v>
      </c>
      <c r="N142" s="23"/>
      <c r="O142" s="24">
        <v>43209.0</v>
      </c>
      <c r="P142" s="24">
        <v>43209.0</v>
      </c>
      <c r="Q142" s="25">
        <v>36.0</v>
      </c>
      <c r="R142" s="26">
        <f>IFERROR(__xludf.DUMMYFUNCTION("IF (OR( Q142 = """" , P142 =""""), """" , IF(Q142 = ""Menos de 1 mês"" , ""antes de ""&amp; TO_TEXT( EDATE(P142, 1)), EDATE(P142,Q142)))"),44305.0)</f>
        <v>44305</v>
      </c>
      <c r="S142" s="21">
        <v>4.0</v>
      </c>
      <c r="T142" s="19">
        <v>18000.0</v>
      </c>
      <c r="U142" s="19">
        <v>18000.0</v>
      </c>
      <c r="V142" s="27">
        <v>43377.0</v>
      </c>
      <c r="W142" s="21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</row>
    <row r="143" ht="60.0" customHeight="1">
      <c r="A143" s="14" t="str">
        <f>if(H143&lt;&gt;"",VLOOKUP(H143,ID!$A$2:$C$999,3,FALSE),"") </f>
        <v>BT0137</v>
      </c>
      <c r="B143" s="15" t="s">
        <v>0</v>
      </c>
      <c r="C143" s="16" t="s">
        <v>1</v>
      </c>
      <c r="D143" s="17" t="s">
        <v>658</v>
      </c>
      <c r="E143" s="18" t="s">
        <v>659</v>
      </c>
      <c r="F143" s="19">
        <v>1779.0</v>
      </c>
      <c r="G143" s="21" t="s">
        <v>660</v>
      </c>
      <c r="H143" s="21" t="s">
        <v>661</v>
      </c>
      <c r="I143" s="22" t="s">
        <v>662</v>
      </c>
      <c r="J143" s="21" t="s">
        <v>663</v>
      </c>
      <c r="K143" s="21" t="s">
        <v>8</v>
      </c>
      <c r="L143" s="21" t="s">
        <v>9</v>
      </c>
      <c r="M143" s="22" t="s">
        <v>10</v>
      </c>
      <c r="N143" s="23"/>
      <c r="O143" s="24">
        <v>43228.0</v>
      </c>
      <c r="P143" s="24">
        <v>43228.0</v>
      </c>
      <c r="Q143" s="25">
        <v>36.0</v>
      </c>
      <c r="R143" s="26">
        <f>IFERROR(__xludf.DUMMYFUNCTION("IF (OR( Q143 = """" , P143 =""""), """" , IF(Q143 = ""Menos de 1 mês"" , ""antes de ""&amp; TO_TEXT( EDATE(P143, 1)), EDATE(P143,Q143)))"),44324.0)</f>
        <v>44324</v>
      </c>
      <c r="S143" s="21">
        <v>2.0</v>
      </c>
      <c r="T143" s="19">
        <v>4800.0</v>
      </c>
      <c r="U143" s="19">
        <v>4800.0</v>
      </c>
      <c r="V143" s="27">
        <v>43377.0</v>
      </c>
      <c r="W143" s="21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</row>
    <row r="144" ht="60.0" customHeight="1">
      <c r="A144" s="14" t="str">
        <f>if(H144&lt;&gt;"",VLOOKUP(H144,ID!$A$2:$C$999,3,FALSE),"") </f>
        <v>BT0138</v>
      </c>
      <c r="B144" s="15" t="s">
        <v>0</v>
      </c>
      <c r="C144" s="16" t="s">
        <v>1</v>
      </c>
      <c r="D144" s="17" t="s">
        <v>33</v>
      </c>
      <c r="E144" s="18" t="s">
        <v>664</v>
      </c>
      <c r="F144" s="19">
        <v>1421.0</v>
      </c>
      <c r="G144" s="21" t="s">
        <v>665</v>
      </c>
      <c r="H144" s="21" t="s">
        <v>666</v>
      </c>
      <c r="I144" s="22" t="s">
        <v>667</v>
      </c>
      <c r="J144" s="21" t="s">
        <v>668</v>
      </c>
      <c r="K144" s="21" t="s">
        <v>8</v>
      </c>
      <c r="L144" s="21" t="s">
        <v>9</v>
      </c>
      <c r="M144" s="22" t="s">
        <v>10</v>
      </c>
      <c r="N144" s="23"/>
      <c r="O144" s="24">
        <v>43228.0</v>
      </c>
      <c r="P144" s="24">
        <v>43228.0</v>
      </c>
      <c r="Q144" s="25">
        <v>36.0</v>
      </c>
      <c r="R144" s="26">
        <f>IFERROR(__xludf.DUMMYFUNCTION("IF (OR( Q144 = """" , P144 =""""), """" , IF(Q144 = ""Menos de 1 mês"" , ""antes de ""&amp; TO_TEXT( EDATE(P144, 1)), EDATE(P144,Q144)))"),44324.0)</f>
        <v>44324</v>
      </c>
      <c r="S144" s="21">
        <v>1.0</v>
      </c>
      <c r="T144" s="19">
        <v>144000.0</v>
      </c>
      <c r="U144" s="19">
        <v>144000.0</v>
      </c>
      <c r="V144" s="27">
        <v>43377.0</v>
      </c>
      <c r="W144" s="21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</row>
    <row r="145" ht="60.0" customHeight="1">
      <c r="A145" s="14" t="str">
        <f>if(H145&lt;&gt;"",VLOOKUP(H145,ID!$A$2:$C$999,3,FALSE),"") </f>
        <v>BT0139</v>
      </c>
      <c r="B145" s="15" t="s">
        <v>0</v>
      </c>
      <c r="C145" s="16" t="s">
        <v>1</v>
      </c>
      <c r="D145" s="17" t="s">
        <v>155</v>
      </c>
      <c r="E145" s="18" t="s">
        <v>669</v>
      </c>
      <c r="F145" s="21">
        <v>400.0</v>
      </c>
      <c r="G145" s="21" t="s">
        <v>670</v>
      </c>
      <c r="H145" s="21" t="s">
        <v>671</v>
      </c>
      <c r="I145" s="22" t="s">
        <v>672</v>
      </c>
      <c r="J145" s="21" t="s">
        <v>673</v>
      </c>
      <c r="K145" s="21" t="s">
        <v>8</v>
      </c>
      <c r="L145" s="21" t="s">
        <v>30</v>
      </c>
      <c r="M145" s="22" t="s">
        <v>62</v>
      </c>
      <c r="N145" s="23"/>
      <c r="O145" s="24">
        <v>43309.0</v>
      </c>
      <c r="P145" s="24">
        <v>43309.0</v>
      </c>
      <c r="Q145" s="25">
        <v>36.0</v>
      </c>
      <c r="R145" s="26">
        <f>IFERROR(__xludf.DUMMYFUNCTION("IF (OR( Q145 = """" , P145 =""""), """" , IF(Q145 = ""Menos de 1 mês"" , ""antes de ""&amp; TO_TEXT( EDATE(P145, 1)), EDATE(P145,Q145)))"),44405.0)</f>
        <v>44405</v>
      </c>
      <c r="S145" s="21">
        <v>1.0</v>
      </c>
      <c r="T145" s="19">
        <v>4800.0</v>
      </c>
      <c r="U145" s="19">
        <v>4800.0</v>
      </c>
      <c r="V145" s="27">
        <v>43377.0</v>
      </c>
      <c r="W145" s="21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</row>
    <row r="146" ht="60.0" customHeight="1">
      <c r="A146" s="14" t="str">
        <f>if(H146&lt;&gt;"",VLOOKUP(H146,ID!$A$2:$C$999,3,FALSE),"") </f>
        <v>BT0140</v>
      </c>
      <c r="B146" s="15" t="s">
        <v>0</v>
      </c>
      <c r="C146" s="16" t="s">
        <v>1</v>
      </c>
      <c r="D146" s="17" t="s">
        <v>33</v>
      </c>
      <c r="E146" s="18" t="s">
        <v>674</v>
      </c>
      <c r="F146" s="19">
        <v>1250.0</v>
      </c>
      <c r="G146" s="21" t="s">
        <v>675</v>
      </c>
      <c r="H146" s="21" t="s">
        <v>676</v>
      </c>
      <c r="I146" s="22" t="s">
        <v>677</v>
      </c>
      <c r="J146" s="21" t="s">
        <v>678</v>
      </c>
      <c r="K146" s="21" t="s">
        <v>8</v>
      </c>
      <c r="L146" s="21" t="s">
        <v>30</v>
      </c>
      <c r="M146" s="22" t="s">
        <v>679</v>
      </c>
      <c r="N146" s="23"/>
      <c r="O146" s="24">
        <v>43228.0</v>
      </c>
      <c r="P146" s="24">
        <v>43228.0</v>
      </c>
      <c r="Q146" s="25">
        <v>36.0</v>
      </c>
      <c r="R146" s="26">
        <f>IFERROR(__xludf.DUMMYFUNCTION("IF (OR( Q146 = """" , P146 =""""), """" , IF(Q146 = ""Menos de 1 mês"" , ""antes de ""&amp; TO_TEXT( EDATE(P146, 1)), EDATE(P146,Q146)))"),44324.0)</f>
        <v>44324</v>
      </c>
      <c r="S146" s="21">
        <v>2.0</v>
      </c>
      <c r="T146" s="19">
        <v>36000.0</v>
      </c>
      <c r="U146" s="19">
        <v>36000.0</v>
      </c>
      <c r="V146" s="27">
        <v>43377.0</v>
      </c>
      <c r="W146" s="21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</row>
    <row r="147" ht="60.0" customHeight="1">
      <c r="A147" s="14" t="str">
        <f>if(H147&lt;&gt;"",VLOOKUP(H147,ID!$A$2:$C$999,3,FALSE),"") </f>
        <v>BT0141</v>
      </c>
      <c r="B147" s="15" t="s">
        <v>0</v>
      </c>
      <c r="C147" s="16" t="s">
        <v>1</v>
      </c>
      <c r="D147" s="17" t="s">
        <v>33</v>
      </c>
      <c r="E147" s="18" t="s">
        <v>680</v>
      </c>
      <c r="F147" s="19">
        <v>4000.0</v>
      </c>
      <c r="G147" s="21" t="s">
        <v>681</v>
      </c>
      <c r="H147" s="21" t="s">
        <v>682</v>
      </c>
      <c r="I147" s="22" t="s">
        <v>683</v>
      </c>
      <c r="J147" s="21" t="s">
        <v>684</v>
      </c>
      <c r="K147" s="21" t="s">
        <v>8</v>
      </c>
      <c r="L147" s="21" t="s">
        <v>9</v>
      </c>
      <c r="M147" s="22" t="s">
        <v>10</v>
      </c>
      <c r="N147" s="23"/>
      <c r="O147" s="24">
        <v>43308.0</v>
      </c>
      <c r="P147" s="24">
        <v>43308.0</v>
      </c>
      <c r="Q147" s="25">
        <v>36.0</v>
      </c>
      <c r="R147" s="26">
        <f>IFERROR(__xludf.DUMMYFUNCTION("IF (OR( Q147 = """" , P147 =""""), """" , IF(Q147 = ""Menos de 1 mês"" , ""antes de ""&amp; TO_TEXT( EDATE(P147, 1)), EDATE(P147,Q147)))"),44404.0)</f>
        <v>44404</v>
      </c>
      <c r="S147" s="21">
        <v>8.0</v>
      </c>
      <c r="T147" s="19">
        <v>174000.0</v>
      </c>
      <c r="U147" s="19">
        <v>174000.0</v>
      </c>
      <c r="V147" s="27">
        <v>43514.0</v>
      </c>
      <c r="W147" s="21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</row>
    <row r="148" ht="60.0" customHeight="1">
      <c r="A148" s="14" t="str">
        <f>if(H148&lt;&gt;"",VLOOKUP(H148,ID!$A$2:$C$999,3,FALSE),"") </f>
        <v>BT0142</v>
      </c>
      <c r="B148" s="15" t="s">
        <v>0</v>
      </c>
      <c r="C148" s="16" t="s">
        <v>1</v>
      </c>
      <c r="D148" s="17" t="s">
        <v>178</v>
      </c>
      <c r="E148" s="18" t="s">
        <v>685</v>
      </c>
      <c r="F148" s="19">
        <v>4443.0</v>
      </c>
      <c r="G148" s="21" t="s">
        <v>686</v>
      </c>
      <c r="H148" s="21" t="s">
        <v>687</v>
      </c>
      <c r="I148" s="22" t="s">
        <v>688</v>
      </c>
      <c r="J148" s="21" t="s">
        <v>689</v>
      </c>
      <c r="K148" s="21" t="s">
        <v>8</v>
      </c>
      <c r="L148" s="21" t="s">
        <v>9</v>
      </c>
      <c r="M148" s="22" t="s">
        <v>10</v>
      </c>
      <c r="N148" s="23"/>
      <c r="O148" s="24">
        <v>43271.0</v>
      </c>
      <c r="P148" s="24">
        <v>43271.0</v>
      </c>
      <c r="Q148" s="25">
        <v>36.0</v>
      </c>
      <c r="R148" s="26">
        <f>IFERROR(__xludf.DUMMYFUNCTION("IF (OR( Q148 = """" , P148 =""""), """" , IF(Q148 = ""Menos de 1 mês"" , ""antes de ""&amp; TO_TEXT( EDATE(P148, 1)), EDATE(P148,Q148)))"),44367.0)</f>
        <v>44367</v>
      </c>
      <c r="S148" s="21">
        <v>4.0</v>
      </c>
      <c r="T148" s="19">
        <v>10800.0</v>
      </c>
      <c r="U148" s="19">
        <v>10800.0</v>
      </c>
      <c r="V148" s="27">
        <v>43377.0</v>
      </c>
      <c r="W148" s="21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</row>
    <row r="149" ht="60.0" customHeight="1">
      <c r="A149" s="14" t="str">
        <f>if(H149&lt;&gt;"",VLOOKUP(H149,ID!$A$2:$C$999,3,FALSE),"") </f>
        <v>BT0143</v>
      </c>
      <c r="B149" s="15" t="s">
        <v>0</v>
      </c>
      <c r="C149" s="16" t="s">
        <v>1</v>
      </c>
      <c r="D149" s="17" t="s">
        <v>155</v>
      </c>
      <c r="E149" s="18" t="s">
        <v>690</v>
      </c>
      <c r="F149" s="34">
        <v>2008.55</v>
      </c>
      <c r="G149" s="21" t="s">
        <v>691</v>
      </c>
      <c r="H149" s="21" t="s">
        <v>692</v>
      </c>
      <c r="I149" s="22" t="s">
        <v>693</v>
      </c>
      <c r="J149" s="21" t="s">
        <v>694</v>
      </c>
      <c r="K149" s="21" t="s">
        <v>8</v>
      </c>
      <c r="L149" s="21" t="s">
        <v>9</v>
      </c>
      <c r="M149" s="22" t="s">
        <v>10</v>
      </c>
      <c r="N149" s="23"/>
      <c r="O149" s="24">
        <v>43299.0</v>
      </c>
      <c r="P149" s="24">
        <v>43299.0</v>
      </c>
      <c r="Q149" s="25">
        <v>36.0</v>
      </c>
      <c r="R149" s="26">
        <f>IFERROR(__xludf.DUMMYFUNCTION("IF (OR( Q149 = """" , P149 =""""), """" , IF(Q149 = ""Menos de 1 mês"" , ""antes de ""&amp; TO_TEXT( EDATE(P149, 1)), EDATE(P149,Q149)))"),44395.0)</f>
        <v>44395</v>
      </c>
      <c r="S149" s="21">
        <v>1.0</v>
      </c>
      <c r="T149" s="19">
        <v>18000.0</v>
      </c>
      <c r="U149" s="19">
        <v>18000.0</v>
      </c>
      <c r="V149" s="27">
        <v>43377.0</v>
      </c>
      <c r="W149" s="21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</row>
    <row r="150" ht="60.0" customHeight="1">
      <c r="A150" s="14" t="str">
        <f>if(H150&lt;&gt;"",VLOOKUP(H150,ID!$A$2:$C$999,3,FALSE),"") </f>
        <v>BT0144</v>
      </c>
      <c r="B150" s="15" t="s">
        <v>0</v>
      </c>
      <c r="C150" s="16" t="s">
        <v>1</v>
      </c>
      <c r="D150" s="17" t="s">
        <v>33</v>
      </c>
      <c r="E150" s="18" t="s">
        <v>695</v>
      </c>
      <c r="F150" s="21">
        <v>15.0</v>
      </c>
      <c r="G150" s="21" t="s">
        <v>696</v>
      </c>
      <c r="H150" s="21" t="s">
        <v>697</v>
      </c>
      <c r="I150" s="22" t="s">
        <v>698</v>
      </c>
      <c r="J150" s="21" t="s">
        <v>699</v>
      </c>
      <c r="K150" s="21" t="s">
        <v>8</v>
      </c>
      <c r="L150" s="21" t="s">
        <v>30</v>
      </c>
      <c r="M150" s="22" t="s">
        <v>500</v>
      </c>
      <c r="N150" s="23"/>
      <c r="O150" s="32">
        <v>44327.0</v>
      </c>
      <c r="P150" s="32">
        <v>44327.0</v>
      </c>
      <c r="Q150" s="25">
        <v>36.0</v>
      </c>
      <c r="R150" s="26">
        <f>IFERROR(__xludf.DUMMYFUNCTION("IF (OR( Q150 = """" , P150 =""""), """" , IF(Q150 = ""Menos de 1 mês"" , ""antes de ""&amp; TO_TEXT( EDATE(P150, 1)), EDATE(P150,Q150)))"),45423.0)</f>
        <v>45423</v>
      </c>
      <c r="S150" s="21">
        <v>1.0</v>
      </c>
      <c r="T150" s="19">
        <v>12600.0</v>
      </c>
      <c r="U150" s="19">
        <v>12600.0</v>
      </c>
      <c r="V150" s="31" t="s">
        <v>700</v>
      </c>
      <c r="W150" s="21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</row>
    <row r="151" ht="60.0" customHeight="1">
      <c r="A151" s="14" t="str">
        <f>if(H151&lt;&gt;"",VLOOKUP(H151,ID!$A$2:$C$999,3,FALSE),"") </f>
        <v>BT0145</v>
      </c>
      <c r="B151" s="15" t="s">
        <v>0</v>
      </c>
      <c r="C151" s="16" t="s">
        <v>1</v>
      </c>
      <c r="D151" s="17" t="s">
        <v>33</v>
      </c>
      <c r="E151" s="18" t="s">
        <v>701</v>
      </c>
      <c r="F151" s="21">
        <v>10.0</v>
      </c>
      <c r="G151" s="21" t="s">
        <v>702</v>
      </c>
      <c r="H151" s="21" t="s">
        <v>703</v>
      </c>
      <c r="I151" s="22" t="s">
        <v>698</v>
      </c>
      <c r="J151" s="21" t="s">
        <v>699</v>
      </c>
      <c r="K151" s="21" t="s">
        <v>8</v>
      </c>
      <c r="L151" s="21" t="s">
        <v>96</v>
      </c>
      <c r="M151" s="22" t="s">
        <v>10</v>
      </c>
      <c r="N151" s="23"/>
      <c r="O151" s="29" t="s">
        <v>704</v>
      </c>
      <c r="P151" s="29" t="s">
        <v>704</v>
      </c>
      <c r="Q151" s="25">
        <v>36.0</v>
      </c>
      <c r="R151" s="26" t="str">
        <f>IFERROR(__xludf.DUMMYFUNCTION("IF (OR( Q151 = """" , P151 =""""), """" , IF(Q151 = ""Menos de 1 mês"" , ""antes de ""&amp; TO_TEXT( EDATE(P151, 1)), EDATE(P151,Q151)))"),"#VALUE!")</f>
        <v>#VALUE!</v>
      </c>
      <c r="S151" s="21">
        <v>1.0</v>
      </c>
      <c r="T151" s="19">
        <v>12600.0</v>
      </c>
      <c r="U151" s="19">
        <v>12600.0</v>
      </c>
      <c r="V151" s="31" t="s">
        <v>705</v>
      </c>
      <c r="W151" s="21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</row>
    <row r="152" ht="60.0" customHeight="1">
      <c r="A152" s="14" t="str">
        <f>if(H152&lt;&gt;"",VLOOKUP(H152,ID!$A$2:$C$999,3,FALSE),"") </f>
        <v>BT0146</v>
      </c>
      <c r="B152" s="15" t="s">
        <v>0</v>
      </c>
      <c r="C152" s="16" t="s">
        <v>1</v>
      </c>
      <c r="D152" s="17" t="s">
        <v>33</v>
      </c>
      <c r="E152" s="18" t="s">
        <v>706</v>
      </c>
      <c r="F152" s="21">
        <v>50.0</v>
      </c>
      <c r="G152" s="21" t="s">
        <v>707</v>
      </c>
      <c r="H152" s="21" t="s">
        <v>708</v>
      </c>
      <c r="I152" s="22" t="s">
        <v>698</v>
      </c>
      <c r="J152" s="21" t="s">
        <v>699</v>
      </c>
      <c r="K152" s="21" t="s">
        <v>8</v>
      </c>
      <c r="L152" s="21" t="s">
        <v>30</v>
      </c>
      <c r="M152" s="22" t="s">
        <v>126</v>
      </c>
      <c r="N152" s="23"/>
      <c r="O152" s="29" t="s">
        <v>704</v>
      </c>
      <c r="P152" s="29" t="s">
        <v>704</v>
      </c>
      <c r="Q152" s="25">
        <v>36.0</v>
      </c>
      <c r="R152" s="26" t="str">
        <f>IFERROR(__xludf.DUMMYFUNCTION("IF (OR( Q152 = """" , P152 =""""), """" , IF(Q152 = ""Menos de 1 mês"" , ""antes de ""&amp; TO_TEXT( EDATE(P152, 1)), EDATE(P152,Q152)))"),"#VALUE!")</f>
        <v>#VALUE!</v>
      </c>
      <c r="S152" s="21">
        <v>1.0</v>
      </c>
      <c r="T152" s="19">
        <v>12600.0</v>
      </c>
      <c r="U152" s="19">
        <v>12600.0</v>
      </c>
      <c r="V152" s="31" t="s">
        <v>705</v>
      </c>
      <c r="W152" s="21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</row>
    <row r="153" ht="60.0" customHeight="1">
      <c r="A153" s="14" t="str">
        <f>if(H153&lt;&gt;"",VLOOKUP(H153,ID!$A$2:$C$999,3,FALSE),"") </f>
        <v>BT0147</v>
      </c>
      <c r="B153" s="15" t="s">
        <v>0</v>
      </c>
      <c r="C153" s="16" t="s">
        <v>1</v>
      </c>
      <c r="D153" s="17" t="s">
        <v>33</v>
      </c>
      <c r="E153" s="18" t="s">
        <v>709</v>
      </c>
      <c r="F153" s="21">
        <v>25.0</v>
      </c>
      <c r="G153" s="21" t="s">
        <v>710</v>
      </c>
      <c r="H153" s="21" t="s">
        <v>711</v>
      </c>
      <c r="I153" s="22" t="s">
        <v>698</v>
      </c>
      <c r="J153" s="21" t="s">
        <v>699</v>
      </c>
      <c r="K153" s="21" t="s">
        <v>8</v>
      </c>
      <c r="L153" s="21" t="s">
        <v>30</v>
      </c>
      <c r="M153" s="22" t="s">
        <v>500</v>
      </c>
      <c r="N153" s="23"/>
      <c r="O153" s="32">
        <v>44327.0</v>
      </c>
      <c r="P153" s="32">
        <v>45423.0</v>
      </c>
      <c r="Q153" s="25">
        <v>36.0</v>
      </c>
      <c r="R153" s="26">
        <f>IFERROR(__xludf.DUMMYFUNCTION("IF (OR( Q153 = """" , P153 =""""), """" , IF(Q153 = ""Menos de 1 mês"" , ""antes de ""&amp; TO_TEXT( EDATE(P153, 1)), EDATE(P153,Q153)))"),46518.0)</f>
        <v>46518</v>
      </c>
      <c r="S153" s="21">
        <v>1.0</v>
      </c>
      <c r="T153" s="19">
        <v>12600.0</v>
      </c>
      <c r="U153" s="19">
        <v>12600.0</v>
      </c>
      <c r="V153" s="31" t="s">
        <v>700</v>
      </c>
      <c r="W153" s="21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</row>
    <row r="154" ht="60.0" customHeight="1">
      <c r="A154" s="14" t="str">
        <f>if(H154&lt;&gt;"",VLOOKUP(H154,ID!$A$2:$C$999,3,FALSE),"") </f>
        <v>BT0148</v>
      </c>
      <c r="B154" s="15" t="s">
        <v>0</v>
      </c>
      <c r="C154" s="16" t="s">
        <v>1</v>
      </c>
      <c r="D154" s="17" t="s">
        <v>33</v>
      </c>
      <c r="E154" s="18" t="s">
        <v>712</v>
      </c>
      <c r="F154" s="21">
        <v>60.0</v>
      </c>
      <c r="G154" s="21"/>
      <c r="H154" s="21" t="s">
        <v>713</v>
      </c>
      <c r="I154" s="22" t="s">
        <v>698</v>
      </c>
      <c r="J154" s="21" t="s">
        <v>699</v>
      </c>
      <c r="K154" s="21" t="s">
        <v>8</v>
      </c>
      <c r="L154" s="21" t="s">
        <v>30</v>
      </c>
      <c r="M154" s="22" t="s">
        <v>500</v>
      </c>
      <c r="N154" s="23"/>
      <c r="O154" s="24"/>
      <c r="P154" s="24"/>
      <c r="Q154" s="25">
        <v>36.0</v>
      </c>
      <c r="R154" s="26" t="str">
        <f>IFERROR(__xludf.DUMMYFUNCTION("IF (OR( Q154 = """" , P154 =""""), """" , IF(Q154 = ""Menos de 1 mês"" , ""antes de ""&amp; TO_TEXT( EDATE(P154, 1)), EDATE(P154,Q154)))"),"")</f>
        <v/>
      </c>
      <c r="S154" s="21">
        <v>10.0</v>
      </c>
      <c r="T154" s="19">
        <v>36000.0</v>
      </c>
      <c r="U154" s="19">
        <v>36000.0</v>
      </c>
      <c r="V154" s="31" t="s">
        <v>700</v>
      </c>
      <c r="W154" s="21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</row>
    <row r="155" ht="60.0" customHeight="1">
      <c r="A155" s="14" t="str">
        <f>if(H155&lt;&gt;"",VLOOKUP(H155,ID!$A$2:$C$999,3,FALSE),"") </f>
        <v>BT0149</v>
      </c>
      <c r="B155" s="15" t="s">
        <v>0</v>
      </c>
      <c r="C155" s="16" t="s">
        <v>1</v>
      </c>
      <c r="D155" s="17" t="s">
        <v>33</v>
      </c>
      <c r="E155" s="18" t="s">
        <v>714</v>
      </c>
      <c r="F155" s="21">
        <v>8.0</v>
      </c>
      <c r="G155" s="21" t="s">
        <v>715</v>
      </c>
      <c r="H155" s="21" t="s">
        <v>716</v>
      </c>
      <c r="I155" s="22" t="s">
        <v>698</v>
      </c>
      <c r="J155" s="21" t="s">
        <v>699</v>
      </c>
      <c r="K155" s="21" t="s">
        <v>8</v>
      </c>
      <c r="L155" s="21" t="s">
        <v>30</v>
      </c>
      <c r="M155" s="22" t="s">
        <v>500</v>
      </c>
      <c r="N155" s="23"/>
      <c r="O155" s="29" t="s">
        <v>717</v>
      </c>
      <c r="P155" s="29" t="s">
        <v>717</v>
      </c>
      <c r="Q155" s="25">
        <v>36.0</v>
      </c>
      <c r="R155" s="26" t="str">
        <f>IFERROR(__xludf.DUMMYFUNCTION("IF (OR( Q155 = """" , P155 =""""), """" , IF(Q155 = ""Menos de 1 mês"" , ""antes de ""&amp; TO_TEXT( EDATE(P155, 1)), EDATE(P155,Q155)))"),"#VALUE!")</f>
        <v>#VALUE!</v>
      </c>
      <c r="S155" s="21">
        <v>1.0</v>
      </c>
      <c r="T155" s="19">
        <v>9000.0</v>
      </c>
      <c r="U155" s="19">
        <v>9000.0</v>
      </c>
      <c r="V155" s="31" t="s">
        <v>700</v>
      </c>
      <c r="W155" s="21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</row>
    <row r="156" ht="60.0" customHeight="1">
      <c r="A156" s="14" t="str">
        <f>if(H156&lt;&gt;"",VLOOKUP(H156,ID!$A$2:$C$999,3,FALSE),"") </f>
        <v>BT0150</v>
      </c>
      <c r="B156" s="15" t="s">
        <v>0</v>
      </c>
      <c r="C156" s="16" t="s">
        <v>1</v>
      </c>
      <c r="D156" s="17" t="s">
        <v>33</v>
      </c>
      <c r="E156" s="18" t="s">
        <v>718</v>
      </c>
      <c r="F156" s="21">
        <v>6.0</v>
      </c>
      <c r="G156" s="21" t="s">
        <v>719</v>
      </c>
      <c r="H156" s="21" t="s">
        <v>720</v>
      </c>
      <c r="I156" s="22" t="s">
        <v>698</v>
      </c>
      <c r="J156" s="21" t="s">
        <v>699</v>
      </c>
      <c r="K156" s="21" t="s">
        <v>8</v>
      </c>
      <c r="L156" s="21" t="s">
        <v>30</v>
      </c>
      <c r="M156" s="22" t="s">
        <v>721</v>
      </c>
      <c r="N156" s="23"/>
      <c r="O156" s="29" t="s">
        <v>704</v>
      </c>
      <c r="P156" s="29" t="s">
        <v>704</v>
      </c>
      <c r="Q156" s="25">
        <v>36.0</v>
      </c>
      <c r="R156" s="26" t="str">
        <f>IFERROR(__xludf.DUMMYFUNCTION("IF (OR( Q156 = """" , P156 =""""), """" , IF(Q156 = ""Menos de 1 mês"" , ""antes de ""&amp; TO_TEXT( EDATE(P156, 1)), EDATE(P156,Q156)))"),"#VALUE!")</f>
        <v>#VALUE!</v>
      </c>
      <c r="S156" s="21">
        <v>1.0</v>
      </c>
      <c r="T156" s="19">
        <v>9000.0</v>
      </c>
      <c r="U156" s="19">
        <v>9000.0</v>
      </c>
      <c r="V156" s="31" t="s">
        <v>705</v>
      </c>
      <c r="W156" s="21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</row>
    <row r="157" ht="60.0" customHeight="1">
      <c r="A157" s="14" t="str">
        <f>if(H157&lt;&gt;"",VLOOKUP(H157,ID!$A$2:$C$999,3,FALSE),"") </f>
        <v>BT0151</v>
      </c>
      <c r="B157" s="15" t="s">
        <v>0</v>
      </c>
      <c r="C157" s="16" t="s">
        <v>1</v>
      </c>
      <c r="D157" s="17" t="s">
        <v>33</v>
      </c>
      <c r="E157" s="18" t="s">
        <v>722</v>
      </c>
      <c r="F157" s="21">
        <v>6.0</v>
      </c>
      <c r="G157" s="21" t="s">
        <v>723</v>
      </c>
      <c r="H157" s="21" t="s">
        <v>724</v>
      </c>
      <c r="I157" s="22" t="s">
        <v>698</v>
      </c>
      <c r="J157" s="21" t="s">
        <v>699</v>
      </c>
      <c r="K157" s="21" t="s">
        <v>8</v>
      </c>
      <c r="L157" s="21" t="s">
        <v>30</v>
      </c>
      <c r="M157" s="22" t="s">
        <v>725</v>
      </c>
      <c r="N157" s="23"/>
      <c r="O157" s="29" t="s">
        <v>704</v>
      </c>
      <c r="P157" s="29" t="s">
        <v>704</v>
      </c>
      <c r="Q157" s="25">
        <v>36.0</v>
      </c>
      <c r="R157" s="26" t="str">
        <f>IFERROR(__xludf.DUMMYFUNCTION("IF (OR( Q157 = """" , P157 =""""), """" , IF(Q157 = ""Menos de 1 mês"" , ""antes de ""&amp; TO_TEXT( EDATE(P157, 1)), EDATE(P157,Q157)))"),"#VALUE!")</f>
        <v>#VALUE!</v>
      </c>
      <c r="S157" s="21">
        <v>1.0</v>
      </c>
      <c r="T157" s="19">
        <v>12600.0</v>
      </c>
      <c r="U157" s="19">
        <v>12600.0</v>
      </c>
      <c r="V157" s="31" t="s">
        <v>705</v>
      </c>
      <c r="W157" s="21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</row>
    <row r="158" ht="60.0" customHeight="1">
      <c r="A158" s="14" t="str">
        <f>if(H158&lt;&gt;"",VLOOKUP(H158,ID!$A$2:$C$999,3,FALSE),"") </f>
        <v>BT0152</v>
      </c>
      <c r="B158" s="15" t="s">
        <v>0</v>
      </c>
      <c r="C158" s="16" t="s">
        <v>1</v>
      </c>
      <c r="D158" s="17" t="s">
        <v>33</v>
      </c>
      <c r="E158" s="18" t="s">
        <v>726</v>
      </c>
      <c r="F158" s="21">
        <v>5.0</v>
      </c>
      <c r="G158" s="21" t="s">
        <v>727</v>
      </c>
      <c r="H158" s="21" t="s">
        <v>728</v>
      </c>
      <c r="I158" s="22" t="s">
        <v>698</v>
      </c>
      <c r="J158" s="21" t="s">
        <v>699</v>
      </c>
      <c r="K158" s="21" t="s">
        <v>8</v>
      </c>
      <c r="L158" s="21" t="s">
        <v>96</v>
      </c>
      <c r="M158" s="22" t="s">
        <v>10</v>
      </c>
      <c r="N158" s="23"/>
      <c r="O158" s="29" t="s">
        <v>525</v>
      </c>
      <c r="P158" s="29" t="s">
        <v>729</v>
      </c>
      <c r="Q158" s="25">
        <v>36.0</v>
      </c>
      <c r="R158" s="26" t="str">
        <f>IFERROR(__xludf.DUMMYFUNCTION("IF (OR( Q158 = """" , P158 =""""), """" , IF(Q158 = ""Menos de 1 mês"" , ""antes de ""&amp; TO_TEXT( EDATE(P158, 1)), EDATE(P158,Q158)))"),"#VALUE!")</f>
        <v>#VALUE!</v>
      </c>
      <c r="S158" s="21">
        <v>1.0</v>
      </c>
      <c r="T158" s="19">
        <v>12600.0</v>
      </c>
      <c r="U158" s="19">
        <v>12600.0</v>
      </c>
      <c r="V158" s="31" t="s">
        <v>730</v>
      </c>
      <c r="W158" s="21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</row>
    <row r="159" ht="60.0" customHeight="1">
      <c r="A159" s="14" t="str">
        <f>if(H159&lt;&gt;"",VLOOKUP(H159,ID!$A$2:$C$999,3,FALSE),"") </f>
        <v>BT0153</v>
      </c>
      <c r="B159" s="15" t="s">
        <v>0</v>
      </c>
      <c r="C159" s="16" t="s">
        <v>1</v>
      </c>
      <c r="D159" s="17" t="s">
        <v>33</v>
      </c>
      <c r="E159" s="18" t="s">
        <v>731</v>
      </c>
      <c r="F159" s="21">
        <v>20.0</v>
      </c>
      <c r="G159" s="21" t="s">
        <v>732</v>
      </c>
      <c r="H159" s="21" t="s">
        <v>733</v>
      </c>
      <c r="I159" s="22" t="s">
        <v>698</v>
      </c>
      <c r="J159" s="21" t="s">
        <v>699</v>
      </c>
      <c r="K159" s="21" t="s">
        <v>8</v>
      </c>
      <c r="L159" s="21" t="s">
        <v>734</v>
      </c>
      <c r="M159" s="22" t="s">
        <v>10</v>
      </c>
      <c r="N159" s="23"/>
      <c r="O159" s="29" t="s">
        <v>525</v>
      </c>
      <c r="P159" s="29" t="s">
        <v>525</v>
      </c>
      <c r="Q159" s="25">
        <v>36.0</v>
      </c>
      <c r="R159" s="26" t="str">
        <f>IFERROR(__xludf.DUMMYFUNCTION("IF (OR( Q159 = """" , P159 =""""), """" , IF(Q159 = ""Menos de 1 mês"" , ""antes de ""&amp; TO_TEXT( EDATE(P159, 1)), EDATE(P159,Q159)))"),"#VALUE!")</f>
        <v>#VALUE!</v>
      </c>
      <c r="S159" s="21">
        <v>1.0</v>
      </c>
      <c r="T159" s="19">
        <v>12600.0</v>
      </c>
      <c r="U159" s="19">
        <v>12600.0</v>
      </c>
      <c r="V159" s="31" t="s">
        <v>730</v>
      </c>
      <c r="W159" s="21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</row>
    <row r="160" ht="60.0" customHeight="1">
      <c r="A160" s="14" t="str">
        <f>if(H160&lt;&gt;"",VLOOKUP(H160,ID!$A$2:$C$999,3,FALSE),"") </f>
        <v>BT0154</v>
      </c>
      <c r="B160" s="15" t="s">
        <v>0</v>
      </c>
      <c r="C160" s="16" t="s">
        <v>1</v>
      </c>
      <c r="D160" s="17" t="s">
        <v>33</v>
      </c>
      <c r="E160" s="18" t="s">
        <v>735</v>
      </c>
      <c r="F160" s="21">
        <v>15.0</v>
      </c>
      <c r="G160" s="21" t="s">
        <v>736</v>
      </c>
      <c r="H160" s="21" t="s">
        <v>737</v>
      </c>
      <c r="I160" s="22" t="s">
        <v>698</v>
      </c>
      <c r="J160" s="21" t="s">
        <v>699</v>
      </c>
      <c r="K160" s="21" t="s">
        <v>8</v>
      </c>
      <c r="L160" s="21" t="s">
        <v>30</v>
      </c>
      <c r="M160" s="22" t="s">
        <v>500</v>
      </c>
      <c r="N160" s="23"/>
      <c r="O160" s="29" t="s">
        <v>704</v>
      </c>
      <c r="P160" s="29" t="s">
        <v>704</v>
      </c>
      <c r="Q160" s="25">
        <v>36.0</v>
      </c>
      <c r="R160" s="26" t="str">
        <f>IFERROR(__xludf.DUMMYFUNCTION("IF (OR( Q160 = """" , P160 =""""), """" , IF(Q160 = ""Menos de 1 mês"" , ""antes de ""&amp; TO_TEXT( EDATE(P160, 1)), EDATE(P160,Q160)))"),"#VALUE!")</f>
        <v>#VALUE!</v>
      </c>
      <c r="S160" s="21">
        <v>1.0</v>
      </c>
      <c r="T160" s="19">
        <v>9000.0</v>
      </c>
      <c r="U160" s="19">
        <v>9000.0</v>
      </c>
      <c r="V160" s="31" t="s">
        <v>705</v>
      </c>
      <c r="W160" s="21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</row>
    <row r="161" ht="60.0" customHeight="1">
      <c r="A161" s="14" t="str">
        <f>if(H161&lt;&gt;"",VLOOKUP(H161,ID!$A$2:$C$999,3,FALSE),"") </f>
        <v>BT0155</v>
      </c>
      <c r="B161" s="15" t="s">
        <v>0</v>
      </c>
      <c r="C161" s="16" t="s">
        <v>1</v>
      </c>
      <c r="D161" s="17" t="s">
        <v>33</v>
      </c>
      <c r="E161" s="18" t="s">
        <v>738</v>
      </c>
      <c r="F161" s="21">
        <v>8.0</v>
      </c>
      <c r="G161" s="21" t="s">
        <v>739</v>
      </c>
      <c r="H161" s="21" t="s">
        <v>740</v>
      </c>
      <c r="I161" s="22" t="s">
        <v>698</v>
      </c>
      <c r="J161" s="21" t="s">
        <v>699</v>
      </c>
      <c r="K161" s="21" t="s">
        <v>8</v>
      </c>
      <c r="L161" s="21" t="s">
        <v>479</v>
      </c>
      <c r="M161" s="22" t="s">
        <v>10</v>
      </c>
      <c r="N161" s="23"/>
      <c r="O161" s="29" t="s">
        <v>704</v>
      </c>
      <c r="P161" s="29" t="s">
        <v>704</v>
      </c>
      <c r="Q161" s="25">
        <v>36.0</v>
      </c>
      <c r="R161" s="26" t="str">
        <f>IFERROR(__xludf.DUMMYFUNCTION("IF (OR( Q161 = """" , P161 =""""), """" , IF(Q161 = ""Menos de 1 mês"" , ""antes de ""&amp; TO_TEXT( EDATE(P161, 1)), EDATE(P161,Q161)))"),"#VALUE!")</f>
        <v>#VALUE!</v>
      </c>
      <c r="S161" s="21">
        <v>1.0</v>
      </c>
      <c r="T161" s="19">
        <v>9000.0</v>
      </c>
      <c r="U161" s="19">
        <v>9000.0</v>
      </c>
      <c r="V161" s="31" t="s">
        <v>705</v>
      </c>
      <c r="W161" s="21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</row>
    <row r="162" ht="60.0" customHeight="1">
      <c r="A162" s="14" t="str">
        <f>if(H162&lt;&gt;"",VLOOKUP(H162,ID!$A$2:$C$999,3,FALSE),"") </f>
        <v>BT0156</v>
      </c>
      <c r="B162" s="15" t="s">
        <v>0</v>
      </c>
      <c r="C162" s="16" t="s">
        <v>1</v>
      </c>
      <c r="D162" s="17" t="s">
        <v>33</v>
      </c>
      <c r="E162" s="18" t="s">
        <v>741</v>
      </c>
      <c r="F162" s="21">
        <v>25.0</v>
      </c>
      <c r="G162" s="21" t="s">
        <v>742</v>
      </c>
      <c r="H162" s="21" t="s">
        <v>743</v>
      </c>
      <c r="I162" s="22" t="s">
        <v>698</v>
      </c>
      <c r="J162" s="21" t="s">
        <v>699</v>
      </c>
      <c r="K162" s="21" t="s">
        <v>8</v>
      </c>
      <c r="L162" s="21" t="s">
        <v>30</v>
      </c>
      <c r="M162" s="22" t="s">
        <v>500</v>
      </c>
      <c r="N162" s="23"/>
      <c r="O162" s="29" t="s">
        <v>704</v>
      </c>
      <c r="P162" s="29" t="s">
        <v>704</v>
      </c>
      <c r="Q162" s="25">
        <v>36.0</v>
      </c>
      <c r="R162" s="26" t="str">
        <f>IFERROR(__xludf.DUMMYFUNCTION("IF (OR( Q162 = """" , P162 =""""), """" , IF(Q162 = ""Menos de 1 mês"" , ""antes de ""&amp; TO_TEXT( EDATE(P162, 1)), EDATE(P162,Q162)))"),"#VALUE!")</f>
        <v>#VALUE!</v>
      </c>
      <c r="S162" s="21">
        <v>1.0</v>
      </c>
      <c r="T162" s="19">
        <v>16200.0</v>
      </c>
      <c r="U162" s="19">
        <v>16200.0</v>
      </c>
      <c r="V162" s="31" t="s">
        <v>705</v>
      </c>
      <c r="W162" s="21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</row>
    <row r="163" ht="60.0" customHeight="1">
      <c r="A163" s="14" t="str">
        <f>if(H163&lt;&gt;"",VLOOKUP(H163,ID!$A$2:$C$999,3,FALSE),"") </f>
        <v>BT0157</v>
      </c>
      <c r="B163" s="15" t="s">
        <v>0</v>
      </c>
      <c r="C163" s="16" t="s">
        <v>1</v>
      </c>
      <c r="D163" s="17" t="s">
        <v>33</v>
      </c>
      <c r="E163" s="18" t="s">
        <v>744</v>
      </c>
      <c r="F163" s="21">
        <v>10.0</v>
      </c>
      <c r="G163" s="21" t="s">
        <v>745</v>
      </c>
      <c r="H163" s="21" t="s">
        <v>746</v>
      </c>
      <c r="I163" s="22" t="s">
        <v>698</v>
      </c>
      <c r="J163" s="21" t="s">
        <v>699</v>
      </c>
      <c r="K163" s="21" t="s">
        <v>8</v>
      </c>
      <c r="L163" s="21" t="s">
        <v>96</v>
      </c>
      <c r="M163" s="22" t="s">
        <v>10</v>
      </c>
      <c r="N163" s="23"/>
      <c r="O163" s="29" t="s">
        <v>704</v>
      </c>
      <c r="P163" s="29" t="s">
        <v>704</v>
      </c>
      <c r="Q163" s="25">
        <v>36.0</v>
      </c>
      <c r="R163" s="26" t="str">
        <f>IFERROR(__xludf.DUMMYFUNCTION("IF (OR( Q163 = """" , P163 =""""), """" , IF(Q163 = ""Menos de 1 mês"" , ""antes de ""&amp; TO_TEXT( EDATE(P163, 1)), EDATE(P163,Q163)))"),"#VALUE!")</f>
        <v>#VALUE!</v>
      </c>
      <c r="S163" s="21">
        <v>1.0</v>
      </c>
      <c r="T163" s="19">
        <v>12600.0</v>
      </c>
      <c r="U163" s="19">
        <v>12600.0</v>
      </c>
      <c r="V163" s="31" t="s">
        <v>705</v>
      </c>
      <c r="W163" s="21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</row>
    <row r="164" ht="60.0" customHeight="1">
      <c r="A164" s="14" t="str">
        <f>if(H164&lt;&gt;"",VLOOKUP(H164,ID!$A$2:$C$999,3,FALSE),"") </f>
        <v>BT0158</v>
      </c>
      <c r="B164" s="15" t="s">
        <v>0</v>
      </c>
      <c r="C164" s="16" t="s">
        <v>1</v>
      </c>
      <c r="D164" s="17" t="s">
        <v>33</v>
      </c>
      <c r="E164" s="18" t="s">
        <v>747</v>
      </c>
      <c r="F164" s="21">
        <v>30.0</v>
      </c>
      <c r="G164" s="21" t="s">
        <v>748</v>
      </c>
      <c r="H164" s="21" t="s">
        <v>749</v>
      </c>
      <c r="I164" s="22" t="s">
        <v>698</v>
      </c>
      <c r="J164" s="21" t="s">
        <v>699</v>
      </c>
      <c r="K164" s="21" t="s">
        <v>8</v>
      </c>
      <c r="L164" s="21" t="s">
        <v>30</v>
      </c>
      <c r="M164" s="22" t="s">
        <v>500</v>
      </c>
      <c r="N164" s="23"/>
      <c r="O164" s="29" t="s">
        <v>704</v>
      </c>
      <c r="P164" s="29" t="s">
        <v>704</v>
      </c>
      <c r="Q164" s="25">
        <v>3.0</v>
      </c>
      <c r="R164" s="26" t="str">
        <f>IFERROR(__xludf.DUMMYFUNCTION("IF (OR( Q164 = """" , P164 =""""), """" , IF(Q164 = ""Menos de 1 mês"" , ""antes de ""&amp; TO_TEXT( EDATE(P164, 1)), EDATE(P164,Q164)))"),"#VALUE!")</f>
        <v>#VALUE!</v>
      </c>
      <c r="S164" s="21">
        <v>1.0</v>
      </c>
      <c r="T164" s="19">
        <v>12600.0</v>
      </c>
      <c r="U164" s="19">
        <v>12600.0</v>
      </c>
      <c r="V164" s="31" t="s">
        <v>705</v>
      </c>
      <c r="W164" s="21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</row>
    <row r="165" ht="60.0" customHeight="1">
      <c r="A165" s="14" t="str">
        <f>if(H165&lt;&gt;"",VLOOKUP(H165,ID!$A$2:$C$999,3,FALSE),"") </f>
        <v>BT0159</v>
      </c>
      <c r="B165" s="15" t="s">
        <v>0</v>
      </c>
      <c r="C165" s="16" t="s">
        <v>1</v>
      </c>
      <c r="D165" s="17" t="s">
        <v>33</v>
      </c>
      <c r="E165" s="18" t="s">
        <v>750</v>
      </c>
      <c r="F165" s="21">
        <v>5.0</v>
      </c>
      <c r="G165" s="21" t="s">
        <v>751</v>
      </c>
      <c r="H165" s="21" t="s">
        <v>752</v>
      </c>
      <c r="I165" s="22" t="s">
        <v>698</v>
      </c>
      <c r="J165" s="21" t="s">
        <v>699</v>
      </c>
      <c r="K165" s="21" t="s">
        <v>8</v>
      </c>
      <c r="L165" s="21" t="s">
        <v>30</v>
      </c>
      <c r="M165" s="22" t="s">
        <v>126</v>
      </c>
      <c r="N165" s="23"/>
      <c r="O165" s="29" t="s">
        <v>704</v>
      </c>
      <c r="P165" s="29" t="s">
        <v>704</v>
      </c>
      <c r="Q165" s="25">
        <v>36.0</v>
      </c>
      <c r="R165" s="26" t="str">
        <f>IFERROR(__xludf.DUMMYFUNCTION("IF (OR( Q165 = """" , P165 =""""), """" , IF(Q165 = ""Menos de 1 mês"" , ""antes de ""&amp; TO_TEXT( EDATE(P165, 1)), EDATE(P165,Q165)))"),"#VALUE!")</f>
        <v>#VALUE!</v>
      </c>
      <c r="S165" s="21">
        <v>1.0</v>
      </c>
      <c r="T165" s="19">
        <v>12600.0</v>
      </c>
      <c r="U165" s="19">
        <v>12600.0</v>
      </c>
      <c r="V165" s="31" t="s">
        <v>705</v>
      </c>
      <c r="W165" s="21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</row>
    <row r="166" ht="60.0" customHeight="1">
      <c r="A166" s="14" t="str">
        <f>if(H166&lt;&gt;"",VLOOKUP(H166,ID!$A$2:$C$999,3,FALSE),"") </f>
        <v>BT0160</v>
      </c>
      <c r="B166" s="15" t="s">
        <v>0</v>
      </c>
      <c r="C166" s="16" t="s">
        <v>1</v>
      </c>
      <c r="D166" s="17" t="s">
        <v>33</v>
      </c>
      <c r="E166" s="18" t="s">
        <v>753</v>
      </c>
      <c r="F166" s="21">
        <v>25.0</v>
      </c>
      <c r="G166" s="21" t="s">
        <v>754</v>
      </c>
      <c r="H166" s="21" t="s">
        <v>755</v>
      </c>
      <c r="I166" s="22" t="s">
        <v>698</v>
      </c>
      <c r="J166" s="21" t="s">
        <v>699</v>
      </c>
      <c r="K166" s="21" t="s">
        <v>8</v>
      </c>
      <c r="L166" s="21" t="s">
        <v>30</v>
      </c>
      <c r="M166" s="22" t="s">
        <v>224</v>
      </c>
      <c r="N166" s="23"/>
      <c r="O166" s="29" t="s">
        <v>704</v>
      </c>
      <c r="P166" s="29" t="s">
        <v>704</v>
      </c>
      <c r="Q166" s="25">
        <v>36.0</v>
      </c>
      <c r="R166" s="26" t="str">
        <f>IFERROR(__xludf.DUMMYFUNCTION("IF (OR( Q166 = """" , P166 =""""), """" , IF(Q166 = ""Menos de 1 mês"" , ""antes de ""&amp; TO_TEXT( EDATE(P166, 1)), EDATE(P166,Q166)))"),"#VALUE!")</f>
        <v>#VALUE!</v>
      </c>
      <c r="S166" s="21">
        <v>1.0</v>
      </c>
      <c r="T166" s="19">
        <v>12600.0</v>
      </c>
      <c r="U166" s="19">
        <v>12600.0</v>
      </c>
      <c r="V166" s="31" t="s">
        <v>705</v>
      </c>
      <c r="W166" s="21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</row>
    <row r="167" ht="60.0" customHeight="1">
      <c r="A167" s="14" t="str">
        <f>if(H167&lt;&gt;"",VLOOKUP(H167,ID!$A$2:$C$999,3,FALSE),"") </f>
        <v>BT0161</v>
      </c>
      <c r="B167" s="15" t="s">
        <v>0</v>
      </c>
      <c r="C167" s="16" t="s">
        <v>1</v>
      </c>
      <c r="D167" s="17" t="s">
        <v>33</v>
      </c>
      <c r="E167" s="18" t="s">
        <v>756</v>
      </c>
      <c r="F167" s="21">
        <v>30.0</v>
      </c>
      <c r="G167" s="21" t="s">
        <v>757</v>
      </c>
      <c r="H167" s="21" t="s">
        <v>758</v>
      </c>
      <c r="I167" s="22" t="s">
        <v>698</v>
      </c>
      <c r="J167" s="21" t="s">
        <v>699</v>
      </c>
      <c r="K167" s="21" t="s">
        <v>8</v>
      </c>
      <c r="L167" s="21" t="s">
        <v>30</v>
      </c>
      <c r="M167" s="22" t="s">
        <v>224</v>
      </c>
      <c r="N167" s="23"/>
      <c r="O167" s="29" t="s">
        <v>704</v>
      </c>
      <c r="P167" s="29" t="s">
        <v>704</v>
      </c>
      <c r="Q167" s="25">
        <v>36.0</v>
      </c>
      <c r="R167" s="26" t="str">
        <f>IFERROR(__xludf.DUMMYFUNCTION("IF (OR( Q167 = """" , P167 =""""), """" , IF(Q167 = ""Menos de 1 mês"" , ""antes de ""&amp; TO_TEXT( EDATE(P167, 1)), EDATE(P167,Q167)))"),"#VALUE!")</f>
        <v>#VALUE!</v>
      </c>
      <c r="S167" s="21">
        <v>1.0</v>
      </c>
      <c r="T167" s="19">
        <v>16200.0</v>
      </c>
      <c r="U167" s="19">
        <v>16200.0</v>
      </c>
      <c r="V167" s="31" t="s">
        <v>705</v>
      </c>
      <c r="W167" s="21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</row>
    <row r="168" ht="60.0" customHeight="1">
      <c r="A168" s="14" t="str">
        <f>if(H168&lt;&gt;"",VLOOKUP(H168,ID!$A$2:$C$999,3,FALSE),"") </f>
        <v>BT0162</v>
      </c>
      <c r="B168" s="15" t="s">
        <v>0</v>
      </c>
      <c r="C168" s="16" t="s">
        <v>1</v>
      </c>
      <c r="D168" s="17" t="s">
        <v>33</v>
      </c>
      <c r="E168" s="18" t="s">
        <v>759</v>
      </c>
      <c r="F168" s="21">
        <v>12.0</v>
      </c>
      <c r="G168" s="21" t="s">
        <v>760</v>
      </c>
      <c r="H168" s="21" t="s">
        <v>761</v>
      </c>
      <c r="I168" s="22" t="s">
        <v>698</v>
      </c>
      <c r="J168" s="21" t="s">
        <v>699</v>
      </c>
      <c r="K168" s="21" t="s">
        <v>8</v>
      </c>
      <c r="L168" s="21" t="s">
        <v>30</v>
      </c>
      <c r="M168" s="22" t="s">
        <v>224</v>
      </c>
      <c r="N168" s="23"/>
      <c r="O168" s="29" t="s">
        <v>704</v>
      </c>
      <c r="P168" s="29" t="s">
        <v>704</v>
      </c>
      <c r="Q168" s="25">
        <v>36.0</v>
      </c>
      <c r="R168" s="26" t="str">
        <f>IFERROR(__xludf.DUMMYFUNCTION("IF (OR( Q168 = """" , P168 =""""), """" , IF(Q168 = ""Menos de 1 mês"" , ""antes de ""&amp; TO_TEXT( EDATE(P168, 1)), EDATE(P168,Q168)))"),"#VALUE!")</f>
        <v>#VALUE!</v>
      </c>
      <c r="S168" s="21">
        <v>1.0</v>
      </c>
      <c r="T168" s="19">
        <v>12600.0</v>
      </c>
      <c r="U168" s="19">
        <v>12600.0</v>
      </c>
      <c r="V168" s="31" t="s">
        <v>705</v>
      </c>
      <c r="W168" s="21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</row>
    <row r="169" ht="60.0" customHeight="1">
      <c r="A169" s="14" t="str">
        <f>if(H169&lt;&gt;"",VLOOKUP(H169,ID!$A$2:$C$999,3,FALSE),"") </f>
        <v>BT0163</v>
      </c>
      <c r="B169" s="15" t="s">
        <v>0</v>
      </c>
      <c r="C169" s="16" t="s">
        <v>1</v>
      </c>
      <c r="D169" s="17" t="s">
        <v>33</v>
      </c>
      <c r="E169" s="18" t="s">
        <v>762</v>
      </c>
      <c r="F169" s="21">
        <v>5.0</v>
      </c>
      <c r="G169" s="36"/>
      <c r="H169" s="21" t="s">
        <v>763</v>
      </c>
      <c r="I169" s="22" t="s">
        <v>698</v>
      </c>
      <c r="J169" s="21" t="s">
        <v>699</v>
      </c>
      <c r="K169" s="21" t="s">
        <v>8</v>
      </c>
      <c r="L169" s="21" t="s">
        <v>9</v>
      </c>
      <c r="M169" s="22" t="s">
        <v>10</v>
      </c>
      <c r="N169" s="23"/>
      <c r="O169" s="24"/>
      <c r="P169" s="24"/>
      <c r="Q169" s="25">
        <v>36.0</v>
      </c>
      <c r="R169" s="26" t="str">
        <f>IFERROR(__xludf.DUMMYFUNCTION("IF (OR( Q169 = """" , P169 =""""), """" , IF(Q169 = ""Menos de 1 mês"" , ""antes de ""&amp; TO_TEXT( EDATE(P169, 1)), EDATE(P169,Q169)))"),"")</f>
        <v/>
      </c>
      <c r="S169" s="21">
        <v>1.0</v>
      </c>
      <c r="T169" s="19">
        <v>12600.0</v>
      </c>
      <c r="U169" s="19">
        <v>12600.0</v>
      </c>
      <c r="V169" s="31" t="s">
        <v>700</v>
      </c>
      <c r="W169" s="36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</row>
    <row r="170" ht="60.0" customHeight="1">
      <c r="A170" s="14" t="str">
        <f>if(H170&lt;&gt;"",VLOOKUP(H170,ID!$A$2:$C$999,3,FALSE),"") </f>
        <v>BT0164</v>
      </c>
      <c r="B170" s="15" t="s">
        <v>0</v>
      </c>
      <c r="C170" s="16" t="s">
        <v>1</v>
      </c>
      <c r="D170" s="17" t="s">
        <v>33</v>
      </c>
      <c r="E170" s="18" t="s">
        <v>764</v>
      </c>
      <c r="F170" s="21">
        <v>60.0</v>
      </c>
      <c r="G170" s="21" t="s">
        <v>765</v>
      </c>
      <c r="H170" s="21" t="s">
        <v>766</v>
      </c>
      <c r="I170" s="22" t="s">
        <v>698</v>
      </c>
      <c r="J170" s="21" t="s">
        <v>699</v>
      </c>
      <c r="K170" s="21" t="s">
        <v>8</v>
      </c>
      <c r="L170" s="21" t="s">
        <v>9</v>
      </c>
      <c r="M170" s="22" t="s">
        <v>10</v>
      </c>
      <c r="N170" s="23"/>
      <c r="O170" s="29" t="s">
        <v>704</v>
      </c>
      <c r="P170" s="29" t="s">
        <v>704</v>
      </c>
      <c r="Q170" s="25">
        <v>36.0</v>
      </c>
      <c r="R170" s="26" t="str">
        <f>IFERROR(__xludf.DUMMYFUNCTION("IF (OR( Q170 = """" , P170 =""""), """" , IF(Q170 = ""Menos de 1 mês"" , ""antes de ""&amp; TO_TEXT( EDATE(P170, 1)), EDATE(P170,Q170)))"),"#VALUE!")</f>
        <v>#VALUE!</v>
      </c>
      <c r="S170" s="21">
        <v>1.0</v>
      </c>
      <c r="T170" s="19">
        <v>16200.0</v>
      </c>
      <c r="U170" s="19">
        <v>16200.0</v>
      </c>
      <c r="V170" s="31" t="s">
        <v>705</v>
      </c>
      <c r="W170" s="21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</row>
    <row r="171" ht="60.0" customHeight="1">
      <c r="A171" s="14" t="str">
        <f>if(H171&lt;&gt;"",VLOOKUP(H171,ID!$A$2:$C$999,3,FALSE),"") </f>
        <v>BT0165</v>
      </c>
      <c r="B171" s="15" t="s">
        <v>0</v>
      </c>
      <c r="C171" s="16" t="s">
        <v>1</v>
      </c>
      <c r="D171" s="17" t="s">
        <v>33</v>
      </c>
      <c r="E171" s="18" t="s">
        <v>767</v>
      </c>
      <c r="F171" s="21">
        <v>20.0</v>
      </c>
      <c r="G171" s="21" t="s">
        <v>768</v>
      </c>
      <c r="H171" s="21" t="s">
        <v>769</v>
      </c>
      <c r="I171" s="22" t="s">
        <v>698</v>
      </c>
      <c r="J171" s="21" t="s">
        <v>699</v>
      </c>
      <c r="K171" s="21" t="s">
        <v>8</v>
      </c>
      <c r="L171" s="21" t="s">
        <v>30</v>
      </c>
      <c r="M171" s="22" t="s">
        <v>224</v>
      </c>
      <c r="N171" s="23"/>
      <c r="O171" s="29" t="s">
        <v>704</v>
      </c>
      <c r="P171" s="29" t="s">
        <v>704</v>
      </c>
      <c r="Q171" s="25">
        <v>36.0</v>
      </c>
      <c r="R171" s="26" t="str">
        <f>IFERROR(__xludf.DUMMYFUNCTION("IF (OR( Q171 = """" , P171 =""""), """" , IF(Q171 = ""Menos de 1 mês"" , ""antes de ""&amp; TO_TEXT( EDATE(P171, 1)), EDATE(P171,Q171)))"),"#VALUE!")</f>
        <v>#VALUE!</v>
      </c>
      <c r="S171" s="21">
        <v>1.0</v>
      </c>
      <c r="T171" s="19">
        <v>9000.0</v>
      </c>
      <c r="U171" s="19">
        <v>9000.0</v>
      </c>
      <c r="V171" s="31" t="s">
        <v>705</v>
      </c>
      <c r="W171" s="21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</row>
    <row r="172" ht="60.0" customHeight="1">
      <c r="A172" s="14" t="str">
        <f>if(H172&lt;&gt;"",VLOOKUP(H172,ID!$A$2:$C$999,3,FALSE),"") </f>
        <v>BT0166</v>
      </c>
      <c r="B172" s="15" t="s">
        <v>0</v>
      </c>
      <c r="C172" s="16" t="s">
        <v>1</v>
      </c>
      <c r="D172" s="17" t="s">
        <v>33</v>
      </c>
      <c r="E172" s="18" t="s">
        <v>770</v>
      </c>
      <c r="F172" s="21">
        <v>12.0</v>
      </c>
      <c r="G172" s="21"/>
      <c r="H172" s="21" t="s">
        <v>771</v>
      </c>
      <c r="I172" s="22" t="s">
        <v>698</v>
      </c>
      <c r="J172" s="21" t="s">
        <v>699</v>
      </c>
      <c r="K172" s="21" t="s">
        <v>8</v>
      </c>
      <c r="L172" s="21" t="s">
        <v>30</v>
      </c>
      <c r="M172" s="22" t="s">
        <v>224</v>
      </c>
      <c r="N172" s="23"/>
      <c r="O172" s="24"/>
      <c r="P172" s="24"/>
      <c r="Q172" s="25">
        <v>36.0</v>
      </c>
      <c r="R172" s="26" t="str">
        <f>IFERROR(__xludf.DUMMYFUNCTION("IF (OR( Q172 = """" , P172 =""""), """" , IF(Q172 = ""Menos de 1 mês"" , ""antes de ""&amp; TO_TEXT( EDATE(P172, 1)), EDATE(P172,Q172)))"),"")</f>
        <v/>
      </c>
      <c r="S172" s="21">
        <v>1.0</v>
      </c>
      <c r="T172" s="19">
        <v>9000.0</v>
      </c>
      <c r="U172" s="19">
        <v>9000.0</v>
      </c>
      <c r="V172" s="31" t="s">
        <v>700</v>
      </c>
      <c r="W172" s="21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</row>
    <row r="173" ht="60.0" customHeight="1">
      <c r="A173" s="14" t="str">
        <f>if(H173&lt;&gt;"",VLOOKUP(H173,ID!$A$2:$C$999,3,FALSE),"") </f>
        <v>BT0167</v>
      </c>
      <c r="B173" s="15" t="s">
        <v>0</v>
      </c>
      <c r="C173" s="16" t="s">
        <v>1</v>
      </c>
      <c r="D173" s="17" t="s">
        <v>33</v>
      </c>
      <c r="E173" s="18" t="s">
        <v>772</v>
      </c>
      <c r="F173" s="21">
        <v>30.0</v>
      </c>
      <c r="G173" s="21" t="s">
        <v>773</v>
      </c>
      <c r="H173" s="21" t="s">
        <v>774</v>
      </c>
      <c r="I173" s="22" t="s">
        <v>698</v>
      </c>
      <c r="J173" s="21" t="s">
        <v>699</v>
      </c>
      <c r="K173" s="21" t="s">
        <v>8</v>
      </c>
      <c r="L173" s="21" t="s">
        <v>96</v>
      </c>
      <c r="M173" s="22" t="s">
        <v>10</v>
      </c>
      <c r="N173" s="23"/>
      <c r="O173" s="29" t="s">
        <v>489</v>
      </c>
      <c r="P173" s="29" t="s">
        <v>489</v>
      </c>
      <c r="Q173" s="25">
        <v>36.0</v>
      </c>
      <c r="R173" s="26" t="str">
        <f>IFERROR(__xludf.DUMMYFUNCTION("IF (OR( Q173 = """" , P173 =""""), """" , IF(Q173 = ""Menos de 1 mês"" , ""antes de ""&amp; TO_TEXT( EDATE(P173, 1)), EDATE(P173,Q173)))"),"#VALUE!")</f>
        <v>#VALUE!</v>
      </c>
      <c r="S173" s="21">
        <v>1.0</v>
      </c>
      <c r="T173" s="19">
        <v>16200.0</v>
      </c>
      <c r="U173" s="19">
        <v>16200.0</v>
      </c>
      <c r="V173" s="31" t="s">
        <v>700</v>
      </c>
      <c r="W173" s="21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</row>
    <row r="174" ht="60.0" customHeight="1">
      <c r="A174" s="14" t="str">
        <f>if(H174&lt;&gt;"",VLOOKUP(H174,ID!$A$2:$C$999,3,FALSE),"") </f>
        <v>BT0168</v>
      </c>
      <c r="B174" s="15" t="s">
        <v>0</v>
      </c>
      <c r="C174" s="16" t="s">
        <v>1</v>
      </c>
      <c r="D174" s="17" t="s">
        <v>33</v>
      </c>
      <c r="E174" s="18" t="s">
        <v>775</v>
      </c>
      <c r="F174" s="21">
        <v>15.0</v>
      </c>
      <c r="G174" s="21"/>
      <c r="H174" s="21" t="s">
        <v>776</v>
      </c>
      <c r="I174" s="22" t="s">
        <v>698</v>
      </c>
      <c r="J174" s="21" t="s">
        <v>699</v>
      </c>
      <c r="K174" s="21" t="s">
        <v>8</v>
      </c>
      <c r="L174" s="21" t="s">
        <v>9</v>
      </c>
      <c r="M174" s="22" t="s">
        <v>10</v>
      </c>
      <c r="N174" s="23"/>
      <c r="O174" s="24"/>
      <c r="P174" s="24"/>
      <c r="Q174" s="25">
        <v>36.0</v>
      </c>
      <c r="R174" s="26" t="str">
        <f>IFERROR(__xludf.DUMMYFUNCTION("IF (OR( Q174 = """" , P174 =""""), """" , IF(Q174 = ""Menos de 1 mês"" , ""antes de ""&amp; TO_TEXT( EDATE(P174, 1)), EDATE(P174,Q174)))"),"")</f>
        <v/>
      </c>
      <c r="S174" s="21">
        <v>1.0</v>
      </c>
      <c r="T174" s="19">
        <v>12600.0</v>
      </c>
      <c r="U174" s="19">
        <v>12600.0</v>
      </c>
      <c r="V174" s="31" t="s">
        <v>700</v>
      </c>
      <c r="W174" s="21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</row>
    <row r="175" ht="60.0" customHeight="1">
      <c r="A175" s="14" t="str">
        <f>if(H175&lt;&gt;"",VLOOKUP(H175,ID!$A$2:$C$999,3,FALSE),"") </f>
        <v>BT0169</v>
      </c>
      <c r="B175" s="15" t="s">
        <v>0</v>
      </c>
      <c r="C175" s="16" t="s">
        <v>1</v>
      </c>
      <c r="D175" s="17" t="s">
        <v>33</v>
      </c>
      <c r="E175" s="18" t="s">
        <v>777</v>
      </c>
      <c r="F175" s="21">
        <v>15.0</v>
      </c>
      <c r="G175" s="21" t="s">
        <v>778</v>
      </c>
      <c r="H175" s="21" t="s">
        <v>779</v>
      </c>
      <c r="I175" s="22" t="s">
        <v>698</v>
      </c>
      <c r="J175" s="21" t="s">
        <v>699</v>
      </c>
      <c r="K175" s="21" t="s">
        <v>8</v>
      </c>
      <c r="L175" s="21" t="s">
        <v>9</v>
      </c>
      <c r="M175" s="22" t="s">
        <v>10</v>
      </c>
      <c r="N175" s="23"/>
      <c r="O175" s="29" t="s">
        <v>489</v>
      </c>
      <c r="P175" s="29" t="s">
        <v>489</v>
      </c>
      <c r="Q175" s="25">
        <v>3.0</v>
      </c>
      <c r="R175" s="26" t="str">
        <f>IFERROR(__xludf.DUMMYFUNCTION("IF (OR( Q175 = """" , P175 =""""), """" , IF(Q175 = ""Menos de 1 mês"" , ""antes de ""&amp; TO_TEXT( EDATE(P175, 1)), EDATE(P175,Q175)))"),"#VALUE!")</f>
        <v>#VALUE!</v>
      </c>
      <c r="S175" s="21">
        <v>1.0</v>
      </c>
      <c r="T175" s="19">
        <v>16200.0</v>
      </c>
      <c r="U175" s="19">
        <v>16200.0</v>
      </c>
      <c r="V175" s="31" t="s">
        <v>700</v>
      </c>
      <c r="W175" s="21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</row>
    <row r="176" ht="60.0" customHeight="1">
      <c r="A176" s="14" t="str">
        <f>if(H176&lt;&gt;"",VLOOKUP(H176,ID!$A$2:$C$999,3,FALSE),"") </f>
        <v>BT0170</v>
      </c>
      <c r="B176" s="15" t="s">
        <v>0</v>
      </c>
      <c r="C176" s="16" t="s">
        <v>1</v>
      </c>
      <c r="D176" s="17" t="s">
        <v>33</v>
      </c>
      <c r="E176" s="18" t="s">
        <v>780</v>
      </c>
      <c r="F176" s="21">
        <v>25.0</v>
      </c>
      <c r="G176" s="21" t="s">
        <v>781</v>
      </c>
      <c r="H176" s="21" t="s">
        <v>782</v>
      </c>
      <c r="I176" s="22" t="s">
        <v>698</v>
      </c>
      <c r="J176" s="21" t="s">
        <v>699</v>
      </c>
      <c r="K176" s="21" t="s">
        <v>8</v>
      </c>
      <c r="L176" s="21" t="s">
        <v>30</v>
      </c>
      <c r="M176" s="22" t="s">
        <v>224</v>
      </c>
      <c r="N176" s="23"/>
      <c r="O176" s="32">
        <v>44327.0</v>
      </c>
      <c r="P176" s="32">
        <v>44327.0</v>
      </c>
      <c r="Q176" s="25">
        <v>36.0</v>
      </c>
      <c r="R176" s="26">
        <f>IFERROR(__xludf.DUMMYFUNCTION("IF (OR( Q176 = """" , P176 =""""), """" , IF(Q176 = ""Menos de 1 mês"" , ""antes de ""&amp; TO_TEXT( EDATE(P176, 1)), EDATE(P176,Q176)))"),45423.0)</f>
        <v>45423</v>
      </c>
      <c r="S176" s="21">
        <v>1.0</v>
      </c>
      <c r="T176" s="19">
        <v>18000.0</v>
      </c>
      <c r="U176" s="19">
        <v>18000.0</v>
      </c>
      <c r="V176" s="31" t="s">
        <v>700</v>
      </c>
      <c r="W176" s="21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</row>
    <row r="177" ht="60.0" customHeight="1">
      <c r="A177" s="14" t="str">
        <f>if(H177&lt;&gt;"",VLOOKUP(H177,ID!$A$2:$C$999,3,FALSE),"") </f>
        <v>BT0171</v>
      </c>
      <c r="B177" s="15" t="s">
        <v>0</v>
      </c>
      <c r="C177" s="16" t="s">
        <v>1</v>
      </c>
      <c r="D177" s="17" t="s">
        <v>33</v>
      </c>
      <c r="E177" s="18" t="s">
        <v>783</v>
      </c>
      <c r="F177" s="21">
        <v>80.0</v>
      </c>
      <c r="G177" s="21" t="s">
        <v>784</v>
      </c>
      <c r="H177" s="21" t="s">
        <v>785</v>
      </c>
      <c r="I177" s="22" t="s">
        <v>698</v>
      </c>
      <c r="J177" s="21" t="s">
        <v>699</v>
      </c>
      <c r="K177" s="21" t="s">
        <v>8</v>
      </c>
      <c r="L177" s="21" t="s">
        <v>96</v>
      </c>
      <c r="M177" s="22" t="s">
        <v>10</v>
      </c>
      <c r="N177" s="23"/>
      <c r="O177" s="32">
        <v>44327.0</v>
      </c>
      <c r="P177" s="32">
        <v>44327.0</v>
      </c>
      <c r="Q177" s="25">
        <v>36.0</v>
      </c>
      <c r="R177" s="26">
        <f>IFERROR(__xludf.DUMMYFUNCTION("IF (OR( Q177 = """" , P177 =""""), """" , IF(Q177 = ""Menos de 1 mês"" , ""antes de ""&amp; TO_TEXT( EDATE(P177, 1)), EDATE(P177,Q177)))"),45423.0)</f>
        <v>45423</v>
      </c>
      <c r="S177" s="21">
        <v>1.0</v>
      </c>
      <c r="T177" s="19">
        <v>9000.0</v>
      </c>
      <c r="U177" s="19">
        <v>9000.0</v>
      </c>
      <c r="V177" s="31" t="s">
        <v>700</v>
      </c>
      <c r="W177" s="21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</row>
    <row r="178" ht="60.0" customHeight="1">
      <c r="A178" s="14" t="str">
        <f>if(H178&lt;&gt;"",VLOOKUP(H178,ID!$A$2:$C$999,3,FALSE),"") </f>
        <v>BT0172</v>
      </c>
      <c r="B178" s="15" t="s">
        <v>0</v>
      </c>
      <c r="C178" s="16" t="s">
        <v>1</v>
      </c>
      <c r="D178" s="17" t="s">
        <v>33</v>
      </c>
      <c r="E178" s="18" t="s">
        <v>786</v>
      </c>
      <c r="F178" s="21">
        <v>8.0</v>
      </c>
      <c r="G178" s="21" t="s">
        <v>787</v>
      </c>
      <c r="H178" s="21" t="s">
        <v>788</v>
      </c>
      <c r="I178" s="22" t="s">
        <v>698</v>
      </c>
      <c r="J178" s="21" t="s">
        <v>699</v>
      </c>
      <c r="K178" s="21" t="s">
        <v>8</v>
      </c>
      <c r="L178" s="21" t="s">
        <v>30</v>
      </c>
      <c r="M178" s="22" t="s">
        <v>126</v>
      </c>
      <c r="N178" s="23"/>
      <c r="O178" s="24">
        <v>44327.0</v>
      </c>
      <c r="P178" s="24">
        <v>44327.0</v>
      </c>
      <c r="Q178" s="25">
        <v>36.0</v>
      </c>
      <c r="R178" s="26">
        <f>IFERROR(__xludf.DUMMYFUNCTION("IF (OR( Q178 = """" , P178 =""""), """" , IF(Q178 = ""Menos de 1 mês"" , ""antes de ""&amp; TO_TEXT( EDATE(P178, 1)), EDATE(P178,Q178)))"),45423.0)</f>
        <v>45423</v>
      </c>
      <c r="S178" s="21">
        <v>1.0</v>
      </c>
      <c r="T178" s="19">
        <v>7200.0</v>
      </c>
      <c r="U178" s="19">
        <v>7200.0</v>
      </c>
      <c r="V178" s="31" t="s">
        <v>700</v>
      </c>
      <c r="W178" s="21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</row>
    <row r="179" ht="60.0" customHeight="1">
      <c r="A179" s="14" t="str">
        <f>if(H179&lt;&gt;"",VLOOKUP(H179,ID!$A$2:$C$999,3,FALSE),"") </f>
        <v>BT0173</v>
      </c>
      <c r="B179" s="15" t="s">
        <v>0</v>
      </c>
      <c r="C179" s="16" t="s">
        <v>1</v>
      </c>
      <c r="D179" s="17" t="s">
        <v>46</v>
      </c>
      <c r="E179" s="18" t="s">
        <v>789</v>
      </c>
      <c r="F179" s="19">
        <v>7300.0</v>
      </c>
      <c r="G179" s="21" t="s">
        <v>790</v>
      </c>
      <c r="H179" s="21" t="s">
        <v>791</v>
      </c>
      <c r="I179" s="22" t="s">
        <v>792</v>
      </c>
      <c r="J179" s="21" t="s">
        <v>793</v>
      </c>
      <c r="K179" s="21" t="s">
        <v>8</v>
      </c>
      <c r="L179" s="21" t="s">
        <v>9</v>
      </c>
      <c r="M179" s="22" t="s">
        <v>10</v>
      </c>
      <c r="N179" s="23"/>
      <c r="O179" s="24">
        <v>44264.0</v>
      </c>
      <c r="P179" s="24">
        <v>44264.0</v>
      </c>
      <c r="Q179" s="25">
        <v>36.0</v>
      </c>
      <c r="R179" s="26">
        <f>IFERROR(__xludf.DUMMYFUNCTION("IF (OR( Q179 = """" , P179 =""""), """" , IF(Q179 = ""Menos de 1 mês"" , ""antes de ""&amp; TO_TEXT( EDATE(P179, 1)), EDATE(P179,Q179)))"),45360.0)</f>
        <v>45360</v>
      </c>
      <c r="S179" s="21">
        <v>3.0</v>
      </c>
      <c r="T179" s="19">
        <v>7200.0</v>
      </c>
      <c r="U179" s="19">
        <v>7200.0</v>
      </c>
      <c r="V179" s="33">
        <v>44264.0</v>
      </c>
      <c r="W179" s="21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</row>
    <row r="180" ht="60.0" customHeight="1">
      <c r="A180" s="14" t="str">
        <f>if(H180&lt;&gt;"",VLOOKUP(H180,ID!$A$2:$C$999,3,FALSE),"") </f>
        <v>BT0174</v>
      </c>
      <c r="B180" s="15" t="s">
        <v>0</v>
      </c>
      <c r="C180" s="16" t="s">
        <v>1</v>
      </c>
      <c r="D180" s="17" t="s">
        <v>33</v>
      </c>
      <c r="E180" s="18" t="s">
        <v>794</v>
      </c>
      <c r="F180" s="21">
        <v>840.0</v>
      </c>
      <c r="G180" s="21" t="s">
        <v>795</v>
      </c>
      <c r="H180" s="21" t="s">
        <v>796</v>
      </c>
      <c r="I180" s="22" t="s">
        <v>797</v>
      </c>
      <c r="J180" s="21" t="s">
        <v>798</v>
      </c>
      <c r="K180" s="21" t="s">
        <v>8</v>
      </c>
      <c r="L180" s="21" t="s">
        <v>30</v>
      </c>
      <c r="M180" s="22" t="s">
        <v>126</v>
      </c>
      <c r="N180" s="23"/>
      <c r="O180" s="24">
        <v>44264.0</v>
      </c>
      <c r="P180" s="24">
        <v>44264.0</v>
      </c>
      <c r="Q180" s="25">
        <v>36.0</v>
      </c>
      <c r="R180" s="26">
        <f>IFERROR(__xludf.DUMMYFUNCTION("IF (OR( Q180 = """" , P180 =""""), """" , IF(Q180 = ""Menos de 1 mês"" , ""antes de ""&amp; TO_TEXT( EDATE(P180, 1)), EDATE(P180,Q180)))"),45360.0)</f>
        <v>45360</v>
      </c>
      <c r="S180" s="21">
        <v>1.0</v>
      </c>
      <c r="T180" s="19">
        <v>72000.0</v>
      </c>
      <c r="U180" s="19">
        <v>72000.0</v>
      </c>
      <c r="V180" s="33">
        <v>44264.0</v>
      </c>
      <c r="W180" s="21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</row>
    <row r="181" ht="60.0" customHeight="1">
      <c r="A181" s="14" t="str">
        <f>if(H181&lt;&gt;"",VLOOKUP(H181,ID!$A$2:$C$999,3,FALSE),"") </f>
        <v>BT0175</v>
      </c>
      <c r="B181" s="15" t="s">
        <v>0</v>
      </c>
      <c r="C181" s="16" t="s">
        <v>1</v>
      </c>
      <c r="D181" s="17" t="s">
        <v>46</v>
      </c>
      <c r="E181" s="18" t="s">
        <v>799</v>
      </c>
      <c r="F181" s="19">
        <v>1500.0</v>
      </c>
      <c r="G181" s="21" t="s">
        <v>800</v>
      </c>
      <c r="H181" s="21" t="s">
        <v>801</v>
      </c>
      <c r="I181" s="22" t="s">
        <v>153</v>
      </c>
      <c r="J181" s="21" t="s">
        <v>154</v>
      </c>
      <c r="K181" s="21" t="s">
        <v>8</v>
      </c>
      <c r="L181" s="21" t="s">
        <v>30</v>
      </c>
      <c r="M181" s="22" t="s">
        <v>126</v>
      </c>
      <c r="N181" s="23"/>
      <c r="O181" s="29" t="s">
        <v>704</v>
      </c>
      <c r="P181" s="29" t="s">
        <v>704</v>
      </c>
      <c r="Q181" s="25">
        <v>36.0</v>
      </c>
      <c r="R181" s="26" t="str">
        <f>IFERROR(__xludf.DUMMYFUNCTION("IF (OR( Q181 = """" , P181 =""""), """" , IF(Q181 = ""Menos de 1 mês"" , ""antes de ""&amp; TO_TEXT( EDATE(P181, 1)), EDATE(P181,Q181)))"),"#VALUE!")</f>
        <v>#VALUE!</v>
      </c>
      <c r="S181" s="21">
        <v>1.0</v>
      </c>
      <c r="T181" s="19">
        <v>18000.0</v>
      </c>
      <c r="U181" s="19">
        <v>18000.0</v>
      </c>
      <c r="V181" s="31" t="s">
        <v>705</v>
      </c>
      <c r="W181" s="21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</row>
    <row r="182" ht="60.0" customHeight="1">
      <c r="A182" s="14" t="str">
        <f>if(H182&lt;&gt;"",VLOOKUP(H182,ID!$A$2:$C$999,3,FALSE),"") </f>
        <v>BT0176</v>
      </c>
      <c r="B182" s="15" t="s">
        <v>0</v>
      </c>
      <c r="C182" s="16" t="s">
        <v>1</v>
      </c>
      <c r="D182" s="17" t="s">
        <v>178</v>
      </c>
      <c r="E182" s="18" t="s">
        <v>802</v>
      </c>
      <c r="F182" s="21">
        <v>35.0</v>
      </c>
      <c r="G182" s="21" t="s">
        <v>803</v>
      </c>
      <c r="H182" s="21" t="s">
        <v>804</v>
      </c>
      <c r="I182" s="22" t="s">
        <v>403</v>
      </c>
      <c r="J182" s="21" t="s">
        <v>404</v>
      </c>
      <c r="K182" s="21" t="s">
        <v>8</v>
      </c>
      <c r="L182" s="21" t="s">
        <v>479</v>
      </c>
      <c r="M182" s="22" t="s">
        <v>10</v>
      </c>
      <c r="N182" s="23"/>
      <c r="O182" s="24">
        <v>43308.0</v>
      </c>
      <c r="P182" s="24">
        <v>43308.0</v>
      </c>
      <c r="Q182" s="25">
        <v>36.0</v>
      </c>
      <c r="R182" s="26">
        <f>IFERROR(__xludf.DUMMYFUNCTION("IF (OR( Q182 = """" , P182 =""""), """" , IF(Q182 = ""Menos de 1 mês"" , ""antes de ""&amp; TO_TEXT( EDATE(P182, 1)), EDATE(P182,Q182)))"),44404.0)</f>
        <v>44404</v>
      </c>
      <c r="S182" s="21">
        <v>1.0</v>
      </c>
      <c r="T182" s="19">
        <v>11590.0</v>
      </c>
      <c r="U182" s="19">
        <v>11590.0</v>
      </c>
      <c r="V182" s="27">
        <v>43377.0</v>
      </c>
      <c r="W182" s="21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</row>
    <row r="183" ht="60.0" customHeight="1">
      <c r="A183" s="14" t="str">
        <f>if(H183&lt;&gt;"",VLOOKUP(H183,ID!$A$2:$C$999,3,FALSE),"") </f>
        <v>BT0177</v>
      </c>
      <c r="B183" s="15" t="s">
        <v>0</v>
      </c>
      <c r="C183" s="16" t="s">
        <v>1</v>
      </c>
      <c r="D183" s="17" t="s">
        <v>178</v>
      </c>
      <c r="E183" s="18" t="s">
        <v>805</v>
      </c>
      <c r="F183" s="21">
        <v>20.0</v>
      </c>
      <c r="G183" s="21" t="s">
        <v>806</v>
      </c>
      <c r="H183" s="21" t="s">
        <v>807</v>
      </c>
      <c r="I183" s="22" t="s">
        <v>808</v>
      </c>
      <c r="J183" s="21" t="s">
        <v>809</v>
      </c>
      <c r="K183" s="21" t="s">
        <v>8</v>
      </c>
      <c r="L183" s="21" t="s">
        <v>479</v>
      </c>
      <c r="M183" s="22" t="s">
        <v>10</v>
      </c>
      <c r="N183" s="23"/>
      <c r="O183" s="24">
        <v>43308.0</v>
      </c>
      <c r="P183" s="24">
        <v>43308.0</v>
      </c>
      <c r="Q183" s="25">
        <v>36.0</v>
      </c>
      <c r="R183" s="26">
        <f>IFERROR(__xludf.DUMMYFUNCTION("IF (OR( Q183 = """" , P183 =""""), """" , IF(Q183 = ""Menos de 1 mês"" , ""antes de ""&amp; TO_TEXT( EDATE(P183, 1)), EDATE(P183,Q183)))"),44404.0)</f>
        <v>44404</v>
      </c>
      <c r="S183" s="21">
        <v>1.0</v>
      </c>
      <c r="T183" s="19">
        <v>11340.0</v>
      </c>
      <c r="U183" s="19">
        <v>11340.0</v>
      </c>
      <c r="V183" s="27">
        <v>43377.0</v>
      </c>
      <c r="W183" s="21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</row>
    <row r="184" ht="60.0" customHeight="1">
      <c r="A184" s="14" t="str">
        <f>if(H184&lt;&gt;"",VLOOKUP(H184,ID!$A$2:$C$999,3,FALSE),"") </f>
        <v>BT0178</v>
      </c>
      <c r="B184" s="15" t="s">
        <v>0</v>
      </c>
      <c r="C184" s="16" t="s">
        <v>1</v>
      </c>
      <c r="D184" s="17" t="s">
        <v>2</v>
      </c>
      <c r="E184" s="18" t="s">
        <v>810</v>
      </c>
      <c r="F184" s="21">
        <v>2929.0</v>
      </c>
      <c r="G184" s="21" t="s">
        <v>811</v>
      </c>
      <c r="H184" s="21" t="s">
        <v>812</v>
      </c>
      <c r="I184" s="22" t="s">
        <v>76</v>
      </c>
      <c r="J184" s="21" t="s">
        <v>77</v>
      </c>
      <c r="K184" s="21" t="s">
        <v>8</v>
      </c>
      <c r="L184" s="21" t="s">
        <v>30</v>
      </c>
      <c r="M184" s="22" t="s">
        <v>224</v>
      </c>
      <c r="N184" s="23"/>
      <c r="O184" s="24">
        <v>43309.0</v>
      </c>
      <c r="P184" s="24">
        <v>43309.0</v>
      </c>
      <c r="Q184" s="25">
        <v>36.0</v>
      </c>
      <c r="R184" s="26">
        <f>IFERROR(__xludf.DUMMYFUNCTION("IF (OR( Q184 = """" , P184 =""""), """" , IF(Q184 = ""Menos de 1 mês"" , ""antes de ""&amp; TO_TEXT( EDATE(P184, 1)), EDATE(P184,Q184)))"),44405.0)</f>
        <v>44405</v>
      </c>
      <c r="S184" s="21">
        <v>3.0</v>
      </c>
      <c r="T184" s="19">
        <v>126000.0</v>
      </c>
      <c r="U184" s="19">
        <v>126000.0</v>
      </c>
      <c r="V184" s="27">
        <v>43377.0</v>
      </c>
      <c r="W184" s="21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</row>
    <row r="185" ht="60.0" customHeight="1">
      <c r="A185" s="14" t="str">
        <f>if(H185&lt;&gt;"",VLOOKUP(H185,ID!$A$2:$C$999,3,FALSE),"") </f>
        <v>BT0179</v>
      </c>
      <c r="B185" s="15" t="s">
        <v>0</v>
      </c>
      <c r="C185" s="16" t="s">
        <v>1</v>
      </c>
      <c r="D185" s="17" t="s">
        <v>2</v>
      </c>
      <c r="E185" s="18" t="s">
        <v>813</v>
      </c>
      <c r="F185" s="19">
        <v>5443.0</v>
      </c>
      <c r="G185" s="21" t="s">
        <v>814</v>
      </c>
      <c r="H185" s="21" t="s">
        <v>815</v>
      </c>
      <c r="I185" s="22" t="s">
        <v>816</v>
      </c>
      <c r="J185" s="21" t="s">
        <v>817</v>
      </c>
      <c r="K185" s="21" t="s">
        <v>8</v>
      </c>
      <c r="L185" s="21" t="s">
        <v>30</v>
      </c>
      <c r="M185" s="22" t="s">
        <v>62</v>
      </c>
      <c r="N185" s="23"/>
      <c r="O185" s="24">
        <v>43308.0</v>
      </c>
      <c r="P185" s="24">
        <v>43308.0</v>
      </c>
      <c r="Q185" s="25">
        <v>36.0</v>
      </c>
      <c r="R185" s="26">
        <f>IFERROR(__xludf.DUMMYFUNCTION("IF (OR( Q185 = """" , P185 =""""), """" , IF(Q185 = ""Menos de 1 mês"" , ""antes de ""&amp; TO_TEXT( EDATE(P185, 1)), EDATE(P185,Q185)))"),44404.0)</f>
        <v>44404</v>
      </c>
      <c r="S185" s="21">
        <v>5.0</v>
      </c>
      <c r="T185" s="19">
        <v>16200.0</v>
      </c>
      <c r="U185" s="19">
        <v>16200.0</v>
      </c>
      <c r="V185" s="27">
        <v>43377.0</v>
      </c>
      <c r="W185" s="21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</row>
    <row r="186" ht="60.0" customHeight="1">
      <c r="A186" s="14" t="str">
        <f>if(H186&lt;&gt;"",VLOOKUP(H186,ID!$A$2:$C$999,3,FALSE),"") </f>
        <v>BT0180</v>
      </c>
      <c r="B186" s="15" t="s">
        <v>0</v>
      </c>
      <c r="C186" s="16" t="s">
        <v>1</v>
      </c>
      <c r="D186" s="17" t="s">
        <v>155</v>
      </c>
      <c r="E186" s="18" t="s">
        <v>818</v>
      </c>
      <c r="F186" s="19">
        <v>5000.0</v>
      </c>
      <c r="G186" s="21" t="s">
        <v>819</v>
      </c>
      <c r="H186" s="21" t="s">
        <v>820</v>
      </c>
      <c r="I186" s="22" t="s">
        <v>821</v>
      </c>
      <c r="J186" s="21" t="s">
        <v>822</v>
      </c>
      <c r="K186" s="21" t="s">
        <v>8</v>
      </c>
      <c r="L186" s="21" t="s">
        <v>30</v>
      </c>
      <c r="M186" s="22" t="s">
        <v>62</v>
      </c>
      <c r="N186" s="23"/>
      <c r="O186" s="24">
        <v>43327.0</v>
      </c>
      <c r="P186" s="24">
        <v>43327.0</v>
      </c>
      <c r="Q186" s="25">
        <v>36.0</v>
      </c>
      <c r="R186" s="26">
        <f>IFERROR(__xludf.DUMMYFUNCTION("IF (OR( Q186 = """" , P186 =""""), """" , IF(Q186 = ""Menos de 1 mês"" , ""antes de ""&amp; TO_TEXT( EDATE(P186, 1)), EDATE(P186,Q186)))"),44423.0)</f>
        <v>44423</v>
      </c>
      <c r="S186" s="21">
        <v>6.0</v>
      </c>
      <c r="T186" s="19">
        <v>18000.0</v>
      </c>
      <c r="U186" s="19">
        <v>18000.0</v>
      </c>
      <c r="V186" s="27">
        <v>43377.0</v>
      </c>
      <c r="W186" s="21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</row>
    <row r="187" ht="60.0" customHeight="1">
      <c r="A187" s="14" t="str">
        <f>if(H187&lt;&gt;"",VLOOKUP(H187,ID!$A$2:$C$999,3,FALSE),"") </f>
        <v>BT0181</v>
      </c>
      <c r="B187" s="15" t="s">
        <v>0</v>
      </c>
      <c r="C187" s="16" t="s">
        <v>1</v>
      </c>
      <c r="D187" s="17" t="s">
        <v>178</v>
      </c>
      <c r="E187" s="18" t="s">
        <v>823</v>
      </c>
      <c r="F187" s="19">
        <v>10792.0</v>
      </c>
      <c r="G187" s="21" t="s">
        <v>824</v>
      </c>
      <c r="H187" s="21" t="s">
        <v>825</v>
      </c>
      <c r="I187" s="22" t="s">
        <v>826</v>
      </c>
      <c r="J187" s="21" t="s">
        <v>827</v>
      </c>
      <c r="K187" s="21" t="s">
        <v>8</v>
      </c>
      <c r="L187" s="21" t="s">
        <v>9</v>
      </c>
      <c r="M187" s="22" t="s">
        <v>10</v>
      </c>
      <c r="N187" s="23"/>
      <c r="O187" s="24">
        <v>43334.0</v>
      </c>
      <c r="P187" s="24">
        <v>43334.0</v>
      </c>
      <c r="Q187" s="25">
        <v>36.0</v>
      </c>
      <c r="R187" s="26">
        <f>IFERROR(__xludf.DUMMYFUNCTION("IF (OR( Q187 = """" , P187 =""""), """" , IF(Q187 = ""Menos de 1 mês"" , ""antes de ""&amp; TO_TEXT( EDATE(P187, 1)), EDATE(P187,Q187)))"),44430.0)</f>
        <v>44430</v>
      </c>
      <c r="S187" s="21">
        <v>10.0</v>
      </c>
      <c r="T187" s="19">
        <v>28800.0</v>
      </c>
      <c r="U187" s="19">
        <v>28800.0</v>
      </c>
      <c r="V187" s="27">
        <v>43377.0</v>
      </c>
      <c r="W187" s="21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</row>
    <row r="188" ht="60.0" customHeight="1">
      <c r="A188" s="14" t="str">
        <f>if(H188&lt;&gt;"",VLOOKUP(H188,ID!$A$2:$C$999,3,FALSE),"") </f>
        <v>BT0182</v>
      </c>
      <c r="B188" s="15" t="s">
        <v>0</v>
      </c>
      <c r="C188" s="16" t="s">
        <v>1</v>
      </c>
      <c r="D188" s="17" t="s">
        <v>178</v>
      </c>
      <c r="E188" s="18" t="s">
        <v>828</v>
      </c>
      <c r="F188" s="21">
        <v>346.0</v>
      </c>
      <c r="G188" s="21" t="s">
        <v>829</v>
      </c>
      <c r="H188" s="21" t="s">
        <v>830</v>
      </c>
      <c r="I188" s="22" t="s">
        <v>831</v>
      </c>
      <c r="J188" s="21" t="s">
        <v>832</v>
      </c>
      <c r="K188" s="21" t="s">
        <v>8</v>
      </c>
      <c r="L188" s="21" t="s">
        <v>96</v>
      </c>
      <c r="M188" s="22" t="s">
        <v>10</v>
      </c>
      <c r="N188" s="23"/>
      <c r="O188" s="24">
        <v>43369.0</v>
      </c>
      <c r="P188" s="24">
        <v>43369.0</v>
      </c>
      <c r="Q188" s="25">
        <v>36.0</v>
      </c>
      <c r="R188" s="26">
        <f>IFERROR(__xludf.DUMMYFUNCTION("IF (OR( Q188 = """" , P188 =""""), """" , IF(Q188 = ""Menos de 1 mês"" , ""antes de ""&amp; TO_TEXT( EDATE(P188, 1)), EDATE(P188,Q188)))"),44465.0)</f>
        <v>44465</v>
      </c>
      <c r="S188" s="21">
        <v>1.0</v>
      </c>
      <c r="T188" s="19">
        <v>28000.0</v>
      </c>
      <c r="U188" s="19">
        <v>28000.0</v>
      </c>
      <c r="V188" s="27">
        <v>43377.0</v>
      </c>
      <c r="W188" s="21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</row>
    <row r="189" ht="60.0" customHeight="1">
      <c r="A189" s="14" t="str">
        <f>if(H189&lt;&gt;"",VLOOKUP(H189,ID!$A$2:$C$999,3,FALSE),"") </f>
        <v>BT0183</v>
      </c>
      <c r="B189" s="15" t="s">
        <v>0</v>
      </c>
      <c r="C189" s="16" t="s">
        <v>1</v>
      </c>
      <c r="D189" s="17" t="s">
        <v>178</v>
      </c>
      <c r="E189" s="18" t="s">
        <v>833</v>
      </c>
      <c r="F189" s="19">
        <v>4900.0</v>
      </c>
      <c r="G189" s="21" t="s">
        <v>834</v>
      </c>
      <c r="H189" s="21" t="s">
        <v>835</v>
      </c>
      <c r="I189" s="22" t="s">
        <v>836</v>
      </c>
      <c r="J189" s="21" t="s">
        <v>837</v>
      </c>
      <c r="K189" s="21" t="s">
        <v>8</v>
      </c>
      <c r="L189" s="21" t="s">
        <v>9</v>
      </c>
      <c r="M189" s="22" t="s">
        <v>10</v>
      </c>
      <c r="N189" s="23"/>
      <c r="O189" s="24">
        <v>43355.0</v>
      </c>
      <c r="P189" s="24">
        <v>43355.0</v>
      </c>
      <c r="Q189" s="25">
        <v>36.0</v>
      </c>
      <c r="R189" s="26">
        <f>IFERROR(__xludf.DUMMYFUNCTION("IF (OR( Q189 = """" , P189 =""""), """" , IF(Q189 = ""Menos de 1 mês"" , ""antes de ""&amp; TO_TEXT( EDATE(P189, 1)), EDATE(P189,Q189)))"),44451.0)</f>
        <v>44451</v>
      </c>
      <c r="S189" s="21">
        <v>5.0</v>
      </c>
      <c r="T189" s="19">
        <v>25200.0</v>
      </c>
      <c r="U189" s="19">
        <v>25200.0</v>
      </c>
      <c r="V189" s="27">
        <v>43377.0</v>
      </c>
      <c r="W189" s="21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</row>
    <row r="190" ht="60.0" customHeight="1">
      <c r="A190" s="14" t="str">
        <f>if(H190&lt;&gt;"",VLOOKUP(H190,ID!$A$2:$C$999,3,FALSE),"") </f>
        <v>BT0184</v>
      </c>
      <c r="B190" s="15" t="s">
        <v>0</v>
      </c>
      <c r="C190" s="16" t="s">
        <v>1</v>
      </c>
      <c r="D190" s="17" t="s">
        <v>33</v>
      </c>
      <c r="E190" s="18" t="s">
        <v>838</v>
      </c>
      <c r="F190" s="21">
        <v>550.0</v>
      </c>
      <c r="G190" s="21" t="s">
        <v>839</v>
      </c>
      <c r="H190" s="21" t="s">
        <v>840</v>
      </c>
      <c r="I190" s="22" t="s">
        <v>841</v>
      </c>
      <c r="J190" s="21" t="s">
        <v>842</v>
      </c>
      <c r="K190" s="21" t="s">
        <v>8</v>
      </c>
      <c r="L190" s="21" t="s">
        <v>9</v>
      </c>
      <c r="M190" s="22" t="s">
        <v>10</v>
      </c>
      <c r="N190" s="23"/>
      <c r="O190" s="24">
        <v>44264.0</v>
      </c>
      <c r="P190" s="24">
        <v>44264.0</v>
      </c>
      <c r="Q190" s="25">
        <v>36.0</v>
      </c>
      <c r="R190" s="26">
        <f>IFERROR(__xludf.DUMMYFUNCTION("IF (OR( Q190 = """" , P190 =""""), """" , IF(Q190 = ""Menos de 1 mês"" , ""antes de ""&amp; TO_TEXT( EDATE(P190, 1)), EDATE(P190,Q190)))"),45360.0)</f>
        <v>45360</v>
      </c>
      <c r="S190" s="21">
        <v>1.0</v>
      </c>
      <c r="T190" s="19">
        <v>25200.0</v>
      </c>
      <c r="U190" s="19">
        <v>25200.0</v>
      </c>
      <c r="V190" s="27">
        <v>44264.0</v>
      </c>
      <c r="W190" s="21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</row>
    <row r="191" ht="60.0" customHeight="1">
      <c r="A191" s="14" t="str">
        <f>if(H191&lt;&gt;"",VLOOKUP(H191,ID!$A$2:$C$999,3,FALSE),"") </f>
        <v>BT0185</v>
      </c>
      <c r="B191" s="15" t="s">
        <v>0</v>
      </c>
      <c r="C191" s="16" t="s">
        <v>1</v>
      </c>
      <c r="D191" s="17" t="s">
        <v>2</v>
      </c>
      <c r="E191" s="18" t="s">
        <v>843</v>
      </c>
      <c r="F191" s="21">
        <v>800.0</v>
      </c>
      <c r="G191" s="21" t="s">
        <v>844</v>
      </c>
      <c r="H191" s="21" t="s">
        <v>845</v>
      </c>
      <c r="I191" s="22" t="s">
        <v>846</v>
      </c>
      <c r="J191" s="21" t="s">
        <v>847</v>
      </c>
      <c r="K191" s="21" t="s">
        <v>8</v>
      </c>
      <c r="L191" s="21" t="s">
        <v>96</v>
      </c>
      <c r="M191" s="22" t="s">
        <v>10</v>
      </c>
      <c r="N191" s="23"/>
      <c r="O191" s="24">
        <v>43369.0</v>
      </c>
      <c r="P191" s="24">
        <v>43369.0</v>
      </c>
      <c r="Q191" s="25">
        <v>36.0</v>
      </c>
      <c r="R191" s="26">
        <f>IFERROR(__xludf.DUMMYFUNCTION("IF (OR( Q191 = """" , P191 =""""), """" , IF(Q191 = ""Menos de 1 mês"" , ""antes de ""&amp; TO_TEXT( EDATE(P191, 1)), EDATE(P191,Q191)))"),44465.0)</f>
        <v>44465</v>
      </c>
      <c r="S191" s="21">
        <v>1.0</v>
      </c>
      <c r="T191" s="19">
        <v>90000.0</v>
      </c>
      <c r="U191" s="19">
        <v>90000.0</v>
      </c>
      <c r="V191" s="27">
        <v>43377.0</v>
      </c>
      <c r="W191" s="21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</row>
    <row r="192" ht="60.0" customHeight="1">
      <c r="A192" s="14" t="str">
        <f>if(H192&lt;&gt;"",VLOOKUP(H192,ID!$A$2:$C$999,3,FALSE),"") </f>
        <v>BT0186</v>
      </c>
      <c r="B192" s="15" t="s">
        <v>0</v>
      </c>
      <c r="C192" s="16" t="s">
        <v>1</v>
      </c>
      <c r="D192" s="17" t="s">
        <v>33</v>
      </c>
      <c r="E192" s="18" t="s">
        <v>848</v>
      </c>
      <c r="F192" s="19">
        <v>1800.0</v>
      </c>
      <c r="G192" s="52" t="s">
        <v>849</v>
      </c>
      <c r="H192" s="21" t="s">
        <v>850</v>
      </c>
      <c r="I192" s="22" t="s">
        <v>851</v>
      </c>
      <c r="J192" s="21" t="s">
        <v>852</v>
      </c>
      <c r="K192" s="21" t="s">
        <v>8</v>
      </c>
      <c r="L192" s="21" t="s">
        <v>9</v>
      </c>
      <c r="M192" s="22" t="s">
        <v>10</v>
      </c>
      <c r="N192" s="23"/>
      <c r="O192" s="24">
        <v>43393.0</v>
      </c>
      <c r="P192" s="24">
        <v>44489.0</v>
      </c>
      <c r="Q192" s="25">
        <v>36.0</v>
      </c>
      <c r="R192" s="26">
        <f>IFERROR(__xludf.DUMMYFUNCTION("IF (OR( Q192 = """" , P192 =""""), """" , IF(Q192 = ""Menos de 1 mês"" , ""antes de ""&amp; TO_TEXT( EDATE(P192, 1)), EDATE(P192,Q192)))"),45585.0)</f>
        <v>45585</v>
      </c>
      <c r="S192" s="21">
        <v>1.0</v>
      </c>
      <c r="T192" s="19">
        <v>19000.0</v>
      </c>
      <c r="U192" s="19">
        <v>19000.0</v>
      </c>
      <c r="V192" s="27">
        <v>43431.0</v>
      </c>
      <c r="W192" s="52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</row>
    <row r="193" ht="60.0" customHeight="1">
      <c r="A193" s="14" t="str">
        <f>if(H193&lt;&gt;"",VLOOKUP(H193,ID!$A$2:$C$999,3,FALSE),"") </f>
        <v>BT0187</v>
      </c>
      <c r="B193" s="15" t="s">
        <v>0</v>
      </c>
      <c r="C193" s="16" t="s">
        <v>1</v>
      </c>
      <c r="D193" s="17" t="s">
        <v>33</v>
      </c>
      <c r="E193" s="18" t="s">
        <v>853</v>
      </c>
      <c r="F193" s="19">
        <v>5300.0</v>
      </c>
      <c r="G193" s="52" t="s">
        <v>854</v>
      </c>
      <c r="H193" s="21" t="s">
        <v>855</v>
      </c>
      <c r="I193" s="22" t="s">
        <v>851</v>
      </c>
      <c r="J193" s="21" t="s">
        <v>852</v>
      </c>
      <c r="K193" s="21" t="s">
        <v>8</v>
      </c>
      <c r="L193" s="21" t="s">
        <v>9</v>
      </c>
      <c r="M193" s="22" t="s">
        <v>10</v>
      </c>
      <c r="N193" s="23"/>
      <c r="O193" s="24">
        <v>43393.0</v>
      </c>
      <c r="P193" s="24">
        <v>44489.0</v>
      </c>
      <c r="Q193" s="25">
        <v>36.0</v>
      </c>
      <c r="R193" s="26">
        <f>IFERROR(__xludf.DUMMYFUNCTION("IF (OR( Q193 = """" , P193 =""""), """" , IF(Q193 = ""Menos de 1 mês"" , ""antes de ""&amp; TO_TEXT( EDATE(P193, 1)), EDATE(P193,Q193)))"),45585.0)</f>
        <v>45585</v>
      </c>
      <c r="S193" s="21">
        <v>3.0</v>
      </c>
      <c r="T193" s="19">
        <v>19000.0</v>
      </c>
      <c r="U193" s="19">
        <v>19000.0</v>
      </c>
      <c r="V193" s="27">
        <v>43389.0</v>
      </c>
      <c r="W193" s="52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</row>
    <row r="194" ht="60.0" customHeight="1">
      <c r="A194" s="14" t="str">
        <f>if(H194&lt;&gt;"",VLOOKUP(H194,ID!$A$2:$C$999,3,FALSE),"") </f>
        <v>BT0188</v>
      </c>
      <c r="B194" s="15" t="s">
        <v>0</v>
      </c>
      <c r="C194" s="16" t="s">
        <v>1</v>
      </c>
      <c r="D194" s="17" t="s">
        <v>33</v>
      </c>
      <c r="E194" s="18" t="s">
        <v>856</v>
      </c>
      <c r="F194" s="19">
        <v>1780.0</v>
      </c>
      <c r="G194" s="52" t="s">
        <v>857</v>
      </c>
      <c r="H194" s="21" t="s">
        <v>858</v>
      </c>
      <c r="I194" s="22" t="s">
        <v>859</v>
      </c>
      <c r="J194" s="21" t="s">
        <v>860</v>
      </c>
      <c r="K194" s="21" t="s">
        <v>8</v>
      </c>
      <c r="L194" s="21" t="s">
        <v>9</v>
      </c>
      <c r="M194" s="22" t="s">
        <v>10</v>
      </c>
      <c r="N194" s="23"/>
      <c r="O194" s="24">
        <v>43180.0</v>
      </c>
      <c r="P194" s="24">
        <v>43180.0</v>
      </c>
      <c r="Q194" s="25">
        <v>36.0</v>
      </c>
      <c r="R194" s="26">
        <f>IFERROR(__xludf.DUMMYFUNCTION("IF (OR( Q194 = """" , P194 =""""), """" , IF(Q194 = ""Menos de 1 mês"" , ""antes de ""&amp; TO_TEXT( EDATE(P194, 1)), EDATE(P194,Q194)))"),44276.0)</f>
        <v>44276</v>
      </c>
      <c r="S194" s="21">
        <v>1.0</v>
      </c>
      <c r="T194" s="19">
        <v>4800.0</v>
      </c>
      <c r="U194" s="57"/>
      <c r="V194" s="27">
        <v>43664.0</v>
      </c>
      <c r="W194" s="5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</row>
    <row r="195" ht="60.0" customHeight="1">
      <c r="A195" s="14" t="str">
        <f>if(H195&lt;&gt;"",VLOOKUP(H195,ID!$A$2:$C$999,3,FALSE),"") </f>
        <v>BT0189</v>
      </c>
      <c r="B195" s="15" t="s">
        <v>0</v>
      </c>
      <c r="C195" s="16" t="s">
        <v>1</v>
      </c>
      <c r="D195" s="17" t="s">
        <v>2</v>
      </c>
      <c r="E195" s="18" t="s">
        <v>861</v>
      </c>
      <c r="F195" s="19">
        <v>7287.0</v>
      </c>
      <c r="G195" s="52" t="s">
        <v>862</v>
      </c>
      <c r="H195" s="21" t="s">
        <v>863</v>
      </c>
      <c r="I195" s="22" t="s">
        <v>864</v>
      </c>
      <c r="J195" s="21" t="s">
        <v>865</v>
      </c>
      <c r="K195" s="21" t="s">
        <v>8</v>
      </c>
      <c r="L195" s="21" t="s">
        <v>30</v>
      </c>
      <c r="M195" s="22" t="s">
        <v>679</v>
      </c>
      <c r="N195" s="23"/>
      <c r="O195" s="24">
        <v>43503.0</v>
      </c>
      <c r="P195" s="24">
        <v>43503.0</v>
      </c>
      <c r="Q195" s="25">
        <v>36.0</v>
      </c>
      <c r="R195" s="26">
        <f>IFERROR(__xludf.DUMMYFUNCTION("IF (OR( Q195 = """" , P195 =""""), """" , IF(Q195 = ""Menos de 1 mês"" , ""antes de ""&amp; TO_TEXT( EDATE(P195, 1)), EDATE(P195,Q195)))"),44599.0)</f>
        <v>44599</v>
      </c>
      <c r="S195" s="21">
        <v>5.0</v>
      </c>
      <c r="T195" s="19">
        <v>36000.0</v>
      </c>
      <c r="U195" s="19">
        <v>36000.0</v>
      </c>
      <c r="V195" s="27">
        <v>43377.0</v>
      </c>
      <c r="W195" s="52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</row>
    <row r="196" ht="60.0" customHeight="1">
      <c r="A196" s="14" t="str">
        <f>if(H196&lt;&gt;"",VLOOKUP(H196,ID!$A$2:$C$999,3,FALSE),"") </f>
        <v>BT0190</v>
      </c>
      <c r="B196" s="15" t="s">
        <v>0</v>
      </c>
      <c r="C196" s="16" t="s">
        <v>1</v>
      </c>
      <c r="D196" s="17" t="s">
        <v>33</v>
      </c>
      <c r="E196" s="18" t="s">
        <v>866</v>
      </c>
      <c r="F196" s="19">
        <v>5300.0</v>
      </c>
      <c r="G196" s="52" t="s">
        <v>867</v>
      </c>
      <c r="H196" s="21" t="s">
        <v>868</v>
      </c>
      <c r="I196" s="22" t="s">
        <v>851</v>
      </c>
      <c r="J196" s="21" t="s">
        <v>869</v>
      </c>
      <c r="K196" s="21" t="s">
        <v>8</v>
      </c>
      <c r="L196" s="21" t="s">
        <v>96</v>
      </c>
      <c r="M196" s="22" t="s">
        <v>10</v>
      </c>
      <c r="N196" s="23"/>
      <c r="O196" s="24">
        <v>43393.0</v>
      </c>
      <c r="P196" s="24">
        <v>44489.0</v>
      </c>
      <c r="Q196" s="25">
        <v>36.0</v>
      </c>
      <c r="R196" s="26">
        <f>IFERROR(__xludf.DUMMYFUNCTION("IF (OR( Q196 = """" , P196 =""""), """" , IF(Q196 = ""Menos de 1 mês"" , ""antes de ""&amp; TO_TEXT( EDATE(P196, 1)), EDATE(P196,Q196)))"),45585.0)</f>
        <v>45585</v>
      </c>
      <c r="S196" s="21">
        <v>1.0</v>
      </c>
      <c r="T196" s="19">
        <v>19000.0</v>
      </c>
      <c r="U196" s="19">
        <v>19000.0</v>
      </c>
      <c r="V196" s="27">
        <v>43431.0</v>
      </c>
      <c r="W196" s="52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</row>
    <row r="197" ht="60.0" customHeight="1">
      <c r="A197" s="14" t="str">
        <f>if(H197&lt;&gt;"",VLOOKUP(H197,ID!$A$2:$C$999,3,FALSE),"") </f>
        <v>BT0191</v>
      </c>
      <c r="B197" s="15" t="s">
        <v>0</v>
      </c>
      <c r="C197" s="16" t="s">
        <v>1</v>
      </c>
      <c r="D197" s="38" t="s">
        <v>33</v>
      </c>
      <c r="E197" s="15" t="s">
        <v>870</v>
      </c>
      <c r="F197" s="30">
        <v>1200.0</v>
      </c>
      <c r="G197" s="52" t="s">
        <v>871</v>
      </c>
      <c r="H197" s="30" t="s">
        <v>872</v>
      </c>
      <c r="I197" s="54" t="s">
        <v>873</v>
      </c>
      <c r="J197" s="30" t="s">
        <v>874</v>
      </c>
      <c r="K197" s="20" t="s">
        <v>8</v>
      </c>
      <c r="L197" s="30" t="s">
        <v>9</v>
      </c>
      <c r="M197" s="54" t="s">
        <v>10</v>
      </c>
      <c r="N197" s="59"/>
      <c r="O197" s="60"/>
      <c r="P197" s="60"/>
      <c r="Q197" s="61">
        <v>36.0</v>
      </c>
      <c r="R197" s="26" t="str">
        <f>IFERROR(__xludf.DUMMYFUNCTION("IF (OR( Q197 = """" , P197 =""""), """" , IF(Q197 = ""Menos de 1 mês"" , ""antes de ""&amp; TO_TEXT( EDATE(P197, 1)), EDATE(P197,Q197)))"),"")</f>
        <v/>
      </c>
      <c r="S197" s="28"/>
      <c r="T197" s="28"/>
      <c r="U197" s="28"/>
      <c r="V197" s="27">
        <v>43383.0</v>
      </c>
      <c r="W197" s="52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</row>
    <row r="198" ht="60.0" customHeight="1">
      <c r="A198" s="14" t="str">
        <f>if(H198&lt;&gt;"",VLOOKUP(H198,ID!$A$2:$C$999,3,FALSE),"") </f>
        <v>BT0192</v>
      </c>
      <c r="B198" s="15" t="s">
        <v>0</v>
      </c>
      <c r="C198" s="16" t="s">
        <v>1</v>
      </c>
      <c r="D198" s="38" t="s">
        <v>178</v>
      </c>
      <c r="E198" s="15" t="s">
        <v>875</v>
      </c>
      <c r="F198" s="30">
        <v>120.0</v>
      </c>
      <c r="G198" s="52" t="s">
        <v>876</v>
      </c>
      <c r="H198" s="30" t="s">
        <v>877</v>
      </c>
      <c r="I198" s="54" t="s">
        <v>878</v>
      </c>
      <c r="J198" s="30" t="s">
        <v>879</v>
      </c>
      <c r="K198" s="62" t="s">
        <v>8</v>
      </c>
      <c r="L198" s="54" t="s">
        <v>30</v>
      </c>
      <c r="M198" s="54" t="s">
        <v>10</v>
      </c>
      <c r="N198" s="59"/>
      <c r="O198" s="27">
        <v>43417.0</v>
      </c>
      <c r="P198" s="27">
        <v>44513.0</v>
      </c>
      <c r="Q198" s="61">
        <v>36.0</v>
      </c>
      <c r="R198" s="26">
        <f>IFERROR(__xludf.DUMMYFUNCTION("IF (OR( Q198 = """" , P198 =""""), """" , IF(Q198 = ""Menos de 1 mês"" , ""antes de ""&amp; TO_TEXT( EDATE(P198, 1)), EDATE(P198,Q198)))"),45609.0)</f>
        <v>45609</v>
      </c>
      <c r="S198" s="30">
        <v>1.0</v>
      </c>
      <c r="T198" s="56">
        <v>7200.0</v>
      </c>
      <c r="U198" s="56">
        <v>7200.0</v>
      </c>
      <c r="V198" s="27">
        <v>43431.0</v>
      </c>
      <c r="W198" s="52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</row>
    <row r="199" ht="60.0" customHeight="1">
      <c r="A199" s="14" t="str">
        <f>if(H199&lt;&gt;"",VLOOKUP(H199,ID!$A$2:$C$999,3,FALSE),"") </f>
        <v>BT0193</v>
      </c>
      <c r="B199" s="15" t="s">
        <v>0</v>
      </c>
      <c r="C199" s="16" t="s">
        <v>1</v>
      </c>
      <c r="D199" s="38" t="s">
        <v>2</v>
      </c>
      <c r="E199" s="15" t="s">
        <v>880</v>
      </c>
      <c r="F199" s="30">
        <v>39.9</v>
      </c>
      <c r="G199" s="52" t="s">
        <v>881</v>
      </c>
      <c r="H199" s="30" t="s">
        <v>882</v>
      </c>
      <c r="I199" s="54" t="s">
        <v>883</v>
      </c>
      <c r="J199" s="30" t="s">
        <v>884</v>
      </c>
      <c r="K199" s="30" t="s">
        <v>8</v>
      </c>
      <c r="L199" s="54" t="s">
        <v>30</v>
      </c>
      <c r="M199" s="54" t="s">
        <v>10</v>
      </c>
      <c r="N199" s="59"/>
      <c r="O199" s="27">
        <v>43417.0</v>
      </c>
      <c r="P199" s="27">
        <v>44513.0</v>
      </c>
      <c r="Q199" s="61">
        <v>36.0</v>
      </c>
      <c r="R199" s="26">
        <f>IFERROR(__xludf.DUMMYFUNCTION("IF (OR( Q199 = """" , P199 =""""), """" , IF(Q199 = ""Menos de 1 mês"" , ""antes de ""&amp; TO_TEXT( EDATE(P199, 1)), EDATE(P199,Q199)))"),45609.0)</f>
        <v>45609</v>
      </c>
      <c r="S199" s="30">
        <v>1.0</v>
      </c>
      <c r="T199" s="56">
        <v>7200.0</v>
      </c>
      <c r="U199" s="56">
        <v>7200.0</v>
      </c>
      <c r="V199" s="27">
        <v>43431.0</v>
      </c>
      <c r="W199" s="52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</row>
    <row r="200" ht="60.0" customHeight="1">
      <c r="A200" s="14" t="str">
        <f>if(H200&lt;&gt;"",VLOOKUP(H200,ID!$A$2:$C$999,3,FALSE),"") </f>
        <v>BT0194</v>
      </c>
      <c r="B200" s="15" t="s">
        <v>0</v>
      </c>
      <c r="C200" s="16" t="s">
        <v>1</v>
      </c>
      <c r="D200" s="38" t="s">
        <v>33</v>
      </c>
      <c r="E200" s="15" t="s">
        <v>885</v>
      </c>
      <c r="F200" s="30">
        <v>533.0</v>
      </c>
      <c r="G200" s="52" t="s">
        <v>886</v>
      </c>
      <c r="H200" s="30" t="s">
        <v>887</v>
      </c>
      <c r="I200" s="54" t="s">
        <v>28</v>
      </c>
      <c r="J200" s="30" t="s">
        <v>29</v>
      </c>
      <c r="K200" s="30" t="s">
        <v>8</v>
      </c>
      <c r="L200" s="54" t="s">
        <v>9</v>
      </c>
      <c r="M200" s="54" t="s">
        <v>10</v>
      </c>
      <c r="N200" s="59"/>
      <c r="O200" s="27">
        <v>44239.0</v>
      </c>
      <c r="P200" s="27">
        <v>44239.0</v>
      </c>
      <c r="Q200" s="61">
        <v>36.0</v>
      </c>
      <c r="R200" s="26">
        <f>IFERROR(__xludf.DUMMYFUNCTION("IF (OR( Q200 = """" , P200 =""""), """" , IF(Q200 = ""Menos de 1 mês"" , ""antes de ""&amp; TO_TEXT( EDATE(P200, 1)), EDATE(P200,Q200)))"),45334.0)</f>
        <v>45334</v>
      </c>
      <c r="S200" s="30">
        <v>1.0</v>
      </c>
      <c r="T200" s="56">
        <v>22680.0</v>
      </c>
      <c r="U200" s="56">
        <v>22680.0</v>
      </c>
      <c r="V200" s="27">
        <v>44267.0</v>
      </c>
      <c r="W200" s="52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</row>
    <row r="201" ht="60.0" customHeight="1">
      <c r="A201" s="14" t="str">
        <f>if(H201&lt;&gt;"",VLOOKUP(H201,ID!$A$2:$C$999,3,FALSE),"") </f>
        <v>BT0194</v>
      </c>
      <c r="B201" s="15" t="s">
        <v>0</v>
      </c>
      <c r="C201" s="16" t="s">
        <v>1</v>
      </c>
      <c r="D201" s="51" t="s">
        <v>33</v>
      </c>
      <c r="E201" s="15" t="s">
        <v>888</v>
      </c>
      <c r="F201" s="51">
        <v>633.0</v>
      </c>
      <c r="G201" s="52" t="s">
        <v>886</v>
      </c>
      <c r="H201" s="30" t="s">
        <v>887</v>
      </c>
      <c r="I201" s="54" t="s">
        <v>889</v>
      </c>
      <c r="J201" s="30" t="s">
        <v>29</v>
      </c>
      <c r="K201" s="30" t="s">
        <v>8</v>
      </c>
      <c r="L201" s="54" t="s">
        <v>9</v>
      </c>
      <c r="M201" s="54" t="s">
        <v>622</v>
      </c>
      <c r="N201" s="59"/>
      <c r="O201" s="24">
        <v>44239.0</v>
      </c>
      <c r="P201" s="24">
        <v>44239.0</v>
      </c>
      <c r="Q201" s="61">
        <v>36.0</v>
      </c>
      <c r="R201" s="26">
        <f>IFERROR(__xludf.DUMMYFUNCTION("IF (OR( Q201 = """" , P201 =""""), """" , IF(Q201 = ""Menos de 1 mês"" , ""antes de ""&amp; TO_TEXT( EDATE(P201, 1)), EDATE(P201,Q201)))"),45334.0)</f>
        <v>45334</v>
      </c>
      <c r="S201" s="30">
        <v>1.0</v>
      </c>
      <c r="T201" s="63" t="s">
        <v>890</v>
      </c>
      <c r="U201" s="63" t="s">
        <v>890</v>
      </c>
      <c r="V201" s="33">
        <v>44684.0</v>
      </c>
      <c r="W201" s="52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</row>
    <row r="202" ht="60.0" customHeight="1">
      <c r="A202" s="14" t="str">
        <f>if(H202&lt;&gt;"",VLOOKUP(H202,ID!$A$2:$C$999,3,FALSE),"") </f>
        <v>BT0027</v>
      </c>
      <c r="B202" s="15" t="s">
        <v>0</v>
      </c>
      <c r="C202" s="16" t="s">
        <v>1</v>
      </c>
      <c r="D202" s="38" t="s">
        <v>2</v>
      </c>
      <c r="E202" s="15" t="s">
        <v>802</v>
      </c>
      <c r="F202" s="30">
        <v>287.0</v>
      </c>
      <c r="G202" s="52" t="s">
        <v>891</v>
      </c>
      <c r="H202" s="30" t="s">
        <v>144</v>
      </c>
      <c r="I202" s="54" t="s">
        <v>892</v>
      </c>
      <c r="J202" s="30" t="s">
        <v>141</v>
      </c>
      <c r="K202" s="30" t="s">
        <v>8</v>
      </c>
      <c r="L202" s="54" t="s">
        <v>96</v>
      </c>
      <c r="M202" s="54" t="s">
        <v>10</v>
      </c>
      <c r="N202" s="59"/>
      <c r="O202" s="27">
        <v>43431.0</v>
      </c>
      <c r="P202" s="27">
        <v>44527.0</v>
      </c>
      <c r="Q202" s="61">
        <v>36.0</v>
      </c>
      <c r="R202" s="26">
        <f>IFERROR(__xludf.DUMMYFUNCTION("IF (OR( Q202 = """" , P202 =""""), """" , IF(Q202 = ""Menos de 1 mês"" , ""antes de ""&amp; TO_TEXT( EDATE(P202, 1)), EDATE(P202,Q202)))"),45623.0)</f>
        <v>45623</v>
      </c>
      <c r="S202" s="30">
        <v>1.0</v>
      </c>
      <c r="T202" s="56">
        <v>18000.0</v>
      </c>
      <c r="U202" s="56">
        <v>18000.0</v>
      </c>
      <c r="V202" s="27">
        <v>43431.0</v>
      </c>
      <c r="W202" s="52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</row>
    <row r="203" ht="60.0" customHeight="1">
      <c r="A203" s="14" t="str">
        <f>if(H203&lt;&gt;"",VLOOKUP(H203,ID!$A$2:$C$999,3,FALSE),"") </f>
        <v>BT0195</v>
      </c>
      <c r="B203" s="15" t="s">
        <v>0</v>
      </c>
      <c r="C203" s="16" t="s">
        <v>1</v>
      </c>
      <c r="D203" s="38" t="s">
        <v>155</v>
      </c>
      <c r="E203" s="15" t="s">
        <v>893</v>
      </c>
      <c r="F203" s="30">
        <v>240.0</v>
      </c>
      <c r="G203" s="52" t="s">
        <v>894</v>
      </c>
      <c r="H203" s="30" t="s">
        <v>895</v>
      </c>
      <c r="I203" s="54" t="s">
        <v>896</v>
      </c>
      <c r="J203" s="30" t="s">
        <v>897</v>
      </c>
      <c r="K203" s="30" t="s">
        <v>8</v>
      </c>
      <c r="L203" s="54" t="s">
        <v>9</v>
      </c>
      <c r="M203" s="54" t="s">
        <v>10</v>
      </c>
      <c r="N203" s="59"/>
      <c r="O203" s="27">
        <v>43431.0</v>
      </c>
      <c r="P203" s="27">
        <v>44527.0</v>
      </c>
      <c r="Q203" s="61">
        <v>36.0</v>
      </c>
      <c r="R203" s="26">
        <f>IFERROR(__xludf.DUMMYFUNCTION("IF (OR( Q203 = """" , P203 =""""), """" , IF(Q203 = ""Menos de 1 mês"" , ""antes de ""&amp; TO_TEXT( EDATE(P203, 1)), EDATE(P203,Q203)))"),45623.0)</f>
        <v>45623</v>
      </c>
      <c r="S203" s="30">
        <v>1.0</v>
      </c>
      <c r="T203" s="56">
        <v>18000.0</v>
      </c>
      <c r="U203" s="56">
        <v>18000.0</v>
      </c>
      <c r="V203" s="27">
        <v>43431.0</v>
      </c>
      <c r="W203" s="52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</row>
    <row r="204" ht="60.0" customHeight="1">
      <c r="A204" s="14" t="str">
        <f>if(H204&lt;&gt;"",VLOOKUP(H204,ID!$A$2:$C$999,3,FALSE),"") </f>
        <v>BT0196</v>
      </c>
      <c r="B204" s="15" t="s">
        <v>0</v>
      </c>
      <c r="C204" s="16" t="s">
        <v>1</v>
      </c>
      <c r="D204" s="38" t="s">
        <v>33</v>
      </c>
      <c r="E204" s="15" t="s">
        <v>898</v>
      </c>
      <c r="F204" s="30">
        <v>430.0</v>
      </c>
      <c r="G204" s="52" t="s">
        <v>899</v>
      </c>
      <c r="H204" s="30" t="s">
        <v>900</v>
      </c>
      <c r="I204" s="54" t="s">
        <v>901</v>
      </c>
      <c r="J204" s="30" t="s">
        <v>902</v>
      </c>
      <c r="K204" s="30" t="s">
        <v>8</v>
      </c>
      <c r="L204" s="54" t="s">
        <v>9</v>
      </c>
      <c r="M204" s="54" t="s">
        <v>10</v>
      </c>
      <c r="N204" s="59"/>
      <c r="O204" s="27">
        <v>43453.0</v>
      </c>
      <c r="P204" s="27">
        <v>43453.0</v>
      </c>
      <c r="Q204" s="61">
        <v>36.0</v>
      </c>
      <c r="R204" s="26">
        <f>IFERROR(__xludf.DUMMYFUNCTION("IF (OR( Q204 = """" , P204 =""""), """" , IF(Q204 = ""Menos de 1 mês"" , ""antes de ""&amp; TO_TEXT( EDATE(P204, 1)), EDATE(P204,Q204)))"),44549.0)</f>
        <v>44549</v>
      </c>
      <c r="S204" s="30">
        <v>1.0</v>
      </c>
      <c r="T204" s="56">
        <v>18000.0</v>
      </c>
      <c r="U204" s="56">
        <v>18000.0</v>
      </c>
      <c r="V204" s="27">
        <v>43440.0</v>
      </c>
      <c r="W204" s="52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</row>
    <row r="205" ht="60.0" customHeight="1">
      <c r="A205" s="14" t="str">
        <f>if(H205&lt;&gt;"",VLOOKUP(H205,ID!$A$2:$C$999,3,FALSE),"") </f>
        <v>BT0197</v>
      </c>
      <c r="B205" s="15" t="s">
        <v>0</v>
      </c>
      <c r="C205" s="16" t="s">
        <v>1</v>
      </c>
      <c r="D205" s="38" t="s">
        <v>155</v>
      </c>
      <c r="E205" s="15" t="s">
        <v>903</v>
      </c>
      <c r="F205" s="30">
        <v>860.0</v>
      </c>
      <c r="G205" s="52" t="s">
        <v>904</v>
      </c>
      <c r="H205" s="30" t="s">
        <v>905</v>
      </c>
      <c r="I205" s="54" t="s">
        <v>906</v>
      </c>
      <c r="J205" s="30" t="s">
        <v>879</v>
      </c>
      <c r="K205" s="30" t="s">
        <v>8</v>
      </c>
      <c r="L205" s="54" t="s">
        <v>96</v>
      </c>
      <c r="M205" s="54" t="s">
        <v>10</v>
      </c>
      <c r="N205" s="59"/>
      <c r="O205" s="64">
        <v>43483.0</v>
      </c>
      <c r="P205" s="64">
        <v>43483.0</v>
      </c>
      <c r="Q205" s="61">
        <v>36.0</v>
      </c>
      <c r="R205" s="26">
        <f>IFERROR(__xludf.DUMMYFUNCTION("IF (OR( Q205 = """" , P205 =""""), """" , IF(Q205 = ""Menos de 1 mês"" , ""antes de ""&amp; TO_TEXT( EDATE(P205, 1)), EDATE(P205,Q205)))"),44579.0)</f>
        <v>44579</v>
      </c>
      <c r="S205" s="30">
        <v>1.0</v>
      </c>
      <c r="T205" s="56">
        <v>54000.0</v>
      </c>
      <c r="U205" s="56">
        <v>54000.0</v>
      </c>
      <c r="V205" s="27">
        <v>43523.0</v>
      </c>
      <c r="W205" s="52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</row>
    <row r="206" ht="60.0" customHeight="1">
      <c r="A206" s="14" t="str">
        <f>if(H206&lt;&gt;"",VLOOKUP(H206,ID!$A$2:$C$999,3,FALSE),"") </f>
        <v>BT0198</v>
      </c>
      <c r="B206" s="15" t="s">
        <v>0</v>
      </c>
      <c r="C206" s="16" t="s">
        <v>1</v>
      </c>
      <c r="D206" s="38" t="s">
        <v>155</v>
      </c>
      <c r="E206" s="15" t="s">
        <v>907</v>
      </c>
      <c r="F206" s="30">
        <v>540.0</v>
      </c>
      <c r="G206" s="52" t="s">
        <v>908</v>
      </c>
      <c r="H206" s="30" t="s">
        <v>909</v>
      </c>
      <c r="I206" s="54" t="s">
        <v>906</v>
      </c>
      <c r="J206" s="30" t="s">
        <v>879</v>
      </c>
      <c r="K206" s="30" t="s">
        <v>8</v>
      </c>
      <c r="L206" s="54" t="s">
        <v>96</v>
      </c>
      <c r="M206" s="54" t="s">
        <v>10</v>
      </c>
      <c r="N206" s="59"/>
      <c r="O206" s="64">
        <v>43483.0</v>
      </c>
      <c r="P206" s="64">
        <v>43483.0</v>
      </c>
      <c r="Q206" s="61">
        <v>36.0</v>
      </c>
      <c r="R206" s="26">
        <f>IFERROR(__xludf.DUMMYFUNCTION("IF (OR( Q206 = """" , P206 =""""), """" , IF(Q206 = ""Menos de 1 mês"" , ""antes de ""&amp; TO_TEXT( EDATE(P206, 1)), EDATE(P206,Q206)))"),44579.0)</f>
        <v>44579</v>
      </c>
      <c r="S206" s="30">
        <v>1.0</v>
      </c>
      <c r="T206" s="56">
        <v>12600.0</v>
      </c>
      <c r="U206" s="56">
        <v>12600.0</v>
      </c>
      <c r="V206" s="27">
        <v>43523.0</v>
      </c>
      <c r="W206" s="52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</row>
    <row r="207" ht="60.0" customHeight="1">
      <c r="A207" s="14" t="str">
        <f>if(H207&lt;&gt;"",VLOOKUP(H207,ID!$A$2:$C$999,3,FALSE),"") </f>
        <v>BT0199</v>
      </c>
      <c r="B207" s="15" t="s">
        <v>0</v>
      </c>
      <c r="C207" s="16" t="s">
        <v>1</v>
      </c>
      <c r="D207" s="38" t="s">
        <v>2</v>
      </c>
      <c r="E207" s="15" t="s">
        <v>910</v>
      </c>
      <c r="F207" s="30">
        <v>270.0</v>
      </c>
      <c r="G207" s="52" t="s">
        <v>911</v>
      </c>
      <c r="H207" s="30" t="s">
        <v>912</v>
      </c>
      <c r="I207" s="54" t="s">
        <v>913</v>
      </c>
      <c r="J207" s="30" t="s">
        <v>914</v>
      </c>
      <c r="K207" s="30" t="s">
        <v>8</v>
      </c>
      <c r="L207" s="54" t="s">
        <v>9</v>
      </c>
      <c r="M207" s="54" t="s">
        <v>10</v>
      </c>
      <c r="N207" s="59"/>
      <c r="O207" s="64">
        <v>43483.0</v>
      </c>
      <c r="P207" s="64">
        <v>43483.0</v>
      </c>
      <c r="Q207" s="61">
        <v>36.0</v>
      </c>
      <c r="R207" s="26">
        <f>IFERROR(__xludf.DUMMYFUNCTION("IF (OR( Q207 = """" , P207 =""""), """" , IF(Q207 = ""Menos de 1 mês"" , ""antes de ""&amp; TO_TEXT( EDATE(P207, 1)), EDATE(P207,Q207)))"),44579.0)</f>
        <v>44579</v>
      </c>
      <c r="S207" s="30">
        <v>1.0</v>
      </c>
      <c r="T207" s="56">
        <v>18000.0</v>
      </c>
      <c r="U207" s="56">
        <v>18000.0</v>
      </c>
      <c r="V207" s="27">
        <v>43482.0</v>
      </c>
      <c r="W207" s="52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</row>
    <row r="208" ht="60.0" customHeight="1">
      <c r="A208" s="14" t="str">
        <f>if(H208&lt;&gt;"",VLOOKUP(H208,ID!$A$2:$C$999,3,FALSE),"") </f>
        <v>BT0200</v>
      </c>
      <c r="B208" s="15" t="s">
        <v>0</v>
      </c>
      <c r="C208" s="16" t="s">
        <v>1</v>
      </c>
      <c r="D208" s="38" t="s">
        <v>33</v>
      </c>
      <c r="E208" s="15" t="s">
        <v>915</v>
      </c>
      <c r="F208" s="65">
        <v>4762.6</v>
      </c>
      <c r="G208" s="52" t="s">
        <v>916</v>
      </c>
      <c r="H208" s="30" t="s">
        <v>917</v>
      </c>
      <c r="I208" s="54" t="s">
        <v>918</v>
      </c>
      <c r="J208" s="30" t="s">
        <v>919</v>
      </c>
      <c r="K208" s="30" t="s">
        <v>8</v>
      </c>
      <c r="L208" s="54" t="s">
        <v>9</v>
      </c>
      <c r="M208" s="54" t="s">
        <v>10</v>
      </c>
      <c r="N208" s="59"/>
      <c r="O208" s="64">
        <v>43503.0</v>
      </c>
      <c r="P208" s="64">
        <v>43503.0</v>
      </c>
      <c r="Q208" s="61">
        <v>36.0</v>
      </c>
      <c r="R208" s="26">
        <f>IFERROR(__xludf.DUMMYFUNCTION("IF (OR( Q208 = """" , P208 =""""), """" , IF(Q208 = ""Menos de 1 mês"" , ""antes de ""&amp; TO_TEXT( EDATE(P208, 1)), EDATE(P208,Q208)))"),44599.0)</f>
        <v>44599</v>
      </c>
      <c r="S208" s="30">
        <v>3.0</v>
      </c>
      <c r="T208" s="56">
        <v>36000.0</v>
      </c>
      <c r="U208" s="56">
        <v>36000.0</v>
      </c>
      <c r="V208" s="27">
        <v>43507.0</v>
      </c>
      <c r="W208" s="52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</row>
    <row r="209" ht="60.0" customHeight="1">
      <c r="A209" s="14" t="str">
        <f>if(H209&lt;&gt;"",VLOOKUP(H209,ID!$A$2:$C$999,3,FALSE),"") </f>
        <v>BT0201</v>
      </c>
      <c r="B209" s="15" t="s">
        <v>0</v>
      </c>
      <c r="C209" s="16" t="s">
        <v>1</v>
      </c>
      <c r="D209" s="38" t="s">
        <v>33</v>
      </c>
      <c r="E209" s="15" t="s">
        <v>680</v>
      </c>
      <c r="F209" s="30">
        <v>850.0</v>
      </c>
      <c r="G209" s="52" t="s">
        <v>920</v>
      </c>
      <c r="H209" s="30" t="s">
        <v>921</v>
      </c>
      <c r="I209" s="54" t="s">
        <v>918</v>
      </c>
      <c r="J209" s="30" t="s">
        <v>922</v>
      </c>
      <c r="K209" s="30" t="s">
        <v>8</v>
      </c>
      <c r="L209" s="54" t="s">
        <v>30</v>
      </c>
      <c r="M209" s="54" t="s">
        <v>10</v>
      </c>
      <c r="N209" s="59"/>
      <c r="O209" s="64">
        <v>43503.0</v>
      </c>
      <c r="P209" s="64">
        <v>43503.0</v>
      </c>
      <c r="Q209" s="61">
        <v>36.0</v>
      </c>
      <c r="R209" s="26">
        <f>IFERROR(__xludf.DUMMYFUNCTION("IF (OR( Q209 = """" , P209 =""""), """" , IF(Q209 = ""Menos de 1 mês"" , ""antes de ""&amp; TO_TEXT( EDATE(P209, 1)), EDATE(P209,Q209)))"),44599.0)</f>
        <v>44599</v>
      </c>
      <c r="S209" s="30">
        <v>1.0</v>
      </c>
      <c r="T209" s="56">
        <v>36000.0</v>
      </c>
      <c r="U209" s="56">
        <v>36000.0</v>
      </c>
      <c r="V209" s="27">
        <v>43507.0</v>
      </c>
      <c r="W209" s="52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</row>
    <row r="210" ht="60.0" customHeight="1">
      <c r="A210" s="14" t="str">
        <f>if(H210&lt;&gt;"",VLOOKUP(H210,ID!$A$2:$C$999,3,FALSE),"") </f>
        <v>BT0202</v>
      </c>
      <c r="B210" s="15" t="s">
        <v>0</v>
      </c>
      <c r="C210" s="16" t="s">
        <v>1</v>
      </c>
      <c r="D210" s="38" t="s">
        <v>33</v>
      </c>
      <c r="E210" s="15" t="s">
        <v>923</v>
      </c>
      <c r="F210" s="56">
        <v>2480.0</v>
      </c>
      <c r="G210" s="52" t="s">
        <v>924</v>
      </c>
      <c r="H210" s="30" t="s">
        <v>925</v>
      </c>
      <c r="I210" s="54" t="s">
        <v>926</v>
      </c>
      <c r="J210" s="30" t="s">
        <v>927</v>
      </c>
      <c r="K210" s="30" t="s">
        <v>8</v>
      </c>
      <c r="L210" s="54" t="s">
        <v>30</v>
      </c>
      <c r="M210" s="54" t="s">
        <v>10</v>
      </c>
      <c r="N210" s="59"/>
      <c r="O210" s="64">
        <v>43503.0</v>
      </c>
      <c r="P210" s="64">
        <v>43503.0</v>
      </c>
      <c r="Q210" s="61">
        <v>36.0</v>
      </c>
      <c r="R210" s="26">
        <f>IFERROR(__xludf.DUMMYFUNCTION("IF (OR( Q210 = """" , P210 =""""), """" , IF(Q210 = ""Menos de 1 mês"" , ""antes de ""&amp; TO_TEXT( EDATE(P210, 1)), EDATE(P210,Q210)))"),44599.0)</f>
        <v>44599</v>
      </c>
      <c r="S210" s="30">
        <v>1.0</v>
      </c>
      <c r="T210" s="56">
        <v>18000.0</v>
      </c>
      <c r="U210" s="56">
        <v>18000.0</v>
      </c>
      <c r="V210" s="27">
        <v>43494.0</v>
      </c>
      <c r="W210" s="52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</row>
    <row r="211" ht="60.0" customHeight="1">
      <c r="A211" s="14" t="str">
        <f>if(H211&lt;&gt;"",VLOOKUP(H211,ID!$A$2:$C$999,3,FALSE),"") </f>
        <v>BT0203</v>
      </c>
      <c r="B211" s="15" t="s">
        <v>0</v>
      </c>
      <c r="C211" s="16" t="s">
        <v>1</v>
      </c>
      <c r="D211" s="38" t="s">
        <v>155</v>
      </c>
      <c r="E211" s="15" t="s">
        <v>928</v>
      </c>
      <c r="F211" s="30">
        <v>47.0</v>
      </c>
      <c r="G211" s="52" t="s">
        <v>929</v>
      </c>
      <c r="H211" s="30" t="s">
        <v>930</v>
      </c>
      <c r="I211" s="54" t="s">
        <v>931</v>
      </c>
      <c r="J211" s="30" t="s">
        <v>141</v>
      </c>
      <c r="K211" s="30" t="s">
        <v>8</v>
      </c>
      <c r="L211" s="54" t="s">
        <v>479</v>
      </c>
      <c r="M211" s="54" t="s">
        <v>10</v>
      </c>
      <c r="N211" s="59"/>
      <c r="O211" s="64">
        <v>43503.0</v>
      </c>
      <c r="P211" s="64">
        <v>43503.0</v>
      </c>
      <c r="Q211" s="61">
        <v>36.0</v>
      </c>
      <c r="R211" s="26">
        <f>IFERROR(__xludf.DUMMYFUNCTION("IF (OR( Q211 = """" , P211 =""""), """" , IF(Q211 = ""Menos de 1 mês"" , ""antes de ""&amp; TO_TEXT( EDATE(P211, 1)), EDATE(P211,Q211)))"),44599.0)</f>
        <v>44599</v>
      </c>
      <c r="S211" s="30">
        <v>1.0</v>
      </c>
      <c r="T211" s="56">
        <v>11500.0</v>
      </c>
      <c r="U211" s="56">
        <v>11500.0</v>
      </c>
      <c r="V211" s="27">
        <v>43507.0</v>
      </c>
      <c r="W211" s="52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</row>
    <row r="212" ht="60.0" customHeight="1">
      <c r="A212" s="14" t="str">
        <f>if(H212&lt;&gt;"",VLOOKUP(H212,ID!$A$2:$C$999,3,FALSE),"") </f>
        <v>BT0204</v>
      </c>
      <c r="B212" s="15" t="s">
        <v>0</v>
      </c>
      <c r="C212" s="16" t="s">
        <v>1</v>
      </c>
      <c r="D212" s="38" t="s">
        <v>155</v>
      </c>
      <c r="E212" s="15" t="s">
        <v>932</v>
      </c>
      <c r="F212" s="30">
        <v>38.0</v>
      </c>
      <c r="G212" s="52" t="s">
        <v>933</v>
      </c>
      <c r="H212" s="30" t="s">
        <v>934</v>
      </c>
      <c r="I212" s="54" t="s">
        <v>931</v>
      </c>
      <c r="J212" s="30" t="s">
        <v>141</v>
      </c>
      <c r="K212" s="30" t="s">
        <v>8</v>
      </c>
      <c r="L212" s="54" t="s">
        <v>479</v>
      </c>
      <c r="M212" s="54" t="s">
        <v>10</v>
      </c>
      <c r="N212" s="59"/>
      <c r="O212" s="64">
        <v>43503.0</v>
      </c>
      <c r="P212" s="64">
        <v>43503.0</v>
      </c>
      <c r="Q212" s="61">
        <v>36.0</v>
      </c>
      <c r="R212" s="26">
        <f>IFERROR(__xludf.DUMMYFUNCTION("IF (OR( Q212 = """" , P212 =""""), """" , IF(Q212 = ""Menos de 1 mês"" , ""antes de ""&amp; TO_TEXT( EDATE(P212, 1)), EDATE(P212,Q212)))"),44599.0)</f>
        <v>44599</v>
      </c>
      <c r="S212" s="30">
        <v>1.0</v>
      </c>
      <c r="T212" s="56">
        <v>11500.0</v>
      </c>
      <c r="U212" s="56">
        <v>11500.0</v>
      </c>
      <c r="V212" s="27">
        <v>43507.0</v>
      </c>
      <c r="W212" s="52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</row>
    <row r="213" ht="60.0" customHeight="1">
      <c r="A213" s="14" t="str">
        <f>if(H213&lt;&gt;"",VLOOKUP(H213,ID!$A$2:$C$999,3,FALSE),"") </f>
        <v>BT0205</v>
      </c>
      <c r="B213" s="15" t="s">
        <v>0</v>
      </c>
      <c r="C213" s="16" t="s">
        <v>1</v>
      </c>
      <c r="D213" s="38" t="s">
        <v>33</v>
      </c>
      <c r="E213" s="15" t="s">
        <v>935</v>
      </c>
      <c r="F213" s="56">
        <v>5360.0</v>
      </c>
      <c r="G213" s="52" t="s">
        <v>936</v>
      </c>
      <c r="H213" s="30" t="s">
        <v>937</v>
      </c>
      <c r="I213" s="54" t="s">
        <v>938</v>
      </c>
      <c r="J213" s="30" t="s">
        <v>939</v>
      </c>
      <c r="K213" s="30" t="s">
        <v>8</v>
      </c>
      <c r="L213" s="54" t="s">
        <v>9</v>
      </c>
      <c r="M213" s="54" t="s">
        <v>10</v>
      </c>
      <c r="N213" s="59"/>
      <c r="O213" s="64">
        <v>43557.0</v>
      </c>
      <c r="P213" s="64">
        <v>43557.0</v>
      </c>
      <c r="Q213" s="61">
        <v>36.0</v>
      </c>
      <c r="R213" s="26">
        <f>IFERROR(__xludf.DUMMYFUNCTION("IF (OR( Q213 = """" , P213 =""""), """" , IF(Q213 = ""Menos de 1 mês"" , ""antes de ""&amp; TO_TEXT( EDATE(P213, 1)), EDATE(P213,Q213)))"),44653.0)</f>
        <v>44653</v>
      </c>
      <c r="S213" s="30">
        <v>3.0</v>
      </c>
      <c r="T213" s="56">
        <v>18000.0</v>
      </c>
      <c r="U213" s="56">
        <v>18000.0</v>
      </c>
      <c r="V213" s="27">
        <v>43593.0</v>
      </c>
      <c r="W213" s="52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</row>
    <row r="214" ht="60.0" customHeight="1">
      <c r="A214" s="14" t="str">
        <f>if(H214&lt;&gt;"",VLOOKUP(H214,ID!$A$2:$C$999,3,FALSE),"") </f>
        <v>BT0206</v>
      </c>
      <c r="B214" s="15" t="s">
        <v>0</v>
      </c>
      <c r="C214" s="16" t="s">
        <v>1</v>
      </c>
      <c r="D214" s="38" t="s">
        <v>33</v>
      </c>
      <c r="E214" s="15" t="s">
        <v>940</v>
      </c>
      <c r="F214" s="56">
        <v>3942.0</v>
      </c>
      <c r="G214" s="52" t="s">
        <v>941</v>
      </c>
      <c r="H214" s="30" t="s">
        <v>942</v>
      </c>
      <c r="I214" s="54" t="s">
        <v>943</v>
      </c>
      <c r="J214" s="30" t="s">
        <v>944</v>
      </c>
      <c r="K214" s="30" t="s">
        <v>8</v>
      </c>
      <c r="L214" s="54" t="s">
        <v>9</v>
      </c>
      <c r="M214" s="54" t="s">
        <v>945</v>
      </c>
      <c r="N214" s="59"/>
      <c r="O214" s="64">
        <v>43552.0</v>
      </c>
      <c r="P214" s="64">
        <v>43552.0</v>
      </c>
      <c r="Q214" s="61">
        <v>36.0</v>
      </c>
      <c r="R214" s="26">
        <f>IFERROR(__xludf.DUMMYFUNCTION("IF (OR( Q214 = """" , P214 =""""), """" , IF(Q214 = ""Menos de 1 mês"" , ""antes de ""&amp; TO_TEXT( EDATE(P214, 1)), EDATE(P214,Q214)))"),44648.0)</f>
        <v>44648</v>
      </c>
      <c r="S214" s="30">
        <v>2.0</v>
      </c>
      <c r="T214" s="56">
        <v>90000.0</v>
      </c>
      <c r="U214" s="56">
        <v>90000.0</v>
      </c>
      <c r="V214" s="27">
        <v>43593.0</v>
      </c>
      <c r="W214" s="52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</row>
    <row r="215" ht="60.0" customHeight="1">
      <c r="A215" s="14" t="str">
        <f>if(H215&lt;&gt;"",VLOOKUP(H215,ID!$A$2:$C$999,3,FALSE),"") </f>
        <v>BT0207</v>
      </c>
      <c r="B215" s="15" t="s">
        <v>0</v>
      </c>
      <c r="C215" s="16" t="s">
        <v>1</v>
      </c>
      <c r="D215" s="38" t="s">
        <v>2</v>
      </c>
      <c r="E215" s="15" t="s">
        <v>946</v>
      </c>
      <c r="F215" s="56">
        <v>2815.0</v>
      </c>
      <c r="G215" s="52" t="s">
        <v>947</v>
      </c>
      <c r="H215" s="30" t="s">
        <v>948</v>
      </c>
      <c r="I215" s="54" t="s">
        <v>949</v>
      </c>
      <c r="J215" s="30" t="s">
        <v>950</v>
      </c>
      <c r="K215" s="30" t="s">
        <v>8</v>
      </c>
      <c r="L215" s="54" t="s">
        <v>30</v>
      </c>
      <c r="M215" s="54" t="s">
        <v>945</v>
      </c>
      <c r="N215" s="59"/>
      <c r="O215" s="64">
        <v>43557.0</v>
      </c>
      <c r="P215" s="64">
        <v>44653.0</v>
      </c>
      <c r="Q215" s="61">
        <v>36.0</v>
      </c>
      <c r="R215" s="26">
        <f>IFERROR(__xludf.DUMMYFUNCTION("IF (OR( Q215 = """" , P215 =""""), """" , IF(Q215 = ""Menos de 1 mês"" , ""antes de ""&amp; TO_TEXT( EDATE(P215, 1)), EDATE(P215,Q215)))"),45749.0)</f>
        <v>45749</v>
      </c>
      <c r="S215" s="30">
        <v>1.0</v>
      </c>
      <c r="T215" s="56">
        <v>46800.0</v>
      </c>
      <c r="U215" s="56">
        <v>46800.0</v>
      </c>
      <c r="V215" s="27">
        <v>43650.0</v>
      </c>
      <c r="W215" s="5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</row>
    <row r="216" ht="60.0" customHeight="1">
      <c r="A216" s="14" t="str">
        <f>if(H216&lt;&gt;"",VLOOKUP(H216,ID!$A$2:$C$999,3,FALSE),"") </f>
        <v>BT0208</v>
      </c>
      <c r="B216" s="15" t="s">
        <v>0</v>
      </c>
      <c r="C216" s="16" t="s">
        <v>1</v>
      </c>
      <c r="D216" s="38" t="s">
        <v>2</v>
      </c>
      <c r="E216" s="15" t="s">
        <v>951</v>
      </c>
      <c r="F216" s="30">
        <v>450.0</v>
      </c>
      <c r="G216" s="52" t="s">
        <v>952</v>
      </c>
      <c r="H216" s="30" t="s">
        <v>953</v>
      </c>
      <c r="I216" s="54" t="s">
        <v>954</v>
      </c>
      <c r="J216" s="30" t="s">
        <v>884</v>
      </c>
      <c r="K216" s="30" t="s">
        <v>8</v>
      </c>
      <c r="L216" s="54" t="s">
        <v>30</v>
      </c>
      <c r="M216" s="54" t="s">
        <v>945</v>
      </c>
      <c r="N216" s="59"/>
      <c r="O216" s="64">
        <v>43534.0</v>
      </c>
      <c r="P216" s="64">
        <v>44630.0</v>
      </c>
      <c r="Q216" s="61">
        <v>36.0</v>
      </c>
      <c r="R216" s="26">
        <f>IFERROR(__xludf.DUMMYFUNCTION("IF (OR( Q216 = """" , P216 =""""), """" , IF(Q216 = ""Menos de 1 mês"" , ""antes de ""&amp; TO_TEXT( EDATE(P216, 1)), EDATE(P216,Q216)))"),45726.0)</f>
        <v>45726</v>
      </c>
      <c r="S216" s="30">
        <v>1.0</v>
      </c>
      <c r="T216" s="30">
        <v>18000.0</v>
      </c>
      <c r="U216" s="30">
        <v>18000.0</v>
      </c>
      <c r="V216" s="27" t="s">
        <v>17</v>
      </c>
      <c r="W216" s="5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</row>
    <row r="217" ht="60.0" customHeight="1">
      <c r="A217" s="14" t="str">
        <f>if(H217&lt;&gt;"",VLOOKUP(H217,ID!$A$2:$C$999,3,FALSE),"") </f>
        <v>BT0209</v>
      </c>
      <c r="B217" s="15" t="s">
        <v>0</v>
      </c>
      <c r="C217" s="16" t="s">
        <v>1</v>
      </c>
      <c r="D217" s="38" t="s">
        <v>2</v>
      </c>
      <c r="E217" s="15" t="s">
        <v>955</v>
      </c>
      <c r="F217" s="56">
        <v>1300.0</v>
      </c>
      <c r="G217" s="52" t="s">
        <v>956</v>
      </c>
      <c r="H217" s="30" t="s">
        <v>957</v>
      </c>
      <c r="I217" s="54" t="s">
        <v>958</v>
      </c>
      <c r="J217" s="30" t="s">
        <v>959</v>
      </c>
      <c r="K217" s="30" t="s">
        <v>8</v>
      </c>
      <c r="L217" s="54" t="s">
        <v>96</v>
      </c>
      <c r="M217" s="54" t="s">
        <v>945</v>
      </c>
      <c r="N217" s="59"/>
      <c r="O217" s="64">
        <v>43621.0</v>
      </c>
      <c r="P217" s="64">
        <v>43621.0</v>
      </c>
      <c r="Q217" s="61">
        <v>36.0</v>
      </c>
      <c r="R217" s="26">
        <f>IFERROR(__xludf.DUMMYFUNCTION("IF (OR( Q217 = """" , P217 =""""), """" , IF(Q217 = ""Menos de 1 mês"" , ""antes de ""&amp; TO_TEXT( EDATE(P217, 1)), EDATE(P217,Q217)))"),44717.0)</f>
        <v>44717</v>
      </c>
      <c r="S217" s="30">
        <v>1.0</v>
      </c>
      <c r="T217" s="56">
        <v>24050.0</v>
      </c>
      <c r="U217" s="56">
        <v>24050.0</v>
      </c>
      <c r="V217" s="27">
        <v>43664.0</v>
      </c>
      <c r="W217" s="5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</row>
    <row r="218" ht="60.0" customHeight="1">
      <c r="A218" s="14" t="str">
        <f>if(H218&lt;&gt;"",VLOOKUP(H218,ID!$A$2:$C$999,3,FALSE),"") </f>
        <v>BT0210</v>
      </c>
      <c r="B218" s="15" t="s">
        <v>0</v>
      </c>
      <c r="C218" s="16" t="s">
        <v>1</v>
      </c>
      <c r="D218" s="38" t="s">
        <v>178</v>
      </c>
      <c r="E218" s="15" t="s">
        <v>960</v>
      </c>
      <c r="F218" s="30">
        <v>210.0</v>
      </c>
      <c r="G218" s="52" t="s">
        <v>961</v>
      </c>
      <c r="H218" s="30" t="s">
        <v>962</v>
      </c>
      <c r="I218" s="54" t="s">
        <v>963</v>
      </c>
      <c r="J218" s="30" t="s">
        <v>964</v>
      </c>
      <c r="K218" s="30" t="s">
        <v>8</v>
      </c>
      <c r="L218" s="54" t="s">
        <v>96</v>
      </c>
      <c r="M218" s="54" t="s">
        <v>945</v>
      </c>
      <c r="N218" s="59"/>
      <c r="O218" s="64">
        <v>43572.0</v>
      </c>
      <c r="P218" s="64">
        <v>43572.0</v>
      </c>
      <c r="Q218" s="61">
        <v>36.0</v>
      </c>
      <c r="R218" s="26">
        <f>IFERROR(__xludf.DUMMYFUNCTION("IF (OR( Q218 = """" , P218 =""""), """" , IF(Q218 = ""Menos de 1 mês"" , ""antes de ""&amp; TO_TEXT( EDATE(P218, 1)), EDATE(P218,Q218)))"),44668.0)</f>
        <v>44668</v>
      </c>
      <c r="S218" s="30">
        <v>1.0</v>
      </c>
      <c r="T218" s="56">
        <v>18000.0</v>
      </c>
      <c r="U218" s="56">
        <v>18000.0</v>
      </c>
      <c r="V218" s="27">
        <v>43593.0</v>
      </c>
      <c r="W218" s="52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</row>
    <row r="219" ht="60.0" customHeight="1">
      <c r="A219" s="14" t="str">
        <f>if(H219&lt;&gt;"",VLOOKUP(H219,ID!$A$2:$C$999,3,FALSE),"") </f>
        <v>BT0211</v>
      </c>
      <c r="B219" s="15" t="s">
        <v>0</v>
      </c>
      <c r="C219" s="16" t="s">
        <v>1</v>
      </c>
      <c r="D219" s="38" t="s">
        <v>2</v>
      </c>
      <c r="E219" s="15" t="s">
        <v>965</v>
      </c>
      <c r="F219" s="30">
        <v>130.0</v>
      </c>
      <c r="G219" s="52" t="s">
        <v>966</v>
      </c>
      <c r="H219" s="30" t="s">
        <v>967</v>
      </c>
      <c r="I219" s="54" t="s">
        <v>106</v>
      </c>
      <c r="J219" s="30" t="s">
        <v>968</v>
      </c>
      <c r="K219" s="30" t="s">
        <v>8</v>
      </c>
      <c r="L219" s="54" t="s">
        <v>30</v>
      </c>
      <c r="M219" s="54" t="s">
        <v>945</v>
      </c>
      <c r="N219" s="59"/>
      <c r="O219" s="64">
        <v>43565.0</v>
      </c>
      <c r="P219" s="64">
        <v>43565.0</v>
      </c>
      <c r="Q219" s="61">
        <v>36.0</v>
      </c>
      <c r="R219" s="26">
        <f>IFERROR(__xludf.DUMMYFUNCTION("IF (OR( Q219 = """" , P219 =""""), """" , IF(Q219 = ""Menos de 1 mês"" , ""antes de ""&amp; TO_TEXT( EDATE(P219, 1)), EDATE(P219,Q219)))"),44661.0)</f>
        <v>44661</v>
      </c>
      <c r="S219" s="30">
        <v>1.0</v>
      </c>
      <c r="T219" s="56">
        <v>18000.0</v>
      </c>
      <c r="U219" s="56">
        <v>18000.0</v>
      </c>
      <c r="V219" s="27">
        <v>43545.0</v>
      </c>
      <c r="W219" s="5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</row>
    <row r="220" ht="60.0" customHeight="1">
      <c r="A220" s="14" t="str">
        <f>if(H220&lt;&gt;"",VLOOKUP(H220,ID!$A$2:$C$999,3,FALSE),"") </f>
        <v>BT0212</v>
      </c>
      <c r="B220" s="15" t="s">
        <v>0</v>
      </c>
      <c r="C220" s="16" t="s">
        <v>1</v>
      </c>
      <c r="D220" s="38" t="s">
        <v>2</v>
      </c>
      <c r="E220" s="15" t="s">
        <v>969</v>
      </c>
      <c r="F220" s="56">
        <v>4408.0</v>
      </c>
      <c r="G220" s="52" t="s">
        <v>970</v>
      </c>
      <c r="H220" s="30" t="s">
        <v>971</v>
      </c>
      <c r="I220" s="54" t="s">
        <v>972</v>
      </c>
      <c r="J220" s="30" t="s">
        <v>973</v>
      </c>
      <c r="K220" s="30" t="s">
        <v>8</v>
      </c>
      <c r="L220" s="54" t="s">
        <v>30</v>
      </c>
      <c r="M220" s="54" t="s">
        <v>945</v>
      </c>
      <c r="N220" s="59"/>
      <c r="O220" s="64">
        <v>43621.0</v>
      </c>
      <c r="P220" s="64">
        <v>43621.0</v>
      </c>
      <c r="Q220" s="61">
        <v>36.0</v>
      </c>
      <c r="R220" s="26">
        <f>IFERROR(__xludf.DUMMYFUNCTION("IF (OR( Q220 = """" , P220 =""""), """" , IF(Q220 = ""Menos de 1 mês"" , ""antes de ""&amp; TO_TEXT( EDATE(P220, 1)), EDATE(P220,Q220)))"),44717.0)</f>
        <v>44717</v>
      </c>
      <c r="S220" s="30">
        <v>1.0</v>
      </c>
      <c r="T220" s="56">
        <v>18000.0</v>
      </c>
      <c r="U220" s="56">
        <v>18000.0</v>
      </c>
      <c r="V220" s="27">
        <v>43626.0</v>
      </c>
      <c r="W220" s="5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</row>
    <row r="221" ht="60.0" customHeight="1">
      <c r="A221" s="14" t="str">
        <f>if(H221&lt;&gt;"",VLOOKUP(H221,ID!$A$2:$C$999,3,FALSE),"") </f>
        <v>BT0213</v>
      </c>
      <c r="B221" s="15" t="s">
        <v>0</v>
      </c>
      <c r="C221" s="16" t="s">
        <v>1</v>
      </c>
      <c r="D221" s="38" t="s">
        <v>2</v>
      </c>
      <c r="E221" s="15" t="s">
        <v>974</v>
      </c>
      <c r="F221" s="30">
        <v>150.0</v>
      </c>
      <c r="G221" s="52" t="s">
        <v>975</v>
      </c>
      <c r="H221" s="30" t="s">
        <v>976</v>
      </c>
      <c r="I221" s="54" t="s">
        <v>972</v>
      </c>
      <c r="J221" s="30" t="s">
        <v>977</v>
      </c>
      <c r="K221" s="30" t="s">
        <v>8</v>
      </c>
      <c r="L221" s="54" t="s">
        <v>30</v>
      </c>
      <c r="M221" s="54" t="s">
        <v>945</v>
      </c>
      <c r="N221" s="59"/>
      <c r="O221" s="64">
        <v>43621.0</v>
      </c>
      <c r="P221" s="64">
        <v>43621.0</v>
      </c>
      <c r="Q221" s="61">
        <v>36.0</v>
      </c>
      <c r="R221" s="26">
        <f>IFERROR(__xludf.DUMMYFUNCTION("IF (OR( Q221 = """" , P221 =""""), """" , IF(Q221 = ""Menos de 1 mês"" , ""antes de ""&amp; TO_TEXT( EDATE(P221, 1)), EDATE(P221,Q221)))"),44717.0)</f>
        <v>44717</v>
      </c>
      <c r="S221" s="30">
        <v>1.0</v>
      </c>
      <c r="T221" s="56">
        <v>18000.0</v>
      </c>
      <c r="U221" s="56">
        <v>18000.0</v>
      </c>
      <c r="V221" s="27">
        <v>43626.0</v>
      </c>
      <c r="W221" s="5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</row>
    <row r="222" ht="60.0" customHeight="1">
      <c r="A222" s="14" t="str">
        <f>if(H222&lt;&gt;"",VLOOKUP(H222,ID!$A$2:$C$999,3,FALSE),"") </f>
        <v>BT0214</v>
      </c>
      <c r="B222" s="15" t="s">
        <v>0</v>
      </c>
      <c r="C222" s="16" t="s">
        <v>1</v>
      </c>
      <c r="D222" s="38" t="s">
        <v>2</v>
      </c>
      <c r="E222" s="15" t="s">
        <v>978</v>
      </c>
      <c r="F222" s="30">
        <v>152.0</v>
      </c>
      <c r="G222" s="52" t="s">
        <v>979</v>
      </c>
      <c r="H222" s="30" t="s">
        <v>980</v>
      </c>
      <c r="I222" s="54" t="s">
        <v>28</v>
      </c>
      <c r="J222" s="30" t="s">
        <v>29</v>
      </c>
      <c r="K222" s="30" t="s">
        <v>8</v>
      </c>
      <c r="L222" s="54" t="s">
        <v>30</v>
      </c>
      <c r="M222" s="54" t="s">
        <v>945</v>
      </c>
      <c r="N222" s="59"/>
      <c r="O222" s="64">
        <v>43596.0</v>
      </c>
      <c r="P222" s="64">
        <v>44692.0</v>
      </c>
      <c r="Q222" s="61">
        <v>36.0</v>
      </c>
      <c r="R222" s="26">
        <f>IFERROR(__xludf.DUMMYFUNCTION("IF (OR( Q222 = """" , P222 =""""), """" , IF(Q222 = ""Menos de 1 mês"" , ""antes de ""&amp; TO_TEXT( EDATE(P222, 1)), EDATE(P222,Q222)))"),45788.0)</f>
        <v>45788</v>
      </c>
      <c r="S222" s="30">
        <v>1.0</v>
      </c>
      <c r="T222" s="56">
        <v>10080.0</v>
      </c>
      <c r="U222" s="56">
        <v>10080.0</v>
      </c>
      <c r="V222" s="27">
        <v>43593.0</v>
      </c>
      <c r="W222" s="5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</row>
    <row r="223" ht="60.0" customHeight="1">
      <c r="A223" s="14" t="str">
        <f>if(H223&lt;&gt;"",VLOOKUP(H223,ID!$A$2:$C$999,3,FALSE),"") </f>
        <v>BT0215</v>
      </c>
      <c r="B223" s="15" t="s">
        <v>0</v>
      </c>
      <c r="C223" s="16" t="s">
        <v>1</v>
      </c>
      <c r="D223" s="38" t="s">
        <v>2</v>
      </c>
      <c r="E223" s="15" t="s">
        <v>981</v>
      </c>
      <c r="F223" s="30">
        <v>734.0</v>
      </c>
      <c r="G223" s="52" t="s">
        <v>982</v>
      </c>
      <c r="H223" s="30" t="s">
        <v>983</v>
      </c>
      <c r="I223" s="54" t="s">
        <v>984</v>
      </c>
      <c r="J223" s="30" t="s">
        <v>985</v>
      </c>
      <c r="K223" s="30" t="s">
        <v>8</v>
      </c>
      <c r="L223" s="54" t="s">
        <v>9</v>
      </c>
      <c r="M223" s="54" t="s">
        <v>945</v>
      </c>
      <c r="N223" s="59"/>
      <c r="O223" s="64">
        <v>43572.0</v>
      </c>
      <c r="P223" s="64">
        <v>43572.0</v>
      </c>
      <c r="Q223" s="61">
        <v>36.0</v>
      </c>
      <c r="R223" s="26">
        <f>IFERROR(__xludf.DUMMYFUNCTION("IF (OR( Q223 = """" , P223 =""""), """" , IF(Q223 = ""Menos de 1 mês"" , ""antes de ""&amp; TO_TEXT( EDATE(P223, 1)), EDATE(P223,Q223)))"),44668.0)</f>
        <v>44668</v>
      </c>
      <c r="S223" s="30">
        <v>1.0</v>
      </c>
      <c r="T223" s="56">
        <v>18000.0</v>
      </c>
      <c r="U223" s="56">
        <v>18000.0</v>
      </c>
      <c r="V223" s="27">
        <v>43593.0</v>
      </c>
      <c r="W223" s="52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</row>
    <row r="224" ht="60.0" customHeight="1">
      <c r="A224" s="14" t="str">
        <f>if(H224&lt;&gt;"",VLOOKUP(H224,ID!$A$2:$C$999,3,FALSE),"") </f>
        <v>BT0216</v>
      </c>
      <c r="B224" s="15" t="s">
        <v>0</v>
      </c>
      <c r="C224" s="16" t="s">
        <v>1</v>
      </c>
      <c r="D224" s="38" t="s">
        <v>2</v>
      </c>
      <c r="E224" s="15" t="s">
        <v>445</v>
      </c>
      <c r="F224" s="30">
        <v>130.0</v>
      </c>
      <c r="G224" s="52" t="s">
        <v>966</v>
      </c>
      <c r="H224" s="30" t="s">
        <v>986</v>
      </c>
      <c r="I224" s="54" t="s">
        <v>106</v>
      </c>
      <c r="J224" s="30" t="s">
        <v>987</v>
      </c>
      <c r="K224" s="30" t="s">
        <v>8</v>
      </c>
      <c r="L224" s="54" t="s">
        <v>30</v>
      </c>
      <c r="M224" s="54" t="s">
        <v>945</v>
      </c>
      <c r="N224" s="59"/>
      <c r="O224" s="64">
        <v>43565.0</v>
      </c>
      <c r="P224" s="64">
        <v>43565.0</v>
      </c>
      <c r="Q224" s="61">
        <v>36.0</v>
      </c>
      <c r="R224" s="26">
        <f>IFERROR(__xludf.DUMMYFUNCTION("IF (OR( Q224 = """" , P224 =""""), """" , IF(Q224 = ""Menos de 1 mês"" , ""antes de ""&amp; TO_TEXT( EDATE(P224, 1)), EDATE(P224,Q224)))"),44661.0)</f>
        <v>44661</v>
      </c>
      <c r="S224" s="30">
        <v>1.0</v>
      </c>
      <c r="T224" s="56">
        <v>18000.0</v>
      </c>
      <c r="U224" s="56">
        <v>18000.0</v>
      </c>
      <c r="V224" s="27">
        <v>43593.0</v>
      </c>
      <c r="W224" s="52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</row>
    <row r="225" ht="60.0" customHeight="1">
      <c r="A225" s="14" t="str">
        <f>if(H225&lt;&gt;"",VLOOKUP(H225,ID!$A$2:$C$999,3,FALSE),"") </f>
        <v>BT0217</v>
      </c>
      <c r="B225" s="15" t="s">
        <v>0</v>
      </c>
      <c r="C225" s="16" t="s">
        <v>1</v>
      </c>
      <c r="D225" s="38" t="s">
        <v>33</v>
      </c>
      <c r="E225" s="15" t="s">
        <v>988</v>
      </c>
      <c r="F225" s="30">
        <v>306.0</v>
      </c>
      <c r="G225" s="52" t="s">
        <v>989</v>
      </c>
      <c r="H225" s="30" t="s">
        <v>990</v>
      </c>
      <c r="I225" s="54" t="s">
        <v>991</v>
      </c>
      <c r="J225" s="30" t="s">
        <v>992</v>
      </c>
      <c r="K225" s="30" t="s">
        <v>8</v>
      </c>
      <c r="L225" s="54" t="s">
        <v>30</v>
      </c>
      <c r="M225" s="54" t="s">
        <v>945</v>
      </c>
      <c r="N225" s="66"/>
      <c r="O225" s="64">
        <v>43642.0</v>
      </c>
      <c r="P225" s="64">
        <v>43642.0</v>
      </c>
      <c r="Q225" s="61">
        <v>36.0</v>
      </c>
      <c r="R225" s="26">
        <f>IFERROR(__xludf.DUMMYFUNCTION("IF (OR( Q225 = """" , P225 =""""), """" , IF(Q225 = ""Menos de 1 mês"" , ""antes de ""&amp; TO_TEXT( EDATE(P225, 1)), EDATE(P225,Q225)))"),44738.0)</f>
        <v>44738</v>
      </c>
      <c r="S225" s="30">
        <v>1.0</v>
      </c>
      <c r="T225" s="56">
        <v>18000.0</v>
      </c>
      <c r="U225" s="30">
        <v>18000.0</v>
      </c>
      <c r="V225" s="27">
        <v>43649.0</v>
      </c>
      <c r="W225" s="5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</row>
    <row r="226" ht="60.0" customHeight="1">
      <c r="A226" s="14" t="str">
        <f>if(H226&lt;&gt;"",VLOOKUP(H226,ID!$A$2:$C$999,3,FALSE),"") </f>
        <v>BT0218</v>
      </c>
      <c r="B226" s="15" t="s">
        <v>0</v>
      </c>
      <c r="C226" s="16" t="s">
        <v>1</v>
      </c>
      <c r="D226" s="38" t="s">
        <v>33</v>
      </c>
      <c r="E226" s="15" t="s">
        <v>993</v>
      </c>
      <c r="F226" s="56">
        <v>2500.0</v>
      </c>
      <c r="G226" s="52" t="s">
        <v>994</v>
      </c>
      <c r="H226" s="30" t="s">
        <v>995</v>
      </c>
      <c r="I226" s="54" t="s">
        <v>453</v>
      </c>
      <c r="J226" s="30" t="s">
        <v>346</v>
      </c>
      <c r="K226" s="30" t="s">
        <v>8</v>
      </c>
      <c r="L226" s="54" t="s">
        <v>30</v>
      </c>
      <c r="M226" s="54" t="s">
        <v>945</v>
      </c>
      <c r="N226" s="66"/>
      <c r="O226" s="64">
        <v>43642.0</v>
      </c>
      <c r="P226" s="64">
        <v>43642.0</v>
      </c>
      <c r="Q226" s="61">
        <v>36.0</v>
      </c>
      <c r="R226" s="26">
        <f>IFERROR(__xludf.DUMMYFUNCTION("IF (OR( Q226 = """" , P226 =""""), """" , IF(Q226 = ""Menos de 1 mês"" , ""antes de ""&amp; TO_TEXT( EDATE(P226, 1)), EDATE(P226,Q226)))"),44738.0)</f>
        <v>44738</v>
      </c>
      <c r="S226" s="30">
        <v>1.0</v>
      </c>
      <c r="T226" s="56">
        <v>79429.0</v>
      </c>
      <c r="U226" s="56">
        <v>79429.0</v>
      </c>
      <c r="V226" s="27">
        <v>43649.0</v>
      </c>
      <c r="W226" s="5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</row>
    <row r="227" ht="60.0" customHeight="1">
      <c r="A227" s="14" t="str">
        <f>if(H227&lt;&gt;"",VLOOKUP(H227,ID!$A$2:$C$999,3,FALSE),"") </f>
        <v>BT0219</v>
      </c>
      <c r="B227" s="15" t="s">
        <v>0</v>
      </c>
      <c r="C227" s="16" t="s">
        <v>1</v>
      </c>
      <c r="D227" s="38" t="s">
        <v>33</v>
      </c>
      <c r="E227" s="15" t="s">
        <v>996</v>
      </c>
      <c r="F227" s="56">
        <v>1954.0</v>
      </c>
      <c r="G227" s="52" t="s">
        <v>997</v>
      </c>
      <c r="H227" s="30" t="s">
        <v>998</v>
      </c>
      <c r="I227" s="54" t="s">
        <v>453</v>
      </c>
      <c r="J227" s="30" t="s">
        <v>346</v>
      </c>
      <c r="K227" s="30" t="s">
        <v>8</v>
      </c>
      <c r="L227" s="54" t="s">
        <v>9</v>
      </c>
      <c r="M227" s="54" t="s">
        <v>945</v>
      </c>
      <c r="N227" s="66"/>
      <c r="O227" s="64">
        <v>43642.0</v>
      </c>
      <c r="P227" s="64">
        <v>43642.0</v>
      </c>
      <c r="Q227" s="61">
        <v>36.0</v>
      </c>
      <c r="R227" s="26">
        <f>IFERROR(__xludf.DUMMYFUNCTION("IF (OR( Q227 = """" , P227 =""""), """" , IF(Q227 = ""Menos de 1 mês"" , ""antes de ""&amp; TO_TEXT( EDATE(P227, 1)), EDATE(P227,Q227)))"),44738.0)</f>
        <v>44738</v>
      </c>
      <c r="S227" s="30">
        <v>1.0</v>
      </c>
      <c r="T227" s="56">
        <v>79429.0</v>
      </c>
      <c r="U227" s="56">
        <v>79429.0</v>
      </c>
      <c r="V227" s="27">
        <v>43649.0</v>
      </c>
      <c r="W227" s="5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</row>
    <row r="228" ht="60.0" customHeight="1">
      <c r="A228" s="14" t="str">
        <f>if(H228&lt;&gt;"",VLOOKUP(H228,ID!$A$2:$C$999,3,FALSE),"") </f>
        <v>BT0220</v>
      </c>
      <c r="B228" s="15" t="s">
        <v>0</v>
      </c>
      <c r="C228" s="16" t="s">
        <v>1</v>
      </c>
      <c r="D228" s="38" t="s">
        <v>33</v>
      </c>
      <c r="E228" s="15" t="s">
        <v>999</v>
      </c>
      <c r="F228" s="30">
        <v>240.0</v>
      </c>
      <c r="G228" s="52" t="s">
        <v>1000</v>
      </c>
      <c r="H228" s="30" t="s">
        <v>1001</v>
      </c>
      <c r="I228" s="54" t="s">
        <v>453</v>
      </c>
      <c r="J228" s="30" t="s">
        <v>346</v>
      </c>
      <c r="K228" s="30" t="s">
        <v>8</v>
      </c>
      <c r="L228" s="54" t="s">
        <v>30</v>
      </c>
      <c r="M228" s="54" t="s">
        <v>945</v>
      </c>
      <c r="N228" s="66"/>
      <c r="O228" s="64">
        <v>43642.0</v>
      </c>
      <c r="P228" s="64">
        <v>43642.0</v>
      </c>
      <c r="Q228" s="61">
        <v>36.0</v>
      </c>
      <c r="R228" s="26">
        <f>IFERROR(__xludf.DUMMYFUNCTION("IF (OR( Q228 = """" , P228 =""""), """" , IF(Q228 = ""Menos de 1 mês"" , ""antes de ""&amp; TO_TEXT( EDATE(P228, 1)), EDATE(P228,Q228)))"),44738.0)</f>
        <v>44738</v>
      </c>
      <c r="S228" s="30">
        <v>1.0</v>
      </c>
      <c r="T228" s="56">
        <v>79429.0</v>
      </c>
      <c r="U228" s="56">
        <v>79429.0</v>
      </c>
      <c r="V228" s="27">
        <v>43649.0</v>
      </c>
      <c r="W228" s="5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</row>
    <row r="229" ht="60.0" customHeight="1">
      <c r="A229" s="14" t="str">
        <f>if(H229&lt;&gt;"",VLOOKUP(H229,ID!$A$2:$C$999,3,FALSE),"") </f>
        <v>BT0221</v>
      </c>
      <c r="B229" s="15" t="s">
        <v>0</v>
      </c>
      <c r="C229" s="16" t="s">
        <v>1</v>
      </c>
      <c r="D229" s="38" t="s">
        <v>33</v>
      </c>
      <c r="E229" s="15" t="s">
        <v>1002</v>
      </c>
      <c r="F229" s="56">
        <v>6000.0</v>
      </c>
      <c r="G229" s="52" t="s">
        <v>1003</v>
      </c>
      <c r="H229" s="30" t="s">
        <v>1004</v>
      </c>
      <c r="I229" s="54" t="s">
        <v>453</v>
      </c>
      <c r="J229" s="30" t="s">
        <v>1005</v>
      </c>
      <c r="K229" s="30" t="s">
        <v>8</v>
      </c>
      <c r="L229" s="54" t="s">
        <v>30</v>
      </c>
      <c r="M229" s="54" t="s">
        <v>945</v>
      </c>
      <c r="N229" s="66"/>
      <c r="O229" s="64">
        <v>43642.0</v>
      </c>
      <c r="P229" s="64">
        <v>43642.0</v>
      </c>
      <c r="Q229" s="61">
        <v>36.0</v>
      </c>
      <c r="R229" s="26">
        <f>IFERROR(__xludf.DUMMYFUNCTION("IF (OR( Q229 = """" , P229 =""""), """" , IF(Q229 = ""Menos de 1 mês"" , ""antes de ""&amp; TO_TEXT( EDATE(P229, 1)), EDATE(P229,Q229)))"),44738.0)</f>
        <v>44738</v>
      </c>
      <c r="S229" s="30">
        <v>4.0</v>
      </c>
      <c r="T229" s="56">
        <v>79429.0</v>
      </c>
      <c r="U229" s="56">
        <v>79429.0</v>
      </c>
      <c r="V229" s="64">
        <v>43649.0</v>
      </c>
      <c r="W229" s="5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</row>
    <row r="230" ht="60.0" customHeight="1">
      <c r="A230" s="14" t="str">
        <f>if(H230&lt;&gt;"",VLOOKUP(H230,ID!$A$2:$C$999,3,FALSE),"") </f>
        <v>BT0222</v>
      </c>
      <c r="B230" s="15" t="s">
        <v>0</v>
      </c>
      <c r="C230" s="16" t="s">
        <v>1</v>
      </c>
      <c r="D230" s="38" t="s">
        <v>33</v>
      </c>
      <c r="E230" s="15" t="s">
        <v>1006</v>
      </c>
      <c r="F230" s="56">
        <v>2506.0</v>
      </c>
      <c r="G230" s="52" t="s">
        <v>1007</v>
      </c>
      <c r="H230" s="30" t="s">
        <v>1008</v>
      </c>
      <c r="I230" s="54" t="s">
        <v>453</v>
      </c>
      <c r="J230" s="30" t="s">
        <v>1005</v>
      </c>
      <c r="K230" s="30" t="s">
        <v>8</v>
      </c>
      <c r="L230" s="54" t="s">
        <v>9</v>
      </c>
      <c r="M230" s="54" t="s">
        <v>945</v>
      </c>
      <c r="N230" s="66"/>
      <c r="O230" s="64">
        <v>43642.0</v>
      </c>
      <c r="P230" s="64">
        <v>43642.0</v>
      </c>
      <c r="Q230" s="61">
        <v>36.0</v>
      </c>
      <c r="R230" s="26">
        <f>IFERROR(__xludf.DUMMYFUNCTION("IF (OR( Q230 = """" , P230 =""""), """" , IF(Q230 = ""Menos de 1 mês"" , ""antes de ""&amp; TO_TEXT( EDATE(P230, 1)), EDATE(P230,Q230)))"),44738.0)</f>
        <v>44738</v>
      </c>
      <c r="S230" s="30">
        <v>1.0</v>
      </c>
      <c r="T230" s="56">
        <v>79429.0</v>
      </c>
      <c r="U230" s="56">
        <v>79429.0</v>
      </c>
      <c r="V230" s="27">
        <v>43649.0</v>
      </c>
      <c r="W230" s="5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</row>
    <row r="231" ht="60.0" customHeight="1">
      <c r="A231" s="14" t="str">
        <f>if(H231&lt;&gt;"",VLOOKUP(H231,ID!$A$2:$C$999,3,FALSE),"") </f>
        <v>BT0223</v>
      </c>
      <c r="B231" s="15" t="s">
        <v>0</v>
      </c>
      <c r="C231" s="16" t="s">
        <v>1</v>
      </c>
      <c r="D231" s="38" t="s">
        <v>33</v>
      </c>
      <c r="E231" s="15" t="s">
        <v>1009</v>
      </c>
      <c r="F231" s="30">
        <v>570.0</v>
      </c>
      <c r="G231" s="52" t="s">
        <v>1010</v>
      </c>
      <c r="H231" s="30" t="s">
        <v>1011</v>
      </c>
      <c r="I231" s="54" t="s">
        <v>453</v>
      </c>
      <c r="J231" s="30" t="s">
        <v>1005</v>
      </c>
      <c r="K231" s="30" t="s">
        <v>8</v>
      </c>
      <c r="L231" s="54" t="s">
        <v>9</v>
      </c>
      <c r="M231" s="54" t="s">
        <v>945</v>
      </c>
      <c r="N231" s="66"/>
      <c r="O231" s="64">
        <v>43642.0</v>
      </c>
      <c r="P231" s="64">
        <v>43642.0</v>
      </c>
      <c r="Q231" s="61">
        <v>36.0</v>
      </c>
      <c r="R231" s="26">
        <f>IFERROR(__xludf.DUMMYFUNCTION("IF (OR( Q231 = """" , P231 =""""), """" , IF(Q231 = ""Menos de 1 mês"" , ""antes de ""&amp; TO_TEXT( EDATE(P231, 1)), EDATE(P231,Q231)))"),44738.0)</f>
        <v>44738</v>
      </c>
      <c r="S231" s="30">
        <v>1.0</v>
      </c>
      <c r="T231" s="56">
        <v>79429.0</v>
      </c>
      <c r="U231" s="56">
        <v>79429.0</v>
      </c>
      <c r="V231" s="27">
        <v>43649.0</v>
      </c>
      <c r="W231" s="5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</row>
    <row r="232" ht="60.0" customHeight="1">
      <c r="A232" s="14" t="str">
        <f>if(H232&lt;&gt;"",VLOOKUP(H232,ID!$A$2:$C$999,3,FALSE),"") </f>
        <v>BT0224</v>
      </c>
      <c r="B232" s="15" t="s">
        <v>0</v>
      </c>
      <c r="C232" s="16" t="s">
        <v>1</v>
      </c>
      <c r="D232" s="38" t="s">
        <v>33</v>
      </c>
      <c r="E232" s="15" t="s">
        <v>1012</v>
      </c>
      <c r="F232" s="30">
        <v>900.0</v>
      </c>
      <c r="G232" s="52" t="s">
        <v>1013</v>
      </c>
      <c r="H232" s="30" t="s">
        <v>1014</v>
      </c>
      <c r="I232" s="54" t="s">
        <v>453</v>
      </c>
      <c r="J232" s="30" t="s">
        <v>1005</v>
      </c>
      <c r="K232" s="30" t="s">
        <v>8</v>
      </c>
      <c r="L232" s="54" t="s">
        <v>9</v>
      </c>
      <c r="M232" s="54" t="s">
        <v>945</v>
      </c>
      <c r="N232" s="66"/>
      <c r="O232" s="64">
        <v>43642.0</v>
      </c>
      <c r="P232" s="64">
        <v>43642.0</v>
      </c>
      <c r="Q232" s="61">
        <v>36.0</v>
      </c>
      <c r="R232" s="26">
        <f>IFERROR(__xludf.DUMMYFUNCTION("IF (OR( Q232 = """" , P232 =""""), """" , IF(Q232 = ""Menos de 1 mês"" , ""antes de ""&amp; TO_TEXT( EDATE(P232, 1)), EDATE(P232,Q232)))"),44738.0)</f>
        <v>44738</v>
      </c>
      <c r="S232" s="30">
        <v>1.0</v>
      </c>
      <c r="T232" s="56">
        <v>79429.0</v>
      </c>
      <c r="U232" s="56">
        <v>79429.0</v>
      </c>
      <c r="V232" s="64">
        <v>43649.0</v>
      </c>
      <c r="W232" s="5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</row>
    <row r="233" ht="60.0" customHeight="1">
      <c r="A233" s="14" t="str">
        <f>if(H233&lt;&gt;"",VLOOKUP(H233,ID!$A$2:$C$999,3,FALSE),"") </f>
        <v>BT0225</v>
      </c>
      <c r="B233" s="15" t="s">
        <v>0</v>
      </c>
      <c r="C233" s="16" t="s">
        <v>1</v>
      </c>
      <c r="D233" s="38" t="s">
        <v>33</v>
      </c>
      <c r="E233" s="15" t="s">
        <v>1015</v>
      </c>
      <c r="F233" s="56">
        <v>7500.0</v>
      </c>
      <c r="G233" s="52" t="s">
        <v>1016</v>
      </c>
      <c r="H233" s="30" t="s">
        <v>1017</v>
      </c>
      <c r="I233" s="54" t="s">
        <v>453</v>
      </c>
      <c r="J233" s="30" t="s">
        <v>1005</v>
      </c>
      <c r="K233" s="30" t="s">
        <v>8</v>
      </c>
      <c r="L233" s="54" t="s">
        <v>96</v>
      </c>
      <c r="M233" s="54" t="s">
        <v>945</v>
      </c>
      <c r="N233" s="66"/>
      <c r="O233" s="64">
        <v>43642.0</v>
      </c>
      <c r="P233" s="64">
        <v>43642.0</v>
      </c>
      <c r="Q233" s="61">
        <v>36.0</v>
      </c>
      <c r="R233" s="26">
        <f>IFERROR(__xludf.DUMMYFUNCTION("IF (OR( Q233 = """" , P233 =""""), """" , IF(Q233 = ""Menos de 1 mês"" , ""antes de ""&amp; TO_TEXT( EDATE(P233, 1)), EDATE(P233,Q233)))"),44738.0)</f>
        <v>44738</v>
      </c>
      <c r="S233" s="30">
        <v>5.0</v>
      </c>
      <c r="T233" s="56">
        <v>79429.0</v>
      </c>
      <c r="U233" s="56">
        <v>79429.0</v>
      </c>
      <c r="V233" s="64">
        <v>43649.0</v>
      </c>
      <c r="W233" s="5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</row>
    <row r="234" ht="60.0" customHeight="1">
      <c r="A234" s="14" t="str">
        <f>if(H234&lt;&gt;"",VLOOKUP(H234,ID!$A$2:$C$999,3,FALSE),"") </f>
        <v>BT0226</v>
      </c>
      <c r="B234" s="15" t="s">
        <v>0</v>
      </c>
      <c r="C234" s="16" t="s">
        <v>1</v>
      </c>
      <c r="D234" s="38" t="s">
        <v>33</v>
      </c>
      <c r="E234" s="15" t="s">
        <v>1018</v>
      </c>
      <c r="F234" s="56">
        <v>5830.0</v>
      </c>
      <c r="G234" s="52" t="s">
        <v>1019</v>
      </c>
      <c r="H234" s="30" t="s">
        <v>1020</v>
      </c>
      <c r="I234" s="54" t="s">
        <v>453</v>
      </c>
      <c r="J234" s="30" t="s">
        <v>1005</v>
      </c>
      <c r="K234" s="30" t="s">
        <v>8</v>
      </c>
      <c r="L234" s="54" t="s">
        <v>30</v>
      </c>
      <c r="M234" s="54" t="s">
        <v>945</v>
      </c>
      <c r="N234" s="66"/>
      <c r="O234" s="64">
        <v>43642.0</v>
      </c>
      <c r="P234" s="64">
        <v>43642.0</v>
      </c>
      <c r="Q234" s="61">
        <v>36.0</v>
      </c>
      <c r="R234" s="26">
        <f>IFERROR(__xludf.DUMMYFUNCTION("IF (OR( Q234 = """" , P234 =""""), """" , IF(Q234 = ""Menos de 1 mês"" , ""antes de ""&amp; TO_TEXT( EDATE(P234, 1)), EDATE(P234,Q234)))"),44738.0)</f>
        <v>44738</v>
      </c>
      <c r="S234" s="30">
        <v>5.0</v>
      </c>
      <c r="T234" s="56">
        <v>79429.0</v>
      </c>
      <c r="U234" s="56">
        <v>79429.0</v>
      </c>
      <c r="V234" s="27">
        <v>43649.0</v>
      </c>
      <c r="W234" s="5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</row>
    <row r="235" ht="60.0" customHeight="1">
      <c r="A235" s="14" t="str">
        <f>if(H235&lt;&gt;"",VLOOKUP(H235,ID!$A$2:$C$999,3,FALSE),"") </f>
        <v>BT0227</v>
      </c>
      <c r="B235" s="15" t="s">
        <v>0</v>
      </c>
      <c r="C235" s="16" t="s">
        <v>1</v>
      </c>
      <c r="D235" s="38" t="s">
        <v>1021</v>
      </c>
      <c r="E235" s="15" t="s">
        <v>1022</v>
      </c>
      <c r="F235" s="56">
        <v>1200.0</v>
      </c>
      <c r="G235" s="52" t="s">
        <v>1023</v>
      </c>
      <c r="H235" s="30" t="s">
        <v>1024</v>
      </c>
      <c r="I235" s="54" t="s">
        <v>453</v>
      </c>
      <c r="J235" s="30" t="s">
        <v>1005</v>
      </c>
      <c r="K235" s="30" t="s">
        <v>8</v>
      </c>
      <c r="L235" s="54" t="s">
        <v>30</v>
      </c>
      <c r="M235" s="54" t="s">
        <v>945</v>
      </c>
      <c r="N235" s="66"/>
      <c r="O235" s="64">
        <v>43642.0</v>
      </c>
      <c r="P235" s="64">
        <v>43642.0</v>
      </c>
      <c r="Q235" s="61">
        <v>36.0</v>
      </c>
      <c r="R235" s="26">
        <f>IFERROR(__xludf.DUMMYFUNCTION("IF (OR( Q235 = """" , P235 =""""), """" , IF(Q235 = ""Menos de 1 mês"" , ""antes de ""&amp; TO_TEXT( EDATE(P235, 1)), EDATE(P235,Q235)))"),44738.0)</f>
        <v>44738</v>
      </c>
      <c r="S235" s="30">
        <v>1.0</v>
      </c>
      <c r="T235" s="56">
        <v>79429.0</v>
      </c>
      <c r="U235" s="56">
        <v>79429.0</v>
      </c>
      <c r="V235" s="64">
        <v>43649.0</v>
      </c>
      <c r="W235" s="5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</row>
    <row r="236" ht="60.0" customHeight="1">
      <c r="A236" s="14" t="str">
        <f>if(H236&lt;&gt;"",VLOOKUP(H236,ID!$A$2:$C$999,3,FALSE),"") </f>
        <v>BT0228</v>
      </c>
      <c r="B236" s="15" t="s">
        <v>0</v>
      </c>
      <c r="C236" s="16" t="s">
        <v>1</v>
      </c>
      <c r="D236" s="38" t="s">
        <v>33</v>
      </c>
      <c r="E236" s="15" t="s">
        <v>1025</v>
      </c>
      <c r="F236" s="56">
        <v>3300.0</v>
      </c>
      <c r="G236" s="52" t="s">
        <v>1026</v>
      </c>
      <c r="H236" s="30" t="s">
        <v>1027</v>
      </c>
      <c r="I236" s="54" t="s">
        <v>1028</v>
      </c>
      <c r="J236" s="30" t="s">
        <v>1029</v>
      </c>
      <c r="K236" s="30" t="s">
        <v>8</v>
      </c>
      <c r="L236" s="54" t="s">
        <v>9</v>
      </c>
      <c r="M236" s="54" t="s">
        <v>945</v>
      </c>
      <c r="N236" s="66"/>
      <c r="O236" s="64">
        <v>43642.0</v>
      </c>
      <c r="P236" s="64">
        <v>43642.0</v>
      </c>
      <c r="Q236" s="61">
        <v>36.0</v>
      </c>
      <c r="R236" s="26">
        <f>IFERROR(__xludf.DUMMYFUNCTION("IF (OR( Q236 = """" , P236 =""""), """" , IF(Q236 = ""Menos de 1 mês"" , ""antes de ""&amp; TO_TEXT( EDATE(P236, 1)), EDATE(P236,Q236)))"),44738.0)</f>
        <v>44738</v>
      </c>
      <c r="S236" s="30">
        <v>2.0</v>
      </c>
      <c r="T236" s="56">
        <v>136800.0</v>
      </c>
      <c r="U236" s="56">
        <v>136800.0</v>
      </c>
      <c r="V236" s="64">
        <v>43649.0</v>
      </c>
      <c r="W236" s="5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</row>
    <row r="237" ht="60.0" customHeight="1">
      <c r="A237" s="14" t="str">
        <f>if(H237&lt;&gt;"",VLOOKUP(H237,ID!$A$2:$C$999,3,FALSE),"") </f>
        <v>BT0229</v>
      </c>
      <c r="B237" s="15" t="s">
        <v>0</v>
      </c>
      <c r="C237" s="16" t="s">
        <v>1</v>
      </c>
      <c r="D237" s="38" t="s">
        <v>33</v>
      </c>
      <c r="E237" s="15" t="s">
        <v>1030</v>
      </c>
      <c r="F237" s="56">
        <v>1800.0</v>
      </c>
      <c r="G237" s="52" t="s">
        <v>1031</v>
      </c>
      <c r="H237" s="30" t="s">
        <v>1032</v>
      </c>
      <c r="I237" s="54" t="s">
        <v>453</v>
      </c>
      <c r="J237" s="30" t="s">
        <v>1005</v>
      </c>
      <c r="K237" s="30" t="s">
        <v>8</v>
      </c>
      <c r="L237" s="54" t="s">
        <v>96</v>
      </c>
      <c r="M237" s="54" t="s">
        <v>945</v>
      </c>
      <c r="N237" s="66"/>
      <c r="O237" s="64">
        <v>43642.0</v>
      </c>
      <c r="P237" s="64">
        <v>43642.0</v>
      </c>
      <c r="Q237" s="61">
        <v>36.0</v>
      </c>
      <c r="R237" s="26">
        <f>IFERROR(__xludf.DUMMYFUNCTION("IF (OR( Q237 = """" , P237 =""""), """" , IF(Q237 = ""Menos de 1 mês"" , ""antes de ""&amp; TO_TEXT( EDATE(P237, 1)), EDATE(P237,Q237)))"),44738.0)</f>
        <v>44738</v>
      </c>
      <c r="S237" s="30">
        <v>1.0</v>
      </c>
      <c r="T237" s="56">
        <v>79429.0</v>
      </c>
      <c r="U237" s="56">
        <v>79429.0</v>
      </c>
      <c r="V237" s="64">
        <v>43649.0</v>
      </c>
      <c r="W237" s="5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</row>
    <row r="238" ht="60.0" customHeight="1">
      <c r="A238" s="14" t="str">
        <f>if(H238&lt;&gt;"",VLOOKUP(H238,ID!$A$2:$C$999,3,FALSE),"") </f>
        <v>BT0230</v>
      </c>
      <c r="B238" s="15" t="s">
        <v>0</v>
      </c>
      <c r="C238" s="16" t="s">
        <v>1</v>
      </c>
      <c r="D238" s="38" t="s">
        <v>33</v>
      </c>
      <c r="E238" s="15" t="s">
        <v>1033</v>
      </c>
      <c r="F238" s="56">
        <v>10000.0</v>
      </c>
      <c r="G238" s="52" t="s">
        <v>1034</v>
      </c>
      <c r="H238" s="30" t="s">
        <v>1035</v>
      </c>
      <c r="I238" s="54" t="s">
        <v>453</v>
      </c>
      <c r="J238" s="30" t="s">
        <v>1005</v>
      </c>
      <c r="K238" s="30" t="s">
        <v>8</v>
      </c>
      <c r="L238" s="54" t="s">
        <v>96</v>
      </c>
      <c r="M238" s="54" t="s">
        <v>945</v>
      </c>
      <c r="N238" s="66"/>
      <c r="O238" s="64">
        <v>43642.0</v>
      </c>
      <c r="P238" s="64">
        <v>43642.0</v>
      </c>
      <c r="Q238" s="61">
        <v>36.0</v>
      </c>
      <c r="R238" s="26">
        <f>IFERROR(__xludf.DUMMYFUNCTION("IF (OR( Q238 = """" , P238 =""""), """" , IF(Q238 = ""Menos de 1 mês"" , ""antes de ""&amp; TO_TEXT( EDATE(P238, 1)), EDATE(P238,Q238)))"),44738.0)</f>
        <v>44738</v>
      </c>
      <c r="S238" s="30">
        <v>7.0</v>
      </c>
      <c r="T238" s="56">
        <v>79429.0</v>
      </c>
      <c r="U238" s="56">
        <v>79429.0</v>
      </c>
      <c r="V238" s="64">
        <v>43649.0</v>
      </c>
      <c r="W238" s="5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</row>
    <row r="239" ht="60.0" customHeight="1">
      <c r="A239" s="14" t="str">
        <f>if(H239&lt;&gt;"",VLOOKUP(H239,ID!$A$2:$C$999,3,FALSE),"") </f>
        <v>BT0231</v>
      </c>
      <c r="B239" s="15" t="s">
        <v>0</v>
      </c>
      <c r="C239" s="16" t="s">
        <v>1</v>
      </c>
      <c r="D239" s="38" t="s">
        <v>33</v>
      </c>
      <c r="E239" s="15" t="s">
        <v>1036</v>
      </c>
      <c r="F239" s="56">
        <v>1545.0</v>
      </c>
      <c r="G239" s="52" t="s">
        <v>1037</v>
      </c>
      <c r="H239" s="30" t="s">
        <v>1038</v>
      </c>
      <c r="I239" s="54" t="s">
        <v>453</v>
      </c>
      <c r="J239" s="30" t="s">
        <v>1005</v>
      </c>
      <c r="K239" s="30" t="s">
        <v>8</v>
      </c>
      <c r="L239" s="54" t="s">
        <v>9</v>
      </c>
      <c r="M239" s="54" t="s">
        <v>945</v>
      </c>
      <c r="N239" s="66"/>
      <c r="O239" s="64">
        <v>43642.0</v>
      </c>
      <c r="P239" s="64">
        <v>43642.0</v>
      </c>
      <c r="Q239" s="61">
        <v>36.0</v>
      </c>
      <c r="R239" s="26">
        <f>IFERROR(__xludf.DUMMYFUNCTION("IF (OR( Q239 = """" , P239 =""""), """" , IF(Q239 = ""Menos de 1 mês"" , ""antes de ""&amp; TO_TEXT( EDATE(P239, 1)), EDATE(P239,Q239)))"),44738.0)</f>
        <v>44738</v>
      </c>
      <c r="S239" s="30">
        <v>1.0</v>
      </c>
      <c r="T239" s="56">
        <v>79429.0</v>
      </c>
      <c r="U239" s="56">
        <v>79429.0</v>
      </c>
      <c r="V239" s="64">
        <v>43649.0</v>
      </c>
      <c r="W239" s="5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</row>
    <row r="240" ht="60.0" customHeight="1">
      <c r="A240" s="14" t="str">
        <f>if(H240&lt;&gt;"",VLOOKUP(H240,ID!$A$2:$C$999,3,FALSE),"") </f>
        <v>BT0232</v>
      </c>
      <c r="B240" s="15" t="s">
        <v>0</v>
      </c>
      <c r="C240" s="16" t="s">
        <v>1</v>
      </c>
      <c r="D240" s="38" t="s">
        <v>33</v>
      </c>
      <c r="E240" s="15" t="s">
        <v>1039</v>
      </c>
      <c r="F240" s="30">
        <v>900.0</v>
      </c>
      <c r="G240" s="52" t="s">
        <v>1040</v>
      </c>
      <c r="H240" s="30" t="s">
        <v>1041</v>
      </c>
      <c r="I240" s="54" t="s">
        <v>453</v>
      </c>
      <c r="J240" s="30" t="s">
        <v>1005</v>
      </c>
      <c r="K240" s="30" t="s">
        <v>8</v>
      </c>
      <c r="L240" s="54" t="s">
        <v>9</v>
      </c>
      <c r="M240" s="54" t="s">
        <v>945</v>
      </c>
      <c r="N240" s="66"/>
      <c r="O240" s="64">
        <v>43642.0</v>
      </c>
      <c r="P240" s="64">
        <v>43642.0</v>
      </c>
      <c r="Q240" s="61">
        <v>36.0</v>
      </c>
      <c r="R240" s="26">
        <f>IFERROR(__xludf.DUMMYFUNCTION("IF (OR( Q240 = """" , P240 =""""), """" , IF(Q240 = ""Menos de 1 mês"" , ""antes de ""&amp; TO_TEXT( EDATE(P240, 1)), EDATE(P240,Q240)))"),44738.0)</f>
        <v>44738</v>
      </c>
      <c r="S240" s="30">
        <v>1.0</v>
      </c>
      <c r="T240" s="56">
        <v>79429.0</v>
      </c>
      <c r="U240" s="56">
        <v>79429.0</v>
      </c>
      <c r="V240" s="27">
        <v>43649.0</v>
      </c>
      <c r="W240" s="5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</row>
    <row r="241" ht="60.0" customHeight="1">
      <c r="A241" s="14" t="str">
        <f>if(H241&lt;&gt;"",VLOOKUP(H241,ID!$A$2:$C$999,3,FALSE),"") </f>
        <v>BT0233</v>
      </c>
      <c r="B241" s="15" t="s">
        <v>0</v>
      </c>
      <c r="C241" s="16" t="s">
        <v>1</v>
      </c>
      <c r="D241" s="38" t="s">
        <v>33</v>
      </c>
      <c r="E241" s="15" t="s">
        <v>1042</v>
      </c>
      <c r="F241" s="56">
        <v>1019.0</v>
      </c>
      <c r="G241" s="52" t="s">
        <v>1043</v>
      </c>
      <c r="H241" s="30" t="s">
        <v>1044</v>
      </c>
      <c r="I241" s="54" t="s">
        <v>453</v>
      </c>
      <c r="J241" s="30" t="s">
        <v>1005</v>
      </c>
      <c r="K241" s="30" t="s">
        <v>8</v>
      </c>
      <c r="L241" s="54" t="s">
        <v>9</v>
      </c>
      <c r="M241" s="54" t="s">
        <v>945</v>
      </c>
      <c r="N241" s="66"/>
      <c r="O241" s="64">
        <v>43642.0</v>
      </c>
      <c r="P241" s="64">
        <v>43642.0</v>
      </c>
      <c r="Q241" s="61">
        <v>36.0</v>
      </c>
      <c r="R241" s="26">
        <f>IFERROR(__xludf.DUMMYFUNCTION("IF (OR( Q241 = """" , P241 =""""), """" , IF(Q241 = ""Menos de 1 mês"" , ""antes de ""&amp; TO_TEXT( EDATE(P241, 1)), EDATE(P241,Q241)))"),44738.0)</f>
        <v>44738</v>
      </c>
      <c r="S241" s="30">
        <v>1.0</v>
      </c>
      <c r="T241" s="56">
        <v>79429.0</v>
      </c>
      <c r="U241" s="56">
        <v>79429.0</v>
      </c>
      <c r="V241" s="64">
        <v>43649.0</v>
      </c>
      <c r="W241" s="5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</row>
    <row r="242" ht="60.0" customHeight="1">
      <c r="A242" s="14" t="str">
        <f>if(H242&lt;&gt;"",VLOOKUP(H242,ID!$A$2:$C$999,3,FALSE),"") </f>
        <v>BT0234</v>
      </c>
      <c r="B242" s="15" t="s">
        <v>0</v>
      </c>
      <c r="C242" s="16" t="s">
        <v>1</v>
      </c>
      <c r="D242" s="38" t="s">
        <v>33</v>
      </c>
      <c r="E242" s="15" t="s">
        <v>1045</v>
      </c>
      <c r="F242" s="56">
        <v>2370.0</v>
      </c>
      <c r="G242" s="52" t="s">
        <v>1046</v>
      </c>
      <c r="H242" s="30" t="s">
        <v>1047</v>
      </c>
      <c r="I242" s="54" t="s">
        <v>453</v>
      </c>
      <c r="J242" s="30" t="s">
        <v>1005</v>
      </c>
      <c r="K242" s="30" t="s">
        <v>8</v>
      </c>
      <c r="L242" s="54" t="s">
        <v>9</v>
      </c>
      <c r="M242" s="54" t="s">
        <v>945</v>
      </c>
      <c r="N242" s="66"/>
      <c r="O242" s="64">
        <v>43642.0</v>
      </c>
      <c r="P242" s="64">
        <v>43642.0</v>
      </c>
      <c r="Q242" s="61">
        <v>36.0</v>
      </c>
      <c r="R242" s="26">
        <f>IFERROR(__xludf.DUMMYFUNCTION("IF (OR( Q242 = """" , P242 =""""), """" , IF(Q242 = ""Menos de 1 mês"" , ""antes de ""&amp; TO_TEXT( EDATE(P242, 1)), EDATE(P242,Q242)))"),44738.0)</f>
        <v>44738</v>
      </c>
      <c r="S242" s="30">
        <v>1.0</v>
      </c>
      <c r="T242" s="56">
        <v>79429.0</v>
      </c>
      <c r="U242" s="56">
        <v>79429.0</v>
      </c>
      <c r="V242" s="64">
        <v>43649.0</v>
      </c>
      <c r="W242" s="5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</row>
    <row r="243" ht="60.0" customHeight="1">
      <c r="A243" s="14" t="str">
        <f>if(H243&lt;&gt;"",VLOOKUP(H243,ID!$A$2:$C$999,3,FALSE),"") </f>
        <v>BT0235</v>
      </c>
      <c r="B243" s="15" t="s">
        <v>0</v>
      </c>
      <c r="C243" s="16" t="s">
        <v>1</v>
      </c>
      <c r="D243" s="38" t="s">
        <v>33</v>
      </c>
      <c r="E243" s="15" t="s">
        <v>1048</v>
      </c>
      <c r="F243" s="56">
        <v>1665.0</v>
      </c>
      <c r="G243" s="52" t="s">
        <v>1049</v>
      </c>
      <c r="H243" s="30" t="s">
        <v>1050</v>
      </c>
      <c r="I243" s="54" t="s">
        <v>453</v>
      </c>
      <c r="J243" s="30" t="s">
        <v>1005</v>
      </c>
      <c r="K243" s="30" t="s">
        <v>8</v>
      </c>
      <c r="L243" s="54" t="s">
        <v>9</v>
      </c>
      <c r="M243" s="54" t="s">
        <v>945</v>
      </c>
      <c r="N243" s="66"/>
      <c r="O243" s="64">
        <v>43642.0</v>
      </c>
      <c r="P243" s="64">
        <v>43642.0</v>
      </c>
      <c r="Q243" s="61">
        <v>36.0</v>
      </c>
      <c r="R243" s="26">
        <f>IFERROR(__xludf.DUMMYFUNCTION("IF (OR( Q243 = """" , P243 =""""), """" , IF(Q243 = ""Menos de 1 mês"" , ""antes de ""&amp; TO_TEXT( EDATE(P243, 1)), EDATE(P243,Q243)))"),44738.0)</f>
        <v>44738</v>
      </c>
      <c r="S243" s="30">
        <v>1.0</v>
      </c>
      <c r="T243" s="56">
        <v>79429.0</v>
      </c>
      <c r="U243" s="56">
        <v>79429.0</v>
      </c>
      <c r="V243" s="64">
        <v>43649.0</v>
      </c>
      <c r="W243" s="5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</row>
    <row r="244" ht="60.0" customHeight="1">
      <c r="A244" s="14" t="str">
        <f>if(H244&lt;&gt;"",VLOOKUP(H244,ID!$A$2:$C$999,3,FALSE),"") </f>
        <v>BT0236</v>
      </c>
      <c r="B244" s="15" t="s">
        <v>0</v>
      </c>
      <c r="C244" s="16" t="s">
        <v>1</v>
      </c>
      <c r="D244" s="38" t="s">
        <v>33</v>
      </c>
      <c r="E244" s="15" t="s">
        <v>1051</v>
      </c>
      <c r="F244" s="56">
        <v>2106.0</v>
      </c>
      <c r="G244" s="52" t="s">
        <v>1052</v>
      </c>
      <c r="H244" s="30" t="s">
        <v>1053</v>
      </c>
      <c r="I244" s="54" t="s">
        <v>453</v>
      </c>
      <c r="J244" s="30" t="s">
        <v>1005</v>
      </c>
      <c r="K244" s="30" t="s">
        <v>8</v>
      </c>
      <c r="L244" s="54" t="s">
        <v>9</v>
      </c>
      <c r="M244" s="54" t="s">
        <v>945</v>
      </c>
      <c r="N244" s="66"/>
      <c r="O244" s="64">
        <v>43642.0</v>
      </c>
      <c r="P244" s="64">
        <v>43642.0</v>
      </c>
      <c r="Q244" s="61">
        <v>36.0</v>
      </c>
      <c r="R244" s="26">
        <f>IFERROR(__xludf.DUMMYFUNCTION("IF (OR( Q244 = """" , P244 =""""), """" , IF(Q244 = ""Menos de 1 mês"" , ""antes de ""&amp; TO_TEXT( EDATE(P244, 1)), EDATE(P244,Q244)))"),44738.0)</f>
        <v>44738</v>
      </c>
      <c r="S244" s="30">
        <v>1.0</v>
      </c>
      <c r="T244" s="56">
        <v>79429.0</v>
      </c>
      <c r="U244" s="56">
        <v>79429.0</v>
      </c>
      <c r="V244" s="64">
        <v>43619.0</v>
      </c>
      <c r="W244" s="5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</row>
    <row r="245" ht="60.0" customHeight="1">
      <c r="A245" s="14" t="str">
        <f>if(H245&lt;&gt;"",VLOOKUP(H245,ID!$A$2:$C$999,3,FALSE),"") </f>
        <v>BT0237</v>
      </c>
      <c r="B245" s="15" t="s">
        <v>0</v>
      </c>
      <c r="C245" s="16" t="s">
        <v>1</v>
      </c>
      <c r="D245" s="38" t="s">
        <v>33</v>
      </c>
      <c r="E245" s="15" t="s">
        <v>1054</v>
      </c>
      <c r="F245" s="56">
        <v>1250.0</v>
      </c>
      <c r="G245" s="52" t="s">
        <v>1055</v>
      </c>
      <c r="H245" s="30" t="s">
        <v>1056</v>
      </c>
      <c r="I245" s="54" t="s">
        <v>453</v>
      </c>
      <c r="J245" s="30" t="s">
        <v>1005</v>
      </c>
      <c r="K245" s="30" t="s">
        <v>8</v>
      </c>
      <c r="L245" s="54" t="s">
        <v>9</v>
      </c>
      <c r="M245" s="54" t="s">
        <v>945</v>
      </c>
      <c r="N245" s="66"/>
      <c r="O245" s="64">
        <v>43642.0</v>
      </c>
      <c r="P245" s="27">
        <v>43642.0</v>
      </c>
      <c r="Q245" s="61">
        <v>36.0</v>
      </c>
      <c r="R245" s="26">
        <f>IFERROR(__xludf.DUMMYFUNCTION("IF (OR( Q245 = """" , P245 =""""), """" , IF(Q245 = ""Menos de 1 mês"" , ""antes de ""&amp; TO_TEXT( EDATE(P245, 1)), EDATE(P245,Q245)))"),44738.0)</f>
        <v>44738</v>
      </c>
      <c r="S245" s="30">
        <v>1.0</v>
      </c>
      <c r="T245" s="56">
        <v>79429.0</v>
      </c>
      <c r="U245" s="56">
        <v>79429.0</v>
      </c>
      <c r="V245" s="64">
        <v>43649.0</v>
      </c>
      <c r="W245" s="5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</row>
    <row r="246" ht="60.0" customHeight="1">
      <c r="A246" s="14" t="str">
        <f>if(H246&lt;&gt;"",VLOOKUP(H246,ID!$A$2:$C$999,3,FALSE),"") </f>
        <v>BT0238</v>
      </c>
      <c r="B246" s="15" t="s">
        <v>0</v>
      </c>
      <c r="C246" s="16" t="s">
        <v>1</v>
      </c>
      <c r="D246" s="38" t="s">
        <v>33</v>
      </c>
      <c r="E246" s="15" t="s">
        <v>1057</v>
      </c>
      <c r="F246" s="56">
        <v>1231.0</v>
      </c>
      <c r="G246" s="52" t="s">
        <v>1058</v>
      </c>
      <c r="H246" s="30" t="s">
        <v>1059</v>
      </c>
      <c r="I246" s="54" t="s">
        <v>453</v>
      </c>
      <c r="J246" s="30" t="s">
        <v>1005</v>
      </c>
      <c r="K246" s="30" t="s">
        <v>8</v>
      </c>
      <c r="L246" s="54" t="s">
        <v>9</v>
      </c>
      <c r="M246" s="54" t="s">
        <v>945</v>
      </c>
      <c r="N246" s="66"/>
      <c r="O246" s="64">
        <v>43642.0</v>
      </c>
      <c r="P246" s="27">
        <v>43642.0</v>
      </c>
      <c r="Q246" s="61">
        <v>36.0</v>
      </c>
      <c r="R246" s="26">
        <f>IFERROR(__xludf.DUMMYFUNCTION("IF (OR( Q246 = """" , P246 =""""), """" , IF(Q246 = ""Menos de 1 mês"" , ""antes de ""&amp; TO_TEXT( EDATE(P246, 1)), EDATE(P246,Q246)))"),44738.0)</f>
        <v>44738</v>
      </c>
      <c r="S246" s="30">
        <v>1.0</v>
      </c>
      <c r="T246" s="56">
        <v>79429.0</v>
      </c>
      <c r="U246" s="56">
        <v>79429.0</v>
      </c>
      <c r="V246" s="64">
        <v>43649.0</v>
      </c>
      <c r="W246" s="5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</row>
    <row r="247" ht="60.0" customHeight="1">
      <c r="A247" s="14" t="str">
        <f>if(H247&lt;&gt;"",VLOOKUP(H247,ID!$A$2:$C$999,3,FALSE),"") </f>
        <v>BT0239</v>
      </c>
      <c r="B247" s="15" t="s">
        <v>0</v>
      </c>
      <c r="C247" s="16" t="s">
        <v>1</v>
      </c>
      <c r="D247" s="38" t="s">
        <v>46</v>
      </c>
      <c r="E247" s="15" t="s">
        <v>1060</v>
      </c>
      <c r="F247" s="56">
        <v>32000.0</v>
      </c>
      <c r="G247" s="52" t="s">
        <v>1061</v>
      </c>
      <c r="H247" s="30" t="s">
        <v>1062</v>
      </c>
      <c r="I247" s="54" t="s">
        <v>453</v>
      </c>
      <c r="J247" s="30" t="s">
        <v>1005</v>
      </c>
      <c r="K247" s="30" t="s">
        <v>8</v>
      </c>
      <c r="L247" s="54" t="s">
        <v>30</v>
      </c>
      <c r="M247" s="54" t="s">
        <v>945</v>
      </c>
      <c r="N247" s="66"/>
      <c r="O247" s="64">
        <v>43642.0</v>
      </c>
      <c r="P247" s="27">
        <v>43642.0</v>
      </c>
      <c r="Q247" s="61">
        <v>36.0</v>
      </c>
      <c r="R247" s="26">
        <f>IFERROR(__xludf.DUMMYFUNCTION("IF (OR( Q247 = """" , P247 =""""), """" , IF(Q247 = ""Menos de 1 mês"" , ""antes de ""&amp; TO_TEXT( EDATE(P247, 1)), EDATE(P247,Q247)))"),44738.0)</f>
        <v>44738</v>
      </c>
      <c r="S247" s="30">
        <v>7.0</v>
      </c>
      <c r="T247" s="56">
        <v>79429.0</v>
      </c>
      <c r="U247" s="56">
        <v>79429.0</v>
      </c>
      <c r="V247" s="64">
        <v>43649.0</v>
      </c>
      <c r="W247" s="5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</row>
    <row r="248" ht="60.0" customHeight="1">
      <c r="A248" s="14" t="str">
        <f>if(H248&lt;&gt;"",VLOOKUP(H248,ID!$A$2:$C$999,3,FALSE),"") </f>
        <v>BT0240</v>
      </c>
      <c r="B248" s="15" t="s">
        <v>0</v>
      </c>
      <c r="C248" s="16" t="s">
        <v>1</v>
      </c>
      <c r="D248" s="38" t="s">
        <v>1063</v>
      </c>
      <c r="E248" s="15" t="s">
        <v>1064</v>
      </c>
      <c r="F248" s="65">
        <v>3381.17</v>
      </c>
      <c r="G248" s="52" t="s">
        <v>1065</v>
      </c>
      <c r="H248" s="30" t="s">
        <v>1066</v>
      </c>
      <c r="I248" s="54" t="s">
        <v>1067</v>
      </c>
      <c r="J248" s="30" t="s">
        <v>1068</v>
      </c>
      <c r="K248" s="30" t="s">
        <v>8</v>
      </c>
      <c r="L248" s="54" t="s">
        <v>30</v>
      </c>
      <c r="M248" s="54" t="s">
        <v>945</v>
      </c>
      <c r="N248" s="66"/>
      <c r="O248" s="64">
        <v>43642.0</v>
      </c>
      <c r="P248" s="27">
        <v>43642.0</v>
      </c>
      <c r="Q248" s="61">
        <v>36.0</v>
      </c>
      <c r="R248" s="26">
        <f>IFERROR(__xludf.DUMMYFUNCTION("IF (OR( Q248 = """" , P248 =""""), """" , IF(Q248 = ""Menos de 1 mês"" , ""antes de ""&amp; TO_TEXT( EDATE(P248, 1)), EDATE(P248,Q248)))"),44738.0)</f>
        <v>44738</v>
      </c>
      <c r="S248" s="30">
        <v>2.0</v>
      </c>
      <c r="T248" s="56">
        <v>54000.0</v>
      </c>
      <c r="U248" s="56">
        <v>54000.0</v>
      </c>
      <c r="V248" s="64">
        <v>43649.0</v>
      </c>
      <c r="W248" s="5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</row>
    <row r="249" ht="60.0" customHeight="1">
      <c r="A249" s="14" t="str">
        <f>if(H249&lt;&gt;"",VLOOKUP(H249,ID!$A$2:$C$999,3,FALSE),"") </f>
        <v>BT0241</v>
      </c>
      <c r="B249" s="15" t="s">
        <v>0</v>
      </c>
      <c r="C249" s="16" t="s">
        <v>1</v>
      </c>
      <c r="D249" s="38" t="s">
        <v>1063</v>
      </c>
      <c r="E249" s="15" t="s">
        <v>1069</v>
      </c>
      <c r="F249" s="30">
        <v>950.0</v>
      </c>
      <c r="G249" s="52" t="s">
        <v>1070</v>
      </c>
      <c r="H249" s="30" t="s">
        <v>1071</v>
      </c>
      <c r="I249" s="54" t="s">
        <v>1072</v>
      </c>
      <c r="J249" s="30" t="s">
        <v>1073</v>
      </c>
      <c r="K249" s="30" t="s">
        <v>8</v>
      </c>
      <c r="L249" s="54" t="s">
        <v>96</v>
      </c>
      <c r="M249" s="54" t="s">
        <v>945</v>
      </c>
      <c r="N249" s="66"/>
      <c r="O249" s="64">
        <v>43642.0</v>
      </c>
      <c r="P249" s="27">
        <v>43642.0</v>
      </c>
      <c r="Q249" s="61">
        <v>36.0</v>
      </c>
      <c r="R249" s="26">
        <f>IFERROR(__xludf.DUMMYFUNCTION("IF (OR( Q249 = """" , P249 =""""), """" , IF(Q249 = ""Menos de 1 mês"" , ""antes de ""&amp; TO_TEXT( EDATE(P249, 1)), EDATE(P249,Q249)))"),44738.0)</f>
        <v>44738</v>
      </c>
      <c r="S249" s="30">
        <v>1.0</v>
      </c>
      <c r="T249" s="56">
        <v>180000.0</v>
      </c>
      <c r="U249" s="56">
        <v>180000.0</v>
      </c>
      <c r="V249" s="64">
        <v>43649.0</v>
      </c>
      <c r="W249" s="5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</row>
    <row r="250" ht="60.0" customHeight="1">
      <c r="A250" s="14" t="str">
        <f>if(H250&lt;&gt;"",VLOOKUP(H250,ID!$A$2:$C$999,3,FALSE),"") </f>
        <v>BT0242</v>
      </c>
      <c r="B250" s="15" t="s">
        <v>0</v>
      </c>
      <c r="C250" s="16" t="s">
        <v>1</v>
      </c>
      <c r="D250" s="38" t="s">
        <v>1063</v>
      </c>
      <c r="E250" s="15" t="s">
        <v>321</v>
      </c>
      <c r="F250" s="56">
        <v>1000.0</v>
      </c>
      <c r="G250" s="52" t="s">
        <v>1074</v>
      </c>
      <c r="H250" s="30" t="s">
        <v>1075</v>
      </c>
      <c r="I250" s="54" t="s">
        <v>1072</v>
      </c>
      <c r="J250" s="30" t="s">
        <v>1073</v>
      </c>
      <c r="K250" s="30" t="s">
        <v>8</v>
      </c>
      <c r="L250" s="54" t="s">
        <v>96</v>
      </c>
      <c r="M250" s="54" t="s">
        <v>945</v>
      </c>
      <c r="N250" s="66"/>
      <c r="O250" s="64">
        <v>43642.0</v>
      </c>
      <c r="P250" s="27">
        <v>43642.0</v>
      </c>
      <c r="Q250" s="61">
        <v>36.0</v>
      </c>
      <c r="R250" s="26">
        <f>IFERROR(__xludf.DUMMYFUNCTION("IF (OR( Q250 = """" , P250 =""""), """" , IF(Q250 = ""Menos de 1 mês"" , ""antes de ""&amp; TO_TEXT( EDATE(P250, 1)), EDATE(P250,Q250)))"),44738.0)</f>
        <v>44738</v>
      </c>
      <c r="S250" s="30">
        <v>1.0</v>
      </c>
      <c r="T250" s="56">
        <v>180000.0</v>
      </c>
      <c r="U250" s="56">
        <v>180000.0</v>
      </c>
      <c r="V250" s="64">
        <v>43649.0</v>
      </c>
      <c r="W250" s="5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</row>
    <row r="251" ht="60.0" customHeight="1">
      <c r="A251" s="14" t="str">
        <f>if(H251&lt;&gt;"",VLOOKUP(H251,ID!$A$2:$C$999,3,FALSE),"") </f>
        <v>BT0243</v>
      </c>
      <c r="B251" s="15" t="s">
        <v>0</v>
      </c>
      <c r="C251" s="16" t="s">
        <v>1</v>
      </c>
      <c r="D251" s="38" t="s">
        <v>1076</v>
      </c>
      <c r="E251" s="15" t="s">
        <v>1077</v>
      </c>
      <c r="F251" s="56">
        <v>3000.0</v>
      </c>
      <c r="G251" s="52" t="s">
        <v>1078</v>
      </c>
      <c r="H251" s="30" t="s">
        <v>1079</v>
      </c>
      <c r="I251" s="54" t="s">
        <v>1080</v>
      </c>
      <c r="J251" s="30" t="s">
        <v>1081</v>
      </c>
      <c r="K251" s="30" t="s">
        <v>8</v>
      </c>
      <c r="L251" s="54" t="s">
        <v>96</v>
      </c>
      <c r="M251" s="54" t="s">
        <v>945</v>
      </c>
      <c r="N251" s="66"/>
      <c r="O251" s="64">
        <v>43642.0</v>
      </c>
      <c r="P251" s="27">
        <v>43642.0</v>
      </c>
      <c r="Q251" s="61">
        <v>36.0</v>
      </c>
      <c r="R251" s="26">
        <f>IFERROR(__xludf.DUMMYFUNCTION("IF (OR( Q251 = """" , P251 =""""), """" , IF(Q251 = ""Menos de 1 mês"" , ""antes de ""&amp; TO_TEXT( EDATE(P251, 1)), EDATE(P251,Q251)))"),44738.0)</f>
        <v>44738</v>
      </c>
      <c r="S251" s="30">
        <v>4.0</v>
      </c>
      <c r="T251" s="56">
        <v>144000.0</v>
      </c>
      <c r="U251" s="56">
        <v>144000.0</v>
      </c>
      <c r="V251" s="64">
        <v>43649.0</v>
      </c>
      <c r="W251" s="5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</row>
    <row r="252" ht="60.0" customHeight="1">
      <c r="A252" s="14" t="str">
        <f>if(H252&lt;&gt;"",VLOOKUP(H252,ID!$A$2:$C$999,3,FALSE),"") </f>
        <v>BT0244</v>
      </c>
      <c r="B252" s="15" t="s">
        <v>0</v>
      </c>
      <c r="C252" s="16" t="s">
        <v>1</v>
      </c>
      <c r="D252" s="38" t="s">
        <v>1063</v>
      </c>
      <c r="E252" s="15" t="s">
        <v>1082</v>
      </c>
      <c r="F252" s="30">
        <v>180.0</v>
      </c>
      <c r="G252" s="52" t="s">
        <v>1083</v>
      </c>
      <c r="H252" s="30" t="s">
        <v>1084</v>
      </c>
      <c r="I252" s="54" t="s">
        <v>1028</v>
      </c>
      <c r="J252" s="30" t="s">
        <v>1029</v>
      </c>
      <c r="K252" s="30" t="s">
        <v>8</v>
      </c>
      <c r="L252" s="54" t="s">
        <v>30</v>
      </c>
      <c r="M252" s="54" t="s">
        <v>945</v>
      </c>
      <c r="N252" s="66"/>
      <c r="O252" s="64">
        <v>43642.0</v>
      </c>
      <c r="P252" s="27">
        <v>43642.0</v>
      </c>
      <c r="Q252" s="61">
        <v>36.0</v>
      </c>
      <c r="R252" s="26">
        <f>IFERROR(__xludf.DUMMYFUNCTION("IF (OR( Q252 = """" , P252 =""""), """" , IF(Q252 = ""Menos de 1 mês"" , ""antes de ""&amp; TO_TEXT( EDATE(P252, 1)), EDATE(P252,Q252)))"),44738.0)</f>
        <v>44738</v>
      </c>
      <c r="S252" s="30">
        <v>1.0</v>
      </c>
      <c r="T252" s="56">
        <v>28800.0</v>
      </c>
      <c r="U252" s="56">
        <v>28800.0</v>
      </c>
      <c r="V252" s="64">
        <v>43649.0</v>
      </c>
      <c r="W252" s="5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</row>
    <row r="253" ht="60.0" customHeight="1">
      <c r="A253" s="14" t="str">
        <f>if(H253&lt;&gt;"",VLOOKUP(H253,ID!$A$2:$C$999,3,FALSE),"") </f>
        <v>BT0245</v>
      </c>
      <c r="B253" s="15" t="s">
        <v>0</v>
      </c>
      <c r="C253" s="16" t="s">
        <v>1</v>
      </c>
      <c r="D253" s="38" t="s">
        <v>1063</v>
      </c>
      <c r="E253" s="15" t="s">
        <v>1085</v>
      </c>
      <c r="F253" s="30">
        <v>180.0</v>
      </c>
      <c r="G253" s="52" t="s">
        <v>1086</v>
      </c>
      <c r="H253" s="30" t="s">
        <v>1087</v>
      </c>
      <c r="I253" s="54" t="s">
        <v>1028</v>
      </c>
      <c r="J253" s="30" t="s">
        <v>1029</v>
      </c>
      <c r="K253" s="30" t="s">
        <v>8</v>
      </c>
      <c r="L253" s="54" t="s">
        <v>30</v>
      </c>
      <c r="M253" s="54" t="s">
        <v>945</v>
      </c>
      <c r="N253" s="66"/>
      <c r="O253" s="64">
        <v>43642.0</v>
      </c>
      <c r="P253" s="27">
        <v>43642.0</v>
      </c>
      <c r="Q253" s="61">
        <v>36.0</v>
      </c>
      <c r="R253" s="26">
        <f>IFERROR(__xludf.DUMMYFUNCTION("IF (OR( Q253 = """" , P253 =""""), """" , IF(Q253 = ""Menos de 1 mês"" , ""antes de ""&amp; TO_TEXT( EDATE(P253, 1)), EDATE(P253,Q253)))"),44738.0)</f>
        <v>44738</v>
      </c>
      <c r="S253" s="30">
        <v>1.0</v>
      </c>
      <c r="T253" s="56">
        <v>28800.0</v>
      </c>
      <c r="U253" s="56">
        <v>28800.0</v>
      </c>
      <c r="V253" s="64">
        <v>43649.0</v>
      </c>
      <c r="W253" s="5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</row>
    <row r="254" ht="60.0" customHeight="1">
      <c r="A254" s="14" t="str">
        <f>if(H254&lt;&gt;"",VLOOKUP(H254,ID!$A$2:$C$999,3,FALSE),"") </f>
        <v>BT0246</v>
      </c>
      <c r="B254" s="15" t="s">
        <v>0</v>
      </c>
      <c r="C254" s="16" t="s">
        <v>1</v>
      </c>
      <c r="D254" s="38" t="s">
        <v>33</v>
      </c>
      <c r="E254" s="15" t="s">
        <v>1088</v>
      </c>
      <c r="F254" s="56">
        <v>2060.0</v>
      </c>
      <c r="G254" s="52" t="s">
        <v>1089</v>
      </c>
      <c r="H254" s="30" t="s">
        <v>1090</v>
      </c>
      <c r="I254" s="54" t="s">
        <v>1028</v>
      </c>
      <c r="J254" s="30" t="s">
        <v>1029</v>
      </c>
      <c r="K254" s="30" t="s">
        <v>8</v>
      </c>
      <c r="L254" s="54" t="s">
        <v>9</v>
      </c>
      <c r="M254" s="54" t="s">
        <v>945</v>
      </c>
      <c r="N254" s="66"/>
      <c r="O254" s="27">
        <v>43642.0</v>
      </c>
      <c r="P254" s="27">
        <v>43642.0</v>
      </c>
      <c r="Q254" s="61">
        <v>36.0</v>
      </c>
      <c r="R254" s="26">
        <f>IFERROR(__xludf.DUMMYFUNCTION("IF (OR( Q254 = """" , P254 =""""), """" , IF(Q254 = ""Menos de 1 mês"" , ""antes de ""&amp; TO_TEXT( EDATE(P254, 1)), EDATE(P254,Q254)))"),44738.0)</f>
        <v>44738</v>
      </c>
      <c r="S254" s="30">
        <v>1.0</v>
      </c>
      <c r="T254" s="56">
        <v>64800.0</v>
      </c>
      <c r="U254" s="56">
        <v>64800.0</v>
      </c>
      <c r="V254" s="64">
        <v>43649.0</v>
      </c>
      <c r="W254" s="5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</row>
    <row r="255" ht="60.0" customHeight="1">
      <c r="A255" s="14" t="str">
        <f>if(H255&lt;&gt;"",VLOOKUP(H255,ID!$A$2:$C$999,3,FALSE),"") </f>
        <v>BT0247</v>
      </c>
      <c r="B255" s="15" t="s">
        <v>0</v>
      </c>
      <c r="C255" s="16" t="s">
        <v>1</v>
      </c>
      <c r="D255" s="38" t="s">
        <v>33</v>
      </c>
      <c r="E255" s="15" t="s">
        <v>1091</v>
      </c>
      <c r="F255" s="30">
        <v>300.0</v>
      </c>
      <c r="G255" s="52" t="s">
        <v>1092</v>
      </c>
      <c r="H255" s="30" t="s">
        <v>1093</v>
      </c>
      <c r="I255" s="54" t="s">
        <v>1028</v>
      </c>
      <c r="J255" s="30" t="s">
        <v>1029</v>
      </c>
      <c r="K255" s="30" t="s">
        <v>8</v>
      </c>
      <c r="L255" s="54" t="s">
        <v>9</v>
      </c>
      <c r="M255" s="54" t="s">
        <v>945</v>
      </c>
      <c r="N255" s="66"/>
      <c r="O255" s="64">
        <v>43642.0</v>
      </c>
      <c r="P255" s="27">
        <v>43642.0</v>
      </c>
      <c r="Q255" s="61">
        <v>36.0</v>
      </c>
      <c r="R255" s="26">
        <f>IFERROR(__xludf.DUMMYFUNCTION("IF (OR( Q255 = """" , P255 =""""), """" , IF(Q255 = ""Menos de 1 mês"" , ""antes de ""&amp; TO_TEXT( EDATE(P255, 1)), EDATE(P255,Q255)))"),44738.0)</f>
        <v>44738</v>
      </c>
      <c r="S255" s="30">
        <v>1.0</v>
      </c>
      <c r="T255" s="56">
        <v>43200.0</v>
      </c>
      <c r="U255" s="56">
        <v>43200.0</v>
      </c>
      <c r="V255" s="64">
        <v>43649.0</v>
      </c>
      <c r="W255" s="5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</row>
    <row r="256" ht="60.0" customHeight="1">
      <c r="A256" s="14" t="str">
        <f>if(H256&lt;&gt;"",VLOOKUP(H256,ID!$A$2:$C$999,3,FALSE),"") </f>
        <v>BT0248</v>
      </c>
      <c r="B256" s="15" t="s">
        <v>0</v>
      </c>
      <c r="C256" s="16" t="s">
        <v>1</v>
      </c>
      <c r="D256" s="38" t="s">
        <v>33</v>
      </c>
      <c r="E256" s="15" t="s">
        <v>1088</v>
      </c>
      <c r="F256" s="56">
        <v>50.0</v>
      </c>
      <c r="G256" s="52" t="s">
        <v>1094</v>
      </c>
      <c r="H256" s="30" t="s">
        <v>1095</v>
      </c>
      <c r="I256" s="54" t="s">
        <v>1028</v>
      </c>
      <c r="J256" s="30" t="s">
        <v>1029</v>
      </c>
      <c r="K256" s="30" t="s">
        <v>8</v>
      </c>
      <c r="L256" s="54" t="s">
        <v>30</v>
      </c>
      <c r="M256" s="54" t="s">
        <v>945</v>
      </c>
      <c r="N256" s="66"/>
      <c r="O256" s="64">
        <v>43650.0</v>
      </c>
      <c r="P256" s="27">
        <v>43650.0</v>
      </c>
      <c r="Q256" s="61">
        <v>36.0</v>
      </c>
      <c r="R256" s="26">
        <f>IFERROR(__xludf.DUMMYFUNCTION("IF (OR( Q256 = """" , P256 =""""), """" , IF(Q256 = ""Menos de 1 mês"" , ""antes de ""&amp; TO_TEXT( EDATE(P256, 1)), EDATE(P256,Q256)))"),44746.0)</f>
        <v>44746</v>
      </c>
      <c r="S256" s="30">
        <v>1.0</v>
      </c>
      <c r="T256" s="56">
        <v>28800.0</v>
      </c>
      <c r="U256" s="56">
        <v>28800.0</v>
      </c>
      <c r="V256" s="64">
        <v>43649.0</v>
      </c>
      <c r="W256" s="5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</row>
    <row r="257" ht="60.0" customHeight="1">
      <c r="A257" s="14" t="str">
        <f>if(H257&lt;&gt;"",VLOOKUP(H257,ID!$A$2:$C$999,3,FALSE),"") </f>
        <v>BT0249</v>
      </c>
      <c r="B257" s="15" t="s">
        <v>0</v>
      </c>
      <c r="C257" s="16" t="s">
        <v>1</v>
      </c>
      <c r="D257" s="38" t="s">
        <v>33</v>
      </c>
      <c r="E257" s="15" t="s">
        <v>1096</v>
      </c>
      <c r="F257" s="30">
        <v>183.0</v>
      </c>
      <c r="G257" s="52" t="s">
        <v>1097</v>
      </c>
      <c r="H257" s="30" t="s">
        <v>1098</v>
      </c>
      <c r="I257" s="54" t="s">
        <v>1099</v>
      </c>
      <c r="J257" s="30" t="s">
        <v>346</v>
      </c>
      <c r="K257" s="30" t="s">
        <v>8</v>
      </c>
      <c r="L257" s="54" t="s">
        <v>30</v>
      </c>
      <c r="M257" s="54" t="s">
        <v>945</v>
      </c>
      <c r="N257" s="66"/>
      <c r="O257" s="64">
        <v>43642.0</v>
      </c>
      <c r="P257" s="27">
        <v>43642.0</v>
      </c>
      <c r="Q257" s="61">
        <v>36.0</v>
      </c>
      <c r="R257" s="26">
        <f>IFERROR(__xludf.DUMMYFUNCTION("IF (OR( Q257 = """" , P257 =""""), """" , IF(Q257 = ""Menos de 1 mês"" , ""antes de ""&amp; TO_TEXT( EDATE(P257, 1)), EDATE(P257,Q257)))"),44738.0)</f>
        <v>44738</v>
      </c>
      <c r="S257" s="30">
        <v>1.0</v>
      </c>
      <c r="T257" s="56">
        <v>36000.0</v>
      </c>
      <c r="U257" s="56">
        <v>36000.0</v>
      </c>
      <c r="V257" s="64">
        <v>43649.0</v>
      </c>
      <c r="W257" s="5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</row>
    <row r="258" ht="60.0" customHeight="1">
      <c r="A258" s="14" t="str">
        <f>if(H258&lt;&gt;"",VLOOKUP(H258,ID!$A$2:$C$999,3,FALSE),"") </f>
        <v>BT0250</v>
      </c>
      <c r="B258" s="15" t="s">
        <v>0</v>
      </c>
      <c r="C258" s="16" t="s">
        <v>1</v>
      </c>
      <c r="D258" s="38" t="s">
        <v>33</v>
      </c>
      <c r="E258" s="15" t="s">
        <v>1045</v>
      </c>
      <c r="F258" s="56">
        <v>1114.0</v>
      </c>
      <c r="G258" s="52" t="s">
        <v>1100</v>
      </c>
      <c r="H258" s="30" t="s">
        <v>1101</v>
      </c>
      <c r="I258" s="54" t="s">
        <v>1099</v>
      </c>
      <c r="J258" s="30" t="s">
        <v>346</v>
      </c>
      <c r="K258" s="30" t="s">
        <v>8</v>
      </c>
      <c r="L258" s="54" t="s">
        <v>9</v>
      </c>
      <c r="M258" s="54" t="s">
        <v>945</v>
      </c>
      <c r="N258" s="66"/>
      <c r="O258" s="27">
        <v>44502.0</v>
      </c>
      <c r="P258" s="27">
        <v>44502.0</v>
      </c>
      <c r="Q258" s="61">
        <v>36.0</v>
      </c>
      <c r="R258" s="26">
        <f>IFERROR(__xludf.DUMMYFUNCTION("IF (OR( Q258 = """" , P258 =""""), """" , IF(Q258 = ""Menos de 1 mês"" , ""antes de ""&amp; TO_TEXT( EDATE(P258, 1)), EDATE(P258,Q258)))"),45598.0)</f>
        <v>45598</v>
      </c>
      <c r="S258" s="30">
        <v>1.0</v>
      </c>
      <c r="T258" s="56">
        <v>36000.0</v>
      </c>
      <c r="U258" s="56">
        <v>36000.0</v>
      </c>
      <c r="V258" s="64">
        <v>44230.0</v>
      </c>
      <c r="W258" s="5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</row>
    <row r="259" ht="60.0" customHeight="1">
      <c r="A259" s="14" t="str">
        <f>if(H259&lt;&gt;"",VLOOKUP(H259,ID!$A$2:$C$999,3,FALSE),"") </f>
        <v>BT0251</v>
      </c>
      <c r="B259" s="15" t="s">
        <v>0</v>
      </c>
      <c r="C259" s="16" t="s">
        <v>1</v>
      </c>
      <c r="D259" s="38" t="s">
        <v>46</v>
      </c>
      <c r="E259" s="15" t="s">
        <v>1102</v>
      </c>
      <c r="F259" s="56">
        <v>2841.0</v>
      </c>
      <c r="G259" s="52" t="s">
        <v>1103</v>
      </c>
      <c r="H259" s="30" t="s">
        <v>1104</v>
      </c>
      <c r="I259" s="54" t="s">
        <v>1105</v>
      </c>
      <c r="J259" s="30" t="s">
        <v>1106</v>
      </c>
      <c r="K259" s="30" t="s">
        <v>8</v>
      </c>
      <c r="L259" s="54" t="s">
        <v>9</v>
      </c>
      <c r="M259" s="54" t="s">
        <v>945</v>
      </c>
      <c r="N259" s="66"/>
      <c r="O259" s="64">
        <v>43651.0</v>
      </c>
      <c r="P259" s="27">
        <v>43651.0</v>
      </c>
      <c r="Q259" s="61">
        <v>36.0</v>
      </c>
      <c r="R259" s="26">
        <f>IFERROR(__xludf.DUMMYFUNCTION("IF (OR( Q259 = """" , P259 =""""), """" , IF(Q259 = ""Menos de 1 mês"" , ""antes de ""&amp; TO_TEXT( EDATE(P259, 1)), EDATE(P259,Q259)))"),44747.0)</f>
        <v>44747</v>
      </c>
      <c r="S259" s="30">
        <v>1.0</v>
      </c>
      <c r="T259" s="56">
        <v>18000.0</v>
      </c>
      <c r="U259" s="56">
        <v>18000.0</v>
      </c>
      <c r="V259" s="64">
        <v>43656.0</v>
      </c>
      <c r="W259" s="5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</row>
    <row r="260" ht="60.0" customHeight="1">
      <c r="A260" s="14" t="str">
        <f>if(H260&lt;&gt;"",VLOOKUP(H260,ID!$A$2:$C$999,3,FALSE),"") </f>
        <v>BT0252</v>
      </c>
      <c r="B260" s="15" t="s">
        <v>0</v>
      </c>
      <c r="C260" s="16" t="s">
        <v>1</v>
      </c>
      <c r="D260" s="38" t="s">
        <v>46</v>
      </c>
      <c r="E260" s="15" t="s">
        <v>1107</v>
      </c>
      <c r="F260" s="56">
        <v>8150.0</v>
      </c>
      <c r="G260" s="52" t="s">
        <v>1108</v>
      </c>
      <c r="H260" s="30" t="s">
        <v>1109</v>
      </c>
      <c r="I260" s="54" t="s">
        <v>1099</v>
      </c>
      <c r="J260" s="30" t="s">
        <v>346</v>
      </c>
      <c r="K260" s="30" t="s">
        <v>8</v>
      </c>
      <c r="L260" s="54" t="s">
        <v>9</v>
      </c>
      <c r="M260" s="54" t="s">
        <v>945</v>
      </c>
      <c r="N260" s="66"/>
      <c r="O260" s="64">
        <v>43657.0</v>
      </c>
      <c r="P260" s="27">
        <v>43657.0</v>
      </c>
      <c r="Q260" s="61">
        <v>36.0</v>
      </c>
      <c r="R260" s="26">
        <f>IFERROR(__xludf.DUMMYFUNCTION("IF (OR( Q260 = """" , P260 =""""), """" , IF(Q260 = ""Menos de 1 mês"" , ""antes de ""&amp; TO_TEXT( EDATE(P260, 1)), EDATE(P260,Q260)))"),44753.0)</f>
        <v>44753</v>
      </c>
      <c r="S260" s="30">
        <v>5.0</v>
      </c>
      <c r="T260" s="56">
        <v>79430.4</v>
      </c>
      <c r="U260" s="56">
        <v>79430.0</v>
      </c>
      <c r="V260" s="64">
        <v>43657.0</v>
      </c>
      <c r="W260" s="5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</row>
    <row r="261" ht="60.0" customHeight="1">
      <c r="A261" s="14" t="str">
        <f>if(H261&lt;&gt;"",VLOOKUP(H261,ID!$A$2:$C$999,3,FALSE),"") </f>
        <v>BT0253</v>
      </c>
      <c r="B261" s="15" t="s">
        <v>0</v>
      </c>
      <c r="C261" s="16" t="s">
        <v>1</v>
      </c>
      <c r="D261" s="38" t="s">
        <v>2</v>
      </c>
      <c r="E261" s="15" t="s">
        <v>1110</v>
      </c>
      <c r="F261" s="30">
        <v>1650.0</v>
      </c>
      <c r="G261" s="52" t="s">
        <v>1111</v>
      </c>
      <c r="H261" s="30" t="s">
        <v>1112</v>
      </c>
      <c r="I261" s="54" t="s">
        <v>1113</v>
      </c>
      <c r="J261" s="30" t="s">
        <v>1114</v>
      </c>
      <c r="K261" s="30" t="s">
        <v>8</v>
      </c>
      <c r="L261" s="54" t="s">
        <v>9</v>
      </c>
      <c r="M261" s="54" t="s">
        <v>945</v>
      </c>
      <c r="N261" s="66"/>
      <c r="O261" s="31" t="s">
        <v>525</v>
      </c>
      <c r="P261" s="31" t="s">
        <v>525</v>
      </c>
      <c r="Q261" s="61">
        <v>36.0</v>
      </c>
      <c r="R261" s="26" t="str">
        <f>IFERROR(__xludf.DUMMYFUNCTION("IF (OR( Q261 = """" , P261 =""""), """" , IF(Q261 = ""Menos de 1 mês"" , ""antes de ""&amp; TO_TEXT( EDATE(P261, 1)), EDATE(P261,Q261)))"),"#VALUE!")</f>
        <v>#VALUE!</v>
      </c>
      <c r="S261" s="30">
        <v>1.0</v>
      </c>
      <c r="T261" s="56">
        <v>54000.0</v>
      </c>
      <c r="U261" s="56">
        <v>54000.0</v>
      </c>
      <c r="V261" s="31" t="s">
        <v>730</v>
      </c>
      <c r="W261" s="5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</row>
    <row r="262" ht="60.0" customHeight="1">
      <c r="A262" s="14" t="str">
        <f>if(H262&lt;&gt;"",VLOOKUP(H262,ID!$A$2:$C$999,3,FALSE),"") </f>
        <v>BT0254</v>
      </c>
      <c r="B262" s="15" t="s">
        <v>0</v>
      </c>
      <c r="C262" s="16" t="s">
        <v>1</v>
      </c>
      <c r="D262" s="38" t="s">
        <v>46</v>
      </c>
      <c r="E262" s="15" t="s">
        <v>1115</v>
      </c>
      <c r="F262" s="56">
        <v>520.0</v>
      </c>
      <c r="G262" s="52" t="s">
        <v>1116</v>
      </c>
      <c r="H262" s="30" t="s">
        <v>1117</v>
      </c>
      <c r="I262" s="54" t="s">
        <v>1118</v>
      </c>
      <c r="J262" s="30" t="s">
        <v>1119</v>
      </c>
      <c r="K262" s="30" t="s">
        <v>8</v>
      </c>
      <c r="L262" s="54" t="s">
        <v>9</v>
      </c>
      <c r="M262" s="54" t="s">
        <v>622</v>
      </c>
      <c r="N262" s="66"/>
      <c r="O262" s="31" t="s">
        <v>1120</v>
      </c>
      <c r="P262" s="31" t="s">
        <v>1120</v>
      </c>
      <c r="Q262" s="61">
        <v>36.0</v>
      </c>
      <c r="R262" s="26" t="str">
        <f>IFERROR(__xludf.DUMMYFUNCTION("IF (OR( Q262 = """" , P262 =""""), """" , IF(Q262 = ""Menos de 1 mês"" , ""antes de ""&amp; TO_TEXT( EDATE(P262, 1)), EDATE(P262,Q262)))"),"#VALUE!")</f>
        <v>#VALUE!</v>
      </c>
      <c r="S262" s="30">
        <v>1.0</v>
      </c>
      <c r="T262" s="56" t="s">
        <v>1121</v>
      </c>
      <c r="U262" s="56" t="s">
        <v>1121</v>
      </c>
      <c r="V262" s="64">
        <v>44625.0</v>
      </c>
      <c r="W262" s="5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</row>
    <row r="263" ht="60.0" customHeight="1">
      <c r="A263" s="14" t="str">
        <f>if(H263&lt;&gt;"",VLOOKUP(H263,ID!$A$2:$C$999,3,FALSE),"") </f>
        <v>BT0255</v>
      </c>
      <c r="B263" s="15" t="s">
        <v>0</v>
      </c>
      <c r="C263" s="16" t="s">
        <v>1</v>
      </c>
      <c r="D263" s="38" t="s">
        <v>33</v>
      </c>
      <c r="E263" s="15" t="s">
        <v>1122</v>
      </c>
      <c r="F263" s="56">
        <v>4737.0</v>
      </c>
      <c r="G263" s="52" t="s">
        <v>1123</v>
      </c>
      <c r="H263" s="30" t="s">
        <v>1124</v>
      </c>
      <c r="I263" s="54" t="s">
        <v>1099</v>
      </c>
      <c r="J263" s="30" t="s">
        <v>346</v>
      </c>
      <c r="K263" s="30" t="s">
        <v>8</v>
      </c>
      <c r="L263" s="54" t="s">
        <v>9</v>
      </c>
      <c r="M263" s="54" t="s">
        <v>945</v>
      </c>
      <c r="N263" s="66"/>
      <c r="O263" s="27">
        <v>43662.0</v>
      </c>
      <c r="P263" s="27">
        <v>43662.0</v>
      </c>
      <c r="Q263" s="61">
        <v>36.0</v>
      </c>
      <c r="R263" s="26">
        <f>IFERROR(__xludf.DUMMYFUNCTION("IF (OR( Q263 = """" , P263 =""""), """" , IF(Q263 = ""Menos de 1 mês"" , ""antes de ""&amp; TO_TEXT( EDATE(P263, 1)), EDATE(P263,Q263)))"),44758.0)</f>
        <v>44758</v>
      </c>
      <c r="S263" s="30">
        <v>3.0</v>
      </c>
      <c r="T263" s="56">
        <v>23828.0</v>
      </c>
      <c r="U263" s="56">
        <v>23828.0</v>
      </c>
      <c r="V263" s="64">
        <v>43664.0</v>
      </c>
      <c r="W263" s="5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</row>
    <row r="264" ht="60.0" customHeight="1">
      <c r="A264" s="14" t="str">
        <f>if(H264&lt;&gt;"",VLOOKUP(H264,ID!$A$2:$C$999,3,FALSE),"") </f>
        <v>BT0256</v>
      </c>
      <c r="B264" s="15" t="s">
        <v>0</v>
      </c>
      <c r="C264" s="16" t="s">
        <v>1</v>
      </c>
      <c r="D264" s="38" t="s">
        <v>33</v>
      </c>
      <c r="E264" s="15" t="s">
        <v>1125</v>
      </c>
      <c r="F264" s="30">
        <v>577.0</v>
      </c>
      <c r="G264" s="52" t="s">
        <v>1126</v>
      </c>
      <c r="H264" s="30" t="s">
        <v>1127</v>
      </c>
      <c r="I264" s="54" t="s">
        <v>1128</v>
      </c>
      <c r="J264" s="30" t="s">
        <v>1129</v>
      </c>
      <c r="K264" s="30" t="s">
        <v>8</v>
      </c>
      <c r="L264" s="54" t="s">
        <v>30</v>
      </c>
      <c r="M264" s="54" t="s">
        <v>945</v>
      </c>
      <c r="N264" s="66"/>
      <c r="O264" s="27">
        <v>43702.0</v>
      </c>
      <c r="P264" s="27">
        <v>43702.0</v>
      </c>
      <c r="Q264" s="61">
        <v>36.0</v>
      </c>
      <c r="R264" s="26">
        <f>IFERROR(__xludf.DUMMYFUNCTION("IF (OR( Q264 = """" , P264 =""""), """" , IF(Q264 = ""Menos de 1 mês"" , ""antes de ""&amp; TO_TEXT( EDATE(P264, 1)), EDATE(P264,Q264)))"),44798.0)</f>
        <v>44798</v>
      </c>
      <c r="S264" s="30">
        <v>1.0</v>
      </c>
      <c r="T264" s="56">
        <v>28800.0</v>
      </c>
      <c r="U264" s="56">
        <v>28800.0</v>
      </c>
      <c r="V264" s="64">
        <v>43665.0</v>
      </c>
      <c r="W264" s="5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</row>
    <row r="265" ht="60.0" customHeight="1">
      <c r="A265" s="14" t="str">
        <f>if(H265&lt;&gt;"",VLOOKUP(H265,ID!$A$2:$C$999,3,FALSE),"") </f>
        <v>BT0257</v>
      </c>
      <c r="B265" s="15" t="s">
        <v>0</v>
      </c>
      <c r="C265" s="16" t="s">
        <v>1</v>
      </c>
      <c r="D265" s="38" t="s">
        <v>33</v>
      </c>
      <c r="E265" s="15" t="s">
        <v>1130</v>
      </c>
      <c r="F265" s="56">
        <v>5800.0</v>
      </c>
      <c r="G265" s="52" t="s">
        <v>1131</v>
      </c>
      <c r="H265" s="30" t="s">
        <v>1132</v>
      </c>
      <c r="I265" s="54" t="s">
        <v>1133</v>
      </c>
      <c r="J265" s="30" t="s">
        <v>174</v>
      </c>
      <c r="K265" s="30" t="s">
        <v>8</v>
      </c>
      <c r="L265" s="54" t="s">
        <v>9</v>
      </c>
      <c r="M265" s="54" t="s">
        <v>945</v>
      </c>
      <c r="N265" s="66"/>
      <c r="O265" s="27">
        <v>43691.0</v>
      </c>
      <c r="P265" s="27">
        <v>43691.0</v>
      </c>
      <c r="Q265" s="61">
        <v>36.0</v>
      </c>
      <c r="R265" s="26">
        <f>IFERROR(__xludf.DUMMYFUNCTION("IF (OR( Q265 = """" , P265 =""""), """" , IF(Q265 = ""Menos de 1 mês"" , ""antes de ""&amp; TO_TEXT( EDATE(P265, 1)), EDATE(P265,Q265)))"),44787.0)</f>
        <v>44787</v>
      </c>
      <c r="S265" s="30">
        <v>1.0</v>
      </c>
      <c r="T265" s="56">
        <v>306000.0</v>
      </c>
      <c r="U265" s="56">
        <v>306000.0</v>
      </c>
      <c r="V265" s="64">
        <v>43683.0</v>
      </c>
      <c r="W265" s="5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</row>
    <row r="266" ht="60.0" customHeight="1">
      <c r="A266" s="14" t="str">
        <f>if(H266&lt;&gt;"",VLOOKUP(H266,ID!$A$2:$C$999,3,FALSE),"") </f>
        <v>BT0258</v>
      </c>
      <c r="B266" s="15" t="s">
        <v>0</v>
      </c>
      <c r="C266" s="16" t="s">
        <v>1</v>
      </c>
      <c r="D266" s="38" t="s">
        <v>33</v>
      </c>
      <c r="E266" s="15" t="s">
        <v>1134</v>
      </c>
      <c r="F266" s="56">
        <v>2700.0</v>
      </c>
      <c r="G266" s="52" t="s">
        <v>1135</v>
      </c>
      <c r="H266" s="30" t="s">
        <v>1136</v>
      </c>
      <c r="I266" s="54" t="s">
        <v>1099</v>
      </c>
      <c r="J266" s="30" t="s">
        <v>1137</v>
      </c>
      <c r="K266" s="30" t="s">
        <v>8</v>
      </c>
      <c r="L266" s="54" t="s">
        <v>30</v>
      </c>
      <c r="M266" s="54" t="s">
        <v>945</v>
      </c>
      <c r="N266" s="66"/>
      <c r="O266" s="27">
        <v>43691.0</v>
      </c>
      <c r="P266" s="27">
        <v>43691.0</v>
      </c>
      <c r="Q266" s="61">
        <v>36.0</v>
      </c>
      <c r="R266" s="26">
        <f>IFERROR(__xludf.DUMMYFUNCTION("IF (OR( Q266 = """" , P266 =""""), """" , IF(Q266 = ""Menos de 1 mês"" , ""antes de ""&amp; TO_TEXT( EDATE(P266, 1)), EDATE(P266,Q266)))"),44787.0)</f>
        <v>44787</v>
      </c>
      <c r="S266" s="30">
        <v>1.0</v>
      </c>
      <c r="T266" s="56">
        <v>79416.0</v>
      </c>
      <c r="U266" s="56">
        <v>79416.0</v>
      </c>
      <c r="V266" s="64">
        <v>43676.0</v>
      </c>
      <c r="W266" s="5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</row>
    <row r="267" ht="60.0" customHeight="1">
      <c r="A267" s="14" t="str">
        <f>if(H267&lt;&gt;"",VLOOKUP(H267,ID!$A$2:$C$999,3,FALSE),"") </f>
        <v>BT0054</v>
      </c>
      <c r="B267" s="15" t="s">
        <v>0</v>
      </c>
      <c r="C267" s="16" t="s">
        <v>1</v>
      </c>
      <c r="D267" s="38" t="s">
        <v>155</v>
      </c>
      <c r="E267" s="15" t="s">
        <v>1138</v>
      </c>
      <c r="F267" s="56">
        <v>3700.0</v>
      </c>
      <c r="G267" s="52" t="s">
        <v>1139</v>
      </c>
      <c r="H267" s="30" t="s">
        <v>277</v>
      </c>
      <c r="I267" s="54" t="s">
        <v>278</v>
      </c>
      <c r="J267" s="30" t="s">
        <v>279</v>
      </c>
      <c r="K267" s="30" t="s">
        <v>8</v>
      </c>
      <c r="L267" s="54" t="s">
        <v>9</v>
      </c>
      <c r="M267" s="54" t="s">
        <v>945</v>
      </c>
      <c r="N267" s="66"/>
      <c r="O267" s="27">
        <v>43679.0</v>
      </c>
      <c r="P267" s="27">
        <v>43679.0</v>
      </c>
      <c r="Q267" s="61">
        <v>36.0</v>
      </c>
      <c r="R267" s="26">
        <f>IFERROR(__xludf.DUMMYFUNCTION("IF (OR( Q267 = """" , P267 =""""), """" , IF(Q267 = ""Menos de 1 mês"" , ""antes de ""&amp; TO_TEXT( EDATE(P267, 1)), EDATE(P267,Q267)))"),44775.0)</f>
        <v>44775</v>
      </c>
      <c r="S267" s="30">
        <v>2.0</v>
      </c>
      <c r="T267" s="56">
        <v>72000.0</v>
      </c>
      <c r="U267" s="56">
        <v>72000.0</v>
      </c>
      <c r="V267" s="64">
        <v>43678.0</v>
      </c>
      <c r="W267" s="5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</row>
    <row r="268" ht="60.0" customHeight="1">
      <c r="A268" s="14" t="str">
        <f>if(H268&lt;&gt;"",VLOOKUP(H268,ID!$A$2:$C$999,3,FALSE),"") </f>
        <v>BT0259</v>
      </c>
      <c r="B268" s="15" t="s">
        <v>0</v>
      </c>
      <c r="C268" s="16" t="s">
        <v>1</v>
      </c>
      <c r="D268" s="38" t="s">
        <v>33</v>
      </c>
      <c r="E268" s="15" t="s">
        <v>1140</v>
      </c>
      <c r="F268" s="30">
        <v>157.0</v>
      </c>
      <c r="G268" s="52" t="s">
        <v>1141</v>
      </c>
      <c r="H268" s="30" t="s">
        <v>1142</v>
      </c>
      <c r="I268" s="54" t="s">
        <v>1143</v>
      </c>
      <c r="J268" s="30" t="s">
        <v>1144</v>
      </c>
      <c r="K268" s="30" t="s">
        <v>8</v>
      </c>
      <c r="L268" s="54" t="s">
        <v>30</v>
      </c>
      <c r="M268" s="54" t="s">
        <v>945</v>
      </c>
      <c r="N268" s="66"/>
      <c r="O268" s="27">
        <v>43691.0</v>
      </c>
      <c r="P268" s="27">
        <v>43691.0</v>
      </c>
      <c r="Q268" s="61">
        <v>36.0</v>
      </c>
      <c r="R268" s="26">
        <f>IFERROR(__xludf.DUMMYFUNCTION("IF (OR( Q268 = """" , P268 =""""), """" , IF(Q268 = ""Menos de 1 mês"" , ""antes de ""&amp; TO_TEXT( EDATE(P268, 1)), EDATE(P268,Q268)))"),44787.0)</f>
        <v>44787</v>
      </c>
      <c r="S268" s="30">
        <v>1.0</v>
      </c>
      <c r="T268" s="56">
        <v>18000.0</v>
      </c>
      <c r="U268" s="56">
        <v>18000.0</v>
      </c>
      <c r="V268" s="64">
        <v>43683.0</v>
      </c>
      <c r="W268" s="5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</row>
    <row r="269" ht="60.0" customHeight="1">
      <c r="A269" s="14" t="str">
        <f>if(H269&lt;&gt;"",VLOOKUP(H269,ID!$A$2:$C$999,3,FALSE),"") </f>
        <v>BT0260</v>
      </c>
      <c r="B269" s="15" t="s">
        <v>0</v>
      </c>
      <c r="C269" s="16" t="s">
        <v>1</v>
      </c>
      <c r="D269" s="38" t="s">
        <v>33</v>
      </c>
      <c r="E269" s="15" t="s">
        <v>1145</v>
      </c>
      <c r="F269" s="56">
        <v>1009.0</v>
      </c>
      <c r="G269" s="52" t="s">
        <v>1146</v>
      </c>
      <c r="H269" s="30" t="s">
        <v>1147</v>
      </c>
      <c r="I269" s="54" t="s">
        <v>1143</v>
      </c>
      <c r="J269" s="30" t="s">
        <v>1144</v>
      </c>
      <c r="K269" s="30" t="s">
        <v>8</v>
      </c>
      <c r="L269" s="54" t="s">
        <v>9</v>
      </c>
      <c r="M269" s="54" t="s">
        <v>945</v>
      </c>
      <c r="N269" s="27"/>
      <c r="O269" s="27">
        <v>43691.0</v>
      </c>
      <c r="P269" s="27">
        <v>43691.0</v>
      </c>
      <c r="Q269" s="61">
        <v>36.0</v>
      </c>
      <c r="R269" s="26">
        <f>IFERROR(__xludf.DUMMYFUNCTION("IF (OR( Q269 = """" , P269 =""""), """" , IF(Q269 = ""Menos de 1 mês"" , ""antes de ""&amp; TO_TEXT( EDATE(P269, 1)), EDATE(P269,Q269)))"),44787.0)</f>
        <v>44787</v>
      </c>
      <c r="S269" s="30">
        <v>1.0</v>
      </c>
      <c r="T269" s="56">
        <v>18000.0</v>
      </c>
      <c r="U269" s="56">
        <v>18000.0</v>
      </c>
      <c r="V269" s="64">
        <v>43683.0</v>
      </c>
      <c r="W269" s="5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</row>
    <row r="270" ht="60.0" customHeight="1">
      <c r="A270" s="14" t="str">
        <f>if(H270&lt;&gt;"",VLOOKUP(H270,ID!$A$2:$C$999,3,FALSE),"") </f>
        <v>BT0032</v>
      </c>
      <c r="B270" s="15" t="s">
        <v>0</v>
      </c>
      <c r="C270" s="16" t="s">
        <v>1</v>
      </c>
      <c r="D270" s="38" t="s">
        <v>33</v>
      </c>
      <c r="E270" s="15" t="s">
        <v>1148</v>
      </c>
      <c r="F270" s="56">
        <v>1097.0</v>
      </c>
      <c r="G270" s="52" t="s">
        <v>167</v>
      </c>
      <c r="H270" s="30" t="s">
        <v>168</v>
      </c>
      <c r="I270" s="54" t="s">
        <v>1149</v>
      </c>
      <c r="J270" s="30" t="s">
        <v>165</v>
      </c>
      <c r="K270" s="30" t="s">
        <v>8</v>
      </c>
      <c r="L270" s="54" t="s">
        <v>9</v>
      </c>
      <c r="M270" s="54" t="s">
        <v>945</v>
      </c>
      <c r="N270" s="27"/>
      <c r="O270" s="27">
        <v>43679.0</v>
      </c>
      <c r="P270" s="27">
        <v>43679.0</v>
      </c>
      <c r="Q270" s="61">
        <v>36.0</v>
      </c>
      <c r="R270" s="26">
        <f>IFERROR(__xludf.DUMMYFUNCTION("IF (OR( Q270 = """" , P270 =""""), """" , IF(Q270 = ""Menos de 1 mês"" , ""antes de ""&amp; TO_TEXT( EDATE(P270, 1)), EDATE(P270,Q270)))"),44775.0)</f>
        <v>44775</v>
      </c>
      <c r="S270" s="30">
        <v>1.0</v>
      </c>
      <c r="T270" s="56">
        <v>342000.0</v>
      </c>
      <c r="U270" s="56">
        <v>342000.0</v>
      </c>
      <c r="V270" s="64">
        <v>43683.0</v>
      </c>
      <c r="W270" s="5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</row>
    <row r="271" ht="60.0" customHeight="1">
      <c r="A271" s="14" t="str">
        <f>if(H271&lt;&gt;"",VLOOKUP(H271,ID!$A$2:$C$999,3,FALSE),"") </f>
        <v>BT0261</v>
      </c>
      <c r="B271" s="15" t="s">
        <v>0</v>
      </c>
      <c r="C271" s="16" t="s">
        <v>1</v>
      </c>
      <c r="D271" s="38" t="s">
        <v>178</v>
      </c>
      <c r="E271" s="15" t="s">
        <v>1150</v>
      </c>
      <c r="F271" s="30">
        <v>440.0</v>
      </c>
      <c r="G271" s="52" t="s">
        <v>1151</v>
      </c>
      <c r="H271" s="30" t="s">
        <v>1152</v>
      </c>
      <c r="I271" s="54" t="s">
        <v>1153</v>
      </c>
      <c r="J271" s="30" t="s">
        <v>1154</v>
      </c>
      <c r="K271" s="30" t="s">
        <v>8</v>
      </c>
      <c r="L271" s="54" t="s">
        <v>9</v>
      </c>
      <c r="M271" s="54" t="s">
        <v>945</v>
      </c>
      <c r="N271" s="27"/>
      <c r="O271" s="27">
        <v>43699.0</v>
      </c>
      <c r="P271" s="27">
        <v>43699.0</v>
      </c>
      <c r="Q271" s="61">
        <v>36.0</v>
      </c>
      <c r="R271" s="26">
        <f>IFERROR(__xludf.DUMMYFUNCTION("IF (OR( Q271 = """" , P271 =""""), """" , IF(Q271 = ""Menos de 1 mês"" , ""antes de ""&amp; TO_TEXT( EDATE(P271, 1)), EDATE(P271,Q271)))"),44795.0)</f>
        <v>44795</v>
      </c>
      <c r="S271" s="30">
        <v>1.0</v>
      </c>
      <c r="T271" s="56">
        <v>18000.0</v>
      </c>
      <c r="U271" s="56">
        <v>18000.0</v>
      </c>
      <c r="V271" s="64">
        <v>43699.0</v>
      </c>
      <c r="W271" s="5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</row>
    <row r="272" ht="60.0" customHeight="1">
      <c r="A272" s="14" t="str">
        <f>if(H272&lt;&gt;"",VLOOKUP(H272,ID!$A$2:$C$999,3,FALSE),"") </f>
        <v>BT0262</v>
      </c>
      <c r="B272" s="15" t="s">
        <v>0</v>
      </c>
      <c r="C272" s="16" t="s">
        <v>1</v>
      </c>
      <c r="D272" s="38" t="s">
        <v>33</v>
      </c>
      <c r="E272" s="15" t="s">
        <v>1155</v>
      </c>
      <c r="F272" s="56">
        <v>1080.0</v>
      </c>
      <c r="G272" s="52" t="s">
        <v>1156</v>
      </c>
      <c r="H272" s="30" t="s">
        <v>1157</v>
      </c>
      <c r="I272" s="54" t="s">
        <v>1149</v>
      </c>
      <c r="J272" s="30" t="s">
        <v>165</v>
      </c>
      <c r="K272" s="30" t="s">
        <v>8</v>
      </c>
      <c r="L272" s="54" t="s">
        <v>30</v>
      </c>
      <c r="M272" s="54" t="s">
        <v>945</v>
      </c>
      <c r="N272" s="27"/>
      <c r="O272" s="27">
        <v>43699.0</v>
      </c>
      <c r="P272" s="27">
        <v>43699.0</v>
      </c>
      <c r="Q272" s="61">
        <v>36.0</v>
      </c>
      <c r="R272" s="26">
        <f>IFERROR(__xludf.DUMMYFUNCTION("IF (OR( Q272 = """" , P272 =""""), """" , IF(Q272 = ""Menos de 1 mês"" , ""antes de ""&amp; TO_TEXT( EDATE(P272, 1)), EDATE(P272,Q272)))"),44795.0)</f>
        <v>44795</v>
      </c>
      <c r="S272" s="30">
        <v>1.0</v>
      </c>
      <c r="T272" s="56">
        <v>288000.0</v>
      </c>
      <c r="U272" s="56">
        <v>288000.0</v>
      </c>
      <c r="V272" s="64">
        <v>43699.0</v>
      </c>
      <c r="W272" s="5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</row>
    <row r="273" ht="60.0" customHeight="1">
      <c r="A273" s="14" t="str">
        <f>if(H273&lt;&gt;"",VLOOKUP(H273,ID!$A$2:$C$999,3,FALSE),"") </f>
        <v>BT0263</v>
      </c>
      <c r="B273" s="15" t="s">
        <v>0</v>
      </c>
      <c r="C273" s="16" t="s">
        <v>1</v>
      </c>
      <c r="D273" s="38" t="s">
        <v>33</v>
      </c>
      <c r="E273" s="15" t="s">
        <v>1158</v>
      </c>
      <c r="F273" s="30">
        <v>980.0</v>
      </c>
      <c r="G273" s="52" t="s">
        <v>1159</v>
      </c>
      <c r="H273" s="30" t="s">
        <v>1160</v>
      </c>
      <c r="I273" s="54" t="s">
        <v>1149</v>
      </c>
      <c r="J273" s="30" t="s">
        <v>165</v>
      </c>
      <c r="K273" s="30" t="s">
        <v>8</v>
      </c>
      <c r="L273" s="54" t="s">
        <v>9</v>
      </c>
      <c r="M273" s="54" t="s">
        <v>945</v>
      </c>
      <c r="N273" s="27"/>
      <c r="O273" s="27">
        <v>43699.0</v>
      </c>
      <c r="P273" s="27">
        <v>43699.0</v>
      </c>
      <c r="Q273" s="61">
        <v>36.0</v>
      </c>
      <c r="R273" s="26">
        <f>IFERROR(__xludf.DUMMYFUNCTION("IF (OR( Q273 = """" , P273 =""""), """" , IF(Q273 = ""Menos de 1 mês"" , ""antes de ""&amp; TO_TEXT( EDATE(P273, 1)), EDATE(P273,Q273)))"),44795.0)</f>
        <v>44795</v>
      </c>
      <c r="S273" s="30">
        <v>1.0</v>
      </c>
      <c r="T273" s="56">
        <v>216000.0</v>
      </c>
      <c r="U273" s="56">
        <v>216000.0</v>
      </c>
      <c r="V273" s="64">
        <v>43699.0</v>
      </c>
      <c r="W273" s="5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</row>
    <row r="274" ht="60.0" customHeight="1">
      <c r="A274" s="14" t="str">
        <f>if(H274&lt;&gt;"",VLOOKUP(H274,ID!$A$2:$C$999,3,FALSE),"") </f>
        <v>BT0264</v>
      </c>
      <c r="B274" s="15" t="s">
        <v>0</v>
      </c>
      <c r="C274" s="16" t="s">
        <v>1</v>
      </c>
      <c r="D274" s="38" t="s">
        <v>155</v>
      </c>
      <c r="E274" s="15" t="s">
        <v>1161</v>
      </c>
      <c r="F274" s="30">
        <v>212.0</v>
      </c>
      <c r="G274" s="52" t="s">
        <v>1162</v>
      </c>
      <c r="H274" s="30" t="s">
        <v>1163</v>
      </c>
      <c r="I274" s="54" t="s">
        <v>1164</v>
      </c>
      <c r="J274" s="30" t="s">
        <v>1165</v>
      </c>
      <c r="K274" s="30" t="s">
        <v>8</v>
      </c>
      <c r="L274" s="54" t="s">
        <v>30</v>
      </c>
      <c r="M274" s="54" t="s">
        <v>945</v>
      </c>
      <c r="N274" s="66"/>
      <c r="O274" s="27">
        <v>43781.0</v>
      </c>
      <c r="P274" s="27">
        <v>43781.0</v>
      </c>
      <c r="Q274" s="61">
        <v>36.0</v>
      </c>
      <c r="R274" s="26">
        <f>IFERROR(__xludf.DUMMYFUNCTION("IF (OR( Q274 = """" , P274 =""""), """" , IF(Q274 = ""Menos de 1 mês"" , ""antes de ""&amp; TO_TEXT( EDATE(P274, 1)), EDATE(P274,Q274)))"),44877.0)</f>
        <v>44877</v>
      </c>
      <c r="S274" s="30">
        <v>1.0</v>
      </c>
      <c r="T274" s="56">
        <v>18000.0</v>
      </c>
      <c r="U274" s="56">
        <v>18000.0</v>
      </c>
      <c r="V274" s="27" t="s">
        <v>17</v>
      </c>
      <c r="W274" s="5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</row>
    <row r="275" ht="60.0" customHeight="1">
      <c r="A275" s="14" t="str">
        <f>if(H275&lt;&gt;"",VLOOKUP(H275,ID!$A$2:$C$999,3,FALSE),"") </f>
        <v>BT0265</v>
      </c>
      <c r="B275" s="15" t="s">
        <v>0</v>
      </c>
      <c r="C275" s="16" t="s">
        <v>1</v>
      </c>
      <c r="D275" s="38" t="s">
        <v>1166</v>
      </c>
      <c r="E275" s="15" t="s">
        <v>1167</v>
      </c>
      <c r="F275" s="30">
        <v>235.0</v>
      </c>
      <c r="G275" s="52" t="s">
        <v>1168</v>
      </c>
      <c r="H275" s="30" t="s">
        <v>1169</v>
      </c>
      <c r="I275" s="54" t="s">
        <v>1167</v>
      </c>
      <c r="J275" s="30" t="s">
        <v>1170</v>
      </c>
      <c r="K275" s="30" t="s">
        <v>8</v>
      </c>
      <c r="L275" s="54" t="s">
        <v>30</v>
      </c>
      <c r="M275" s="54" t="s">
        <v>945</v>
      </c>
      <c r="N275" s="66"/>
      <c r="O275" s="27">
        <v>43781.0</v>
      </c>
      <c r="P275" s="27">
        <v>43781.0</v>
      </c>
      <c r="Q275" s="61">
        <v>36.0</v>
      </c>
      <c r="R275" s="26">
        <f>IFERROR(__xludf.DUMMYFUNCTION("IF (OR( Q275 = """" , P275 =""""), """" , IF(Q275 = ""Menos de 1 mês"" , ""antes de ""&amp; TO_TEXT( EDATE(P275, 1)), EDATE(P275,Q275)))"),44877.0)</f>
        <v>44877</v>
      </c>
      <c r="S275" s="30">
        <v>1.0</v>
      </c>
      <c r="T275" s="30">
        <v>18000.0</v>
      </c>
      <c r="U275" s="30">
        <v>18000.0</v>
      </c>
      <c r="V275" s="27" t="s">
        <v>1171</v>
      </c>
      <c r="W275" s="5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</row>
    <row r="276" ht="60.0" customHeight="1">
      <c r="A276" s="14" t="str">
        <f>if(H276&lt;&gt;"",VLOOKUP(H276,ID!$A$2:$C$999,3,FALSE),"") </f>
        <v>BT0266</v>
      </c>
      <c r="B276" s="15" t="s">
        <v>0</v>
      </c>
      <c r="C276" s="16" t="s">
        <v>1</v>
      </c>
      <c r="D276" s="38" t="s">
        <v>33</v>
      </c>
      <c r="E276" s="15" t="s">
        <v>1172</v>
      </c>
      <c r="F276" s="30">
        <v>650.0</v>
      </c>
      <c r="G276" s="52" t="s">
        <v>583</v>
      </c>
      <c r="H276" s="30" t="s">
        <v>1173</v>
      </c>
      <c r="I276" s="54" t="s">
        <v>1174</v>
      </c>
      <c r="J276" s="30" t="s">
        <v>643</v>
      </c>
      <c r="K276" s="30" t="s">
        <v>8</v>
      </c>
      <c r="L276" s="54" t="s">
        <v>96</v>
      </c>
      <c r="M276" s="54" t="s">
        <v>1175</v>
      </c>
      <c r="N276" s="66"/>
      <c r="O276" s="31" t="s">
        <v>347</v>
      </c>
      <c r="P276" s="31" t="s">
        <v>347</v>
      </c>
      <c r="Q276" s="61">
        <v>36.0</v>
      </c>
      <c r="R276" s="26" t="str">
        <f>IFERROR(__xludf.DUMMYFUNCTION("IF (OR( Q276 = """" , P276 =""""), """" , IF(Q276 = ""Menos de 1 mês"" , ""antes de ""&amp; TO_TEXT( EDATE(P276, 1)), EDATE(P276,Q276)))"),"#VALUE!")</f>
        <v>#VALUE!</v>
      </c>
      <c r="S276" s="30">
        <v>1.0</v>
      </c>
      <c r="T276" s="30">
        <v>24000.0</v>
      </c>
      <c r="U276" s="30">
        <v>24000.0</v>
      </c>
      <c r="V276" s="31" t="s">
        <v>231</v>
      </c>
      <c r="W276" s="5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</row>
    <row r="277" ht="60.0" customHeight="1">
      <c r="A277" s="14" t="str">
        <f>if(H277&lt;&gt;"",VLOOKUP(H277,ID!$A$2:$C$999,3,FALSE),"") </f>
        <v>BT0267</v>
      </c>
      <c r="B277" s="15" t="s">
        <v>0</v>
      </c>
      <c r="C277" s="16" t="s">
        <v>1</v>
      </c>
      <c r="D277" s="38" t="s">
        <v>1076</v>
      </c>
      <c r="E277" s="15" t="s">
        <v>1176</v>
      </c>
      <c r="F277" s="30">
        <v>220.0</v>
      </c>
      <c r="G277" s="52" t="s">
        <v>982</v>
      </c>
      <c r="H277" s="30" t="s">
        <v>1177</v>
      </c>
      <c r="I277" s="54" t="s">
        <v>1176</v>
      </c>
      <c r="J277" s="30" t="s">
        <v>1178</v>
      </c>
      <c r="K277" s="30" t="s">
        <v>8</v>
      </c>
      <c r="L277" s="54" t="s">
        <v>30</v>
      </c>
      <c r="M277" s="54" t="s">
        <v>1179</v>
      </c>
      <c r="N277" s="66"/>
      <c r="O277" s="31" t="s">
        <v>1180</v>
      </c>
      <c r="P277" s="31" t="s">
        <v>1180</v>
      </c>
      <c r="Q277" s="61">
        <v>36.0</v>
      </c>
      <c r="R277" s="26"/>
      <c r="S277" s="30">
        <v>1.0</v>
      </c>
      <c r="T277" s="30">
        <v>24000.0</v>
      </c>
      <c r="U277" s="30">
        <v>24000.0</v>
      </c>
      <c r="V277" s="27">
        <v>44173.0</v>
      </c>
      <c r="W277" s="5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</row>
    <row r="278" ht="60.0" customHeight="1">
      <c r="A278" s="14" t="str">
        <f>if(H278&lt;&gt;"",VLOOKUP(H278,ID!$A$2:$C$999,3,FALSE),"") </f>
        <v>BT0268</v>
      </c>
      <c r="B278" s="15" t="s">
        <v>0</v>
      </c>
      <c r="C278" s="16" t="s">
        <v>1</v>
      </c>
      <c r="D278" s="38" t="s">
        <v>1076</v>
      </c>
      <c r="E278" s="15" t="s">
        <v>1181</v>
      </c>
      <c r="F278" s="30">
        <v>2700.0</v>
      </c>
      <c r="G278" s="52" t="s">
        <v>1182</v>
      </c>
      <c r="H278" s="30" t="s">
        <v>1183</v>
      </c>
      <c r="I278" s="54" t="s">
        <v>1184</v>
      </c>
      <c r="J278" s="30" t="s">
        <v>1185</v>
      </c>
      <c r="K278" s="30" t="s">
        <v>8</v>
      </c>
      <c r="L278" s="54" t="s">
        <v>9</v>
      </c>
      <c r="M278" s="54" t="s">
        <v>622</v>
      </c>
      <c r="N278" s="66"/>
      <c r="O278" s="31" t="s">
        <v>347</v>
      </c>
      <c r="P278" s="31" t="s">
        <v>347</v>
      </c>
      <c r="Q278" s="61">
        <v>36.0</v>
      </c>
      <c r="R278" s="26" t="str">
        <f>IFERROR(__xludf.DUMMYFUNCTION("IF (OR( Q278 = """" , P278 =""""), """" , IF(Q278 = ""Menos de 1 mês"" , ""antes de ""&amp; TO_TEXT( EDATE(P278, 1)), EDATE(P278,Q278)))"),"#VALUE!")</f>
        <v>#VALUE!</v>
      </c>
      <c r="S278" s="30">
        <v>1.0</v>
      </c>
      <c r="T278" s="30">
        <v>2400.0</v>
      </c>
      <c r="U278" s="30">
        <v>2400.0</v>
      </c>
      <c r="V278" s="31" t="s">
        <v>348</v>
      </c>
      <c r="W278" s="5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</row>
    <row r="279" ht="60.0" customHeight="1">
      <c r="A279" s="14" t="str">
        <f>if(H279&lt;&gt;"",VLOOKUP(H279,ID!$A$2:$C$999,3,FALSE),"") </f>
        <v>BT0266</v>
      </c>
      <c r="B279" s="15" t="s">
        <v>0</v>
      </c>
      <c r="C279" s="16" t="s">
        <v>1</v>
      </c>
      <c r="D279" s="38" t="s">
        <v>33</v>
      </c>
      <c r="E279" s="15" t="s">
        <v>1186</v>
      </c>
      <c r="F279" s="30">
        <v>650.0</v>
      </c>
      <c r="G279" s="52" t="s">
        <v>583</v>
      </c>
      <c r="H279" s="30" t="s">
        <v>1173</v>
      </c>
      <c r="I279" s="54" t="s">
        <v>1187</v>
      </c>
      <c r="J279" s="30" t="s">
        <v>1188</v>
      </c>
      <c r="K279" s="30" t="s">
        <v>8</v>
      </c>
      <c r="L279" s="54" t="s">
        <v>96</v>
      </c>
      <c r="M279" s="54" t="s">
        <v>945</v>
      </c>
      <c r="N279" s="66"/>
      <c r="O279" s="31" t="s">
        <v>347</v>
      </c>
      <c r="P279" s="31" t="s">
        <v>347</v>
      </c>
      <c r="Q279" s="61">
        <v>36.0</v>
      </c>
      <c r="R279" s="26" t="str">
        <f>IFERROR(__xludf.DUMMYFUNCTION("IF (OR( Q279 = """" , P279 =""""), """" , IF(Q279 = ""Menos de 1 mês"" , ""antes de ""&amp; TO_TEXT( EDATE(P279, 1)), EDATE(P279,Q279)))"),"#VALUE!")</f>
        <v>#VALUE!</v>
      </c>
      <c r="S279" s="30">
        <v>1.0</v>
      </c>
      <c r="T279" s="30">
        <v>23400.0</v>
      </c>
      <c r="U279" s="30">
        <v>23400.0</v>
      </c>
      <c r="V279" s="31" t="s">
        <v>348</v>
      </c>
      <c r="W279" s="5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</row>
    <row r="280" ht="60.0" customHeight="1">
      <c r="A280" s="14" t="str">
        <f>if(H280&lt;&gt;"",VLOOKUP(H280,ID!$A$2:$C$999,3,FALSE),"") </f>
        <v>BT0269</v>
      </c>
      <c r="B280" s="15" t="s">
        <v>0</v>
      </c>
      <c r="C280" s="16" t="s">
        <v>1</v>
      </c>
      <c r="D280" s="38" t="s">
        <v>178</v>
      </c>
      <c r="E280" s="15" t="s">
        <v>1189</v>
      </c>
      <c r="F280" s="30">
        <v>10000.0</v>
      </c>
      <c r="G280" s="52" t="s">
        <v>1190</v>
      </c>
      <c r="H280" s="30" t="s">
        <v>1191</v>
      </c>
      <c r="I280" s="54" t="s">
        <v>1192</v>
      </c>
      <c r="J280" s="30" t="s">
        <v>1193</v>
      </c>
      <c r="K280" s="30" t="s">
        <v>8</v>
      </c>
      <c r="L280" s="54" t="s">
        <v>9</v>
      </c>
      <c r="M280" s="54" t="s">
        <v>622</v>
      </c>
      <c r="N280" s="66"/>
      <c r="O280" s="31" t="s">
        <v>704</v>
      </c>
      <c r="P280" s="31" t="s">
        <v>704</v>
      </c>
      <c r="Q280" s="61">
        <v>36.0</v>
      </c>
      <c r="R280" s="26" t="str">
        <f>IFERROR(__xludf.DUMMYFUNCTION("IF (OR( Q280 = """" , P280 =""""), """" , IF(Q280 = ""Menos de 1 mês"" , ""antes de ""&amp; TO_TEXT( EDATE(P280, 1)), EDATE(P280,Q280)))"),"#VALUE!")</f>
        <v>#VALUE!</v>
      </c>
      <c r="S280" s="30">
        <v>7.0</v>
      </c>
      <c r="T280" s="30">
        <v>18000.0</v>
      </c>
      <c r="U280" s="30">
        <v>18000.0</v>
      </c>
      <c r="V280" s="31" t="s">
        <v>705</v>
      </c>
      <c r="W280" s="5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</row>
    <row r="281" ht="60.0" customHeight="1">
      <c r="A281" s="14" t="str">
        <f>if(H281&lt;&gt;"",VLOOKUP(H281,ID!$A$2:$C$999,3,FALSE),"") </f>
        <v>BT0270</v>
      </c>
      <c r="B281" s="15" t="s">
        <v>0</v>
      </c>
      <c r="C281" s="16" t="s">
        <v>1</v>
      </c>
      <c r="D281" s="38" t="s">
        <v>155</v>
      </c>
      <c r="E281" s="15" t="s">
        <v>1194</v>
      </c>
      <c r="F281" s="30">
        <v>90.0</v>
      </c>
      <c r="G281" s="52" t="s">
        <v>1195</v>
      </c>
      <c r="H281" s="30" t="s">
        <v>1196</v>
      </c>
      <c r="I281" s="54" t="s">
        <v>1197</v>
      </c>
      <c r="J281" s="30" t="s">
        <v>1198</v>
      </c>
      <c r="K281" s="30" t="s">
        <v>8</v>
      </c>
      <c r="L281" s="54" t="s">
        <v>9</v>
      </c>
      <c r="M281" s="54" t="s">
        <v>622</v>
      </c>
      <c r="N281" s="66"/>
      <c r="O281" s="31" t="s">
        <v>525</v>
      </c>
      <c r="P281" s="31" t="s">
        <v>525</v>
      </c>
      <c r="Q281" s="61">
        <v>36.0</v>
      </c>
      <c r="R281" s="26" t="str">
        <f>IFERROR(__xludf.DUMMYFUNCTION("IF (OR( Q281 = """" , P281 =""""), """" , IF(Q281 = ""Menos de 1 mês"" , ""antes de ""&amp; TO_TEXT( EDATE(P281, 1)), EDATE(P281,Q281)))"),"#VALUE!")</f>
        <v>#VALUE!</v>
      </c>
      <c r="S281" s="30">
        <v>1.0</v>
      </c>
      <c r="T281" s="30">
        <v>18000.0</v>
      </c>
      <c r="U281" s="30">
        <v>18000.0</v>
      </c>
      <c r="V281" s="31" t="s">
        <v>730</v>
      </c>
      <c r="W281" s="5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</row>
    <row r="282" ht="60.0" customHeight="1">
      <c r="A282" s="14" t="str">
        <f>if(H282&lt;&gt;"",VLOOKUP(H282,ID!$A$2:$C$999,3,FALSE),"") </f>
        <v>BT0271</v>
      </c>
      <c r="B282" s="15" t="s">
        <v>0</v>
      </c>
      <c r="C282" s="16" t="s">
        <v>1</v>
      </c>
      <c r="D282" s="51" t="s">
        <v>33</v>
      </c>
      <c r="E282" s="53" t="s">
        <v>122</v>
      </c>
      <c r="F282" s="30">
        <v>130.0</v>
      </c>
      <c r="G282" s="52" t="s">
        <v>1199</v>
      </c>
      <c r="H282" s="30" t="s">
        <v>1200</v>
      </c>
      <c r="I282" s="54" t="s">
        <v>889</v>
      </c>
      <c r="J282" s="30" t="s">
        <v>29</v>
      </c>
      <c r="K282" s="30" t="s">
        <v>8</v>
      </c>
      <c r="L282" s="67" t="s">
        <v>30</v>
      </c>
      <c r="M282" s="68" t="s">
        <v>1201</v>
      </c>
      <c r="N282" s="66"/>
      <c r="O282" s="31" t="s">
        <v>1120</v>
      </c>
      <c r="P282" s="31" t="s">
        <v>1120</v>
      </c>
      <c r="Q282" s="61">
        <v>36.0</v>
      </c>
      <c r="R282" s="26" t="str">
        <f>IFERROR(__xludf.DUMMYFUNCTION("IF (OR( Q282 = """" , P282 =""""), """" , IF(Q282 = ""Menos de 1 mês"" , ""antes de ""&amp; TO_TEXT( EDATE(P282, 1)), EDATE(P282,Q282)))"),"#VALUE!")</f>
        <v>#VALUE!</v>
      </c>
      <c r="S282" s="30">
        <v>1.0</v>
      </c>
      <c r="T282" s="30" t="s">
        <v>890</v>
      </c>
      <c r="U282" s="30" t="s">
        <v>890</v>
      </c>
      <c r="V282" s="64">
        <v>44625.0</v>
      </c>
      <c r="W282" s="5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</row>
    <row r="283" ht="60.0" customHeight="1">
      <c r="A283" s="14" t="str">
        <f>if(H283&lt;&gt;"",VLOOKUP(H283,ID!$A$2:$C$999,3,FALSE),"") </f>
        <v>BT0272</v>
      </c>
      <c r="B283" s="15" t="s">
        <v>0</v>
      </c>
      <c r="C283" s="16" t="s">
        <v>1</v>
      </c>
      <c r="D283" s="38" t="s">
        <v>1202</v>
      </c>
      <c r="E283" s="15" t="s">
        <v>1203</v>
      </c>
      <c r="F283" s="30">
        <v>200.0</v>
      </c>
      <c r="G283" s="52" t="s">
        <v>1204</v>
      </c>
      <c r="H283" s="30" t="s">
        <v>1205</v>
      </c>
      <c r="I283" s="54" t="s">
        <v>1206</v>
      </c>
      <c r="J283" s="30" t="s">
        <v>1207</v>
      </c>
      <c r="K283" s="30" t="s">
        <v>8</v>
      </c>
      <c r="L283" s="54" t="s">
        <v>9</v>
      </c>
      <c r="M283" s="54" t="s">
        <v>1208</v>
      </c>
      <c r="N283" s="66"/>
      <c r="O283" s="27">
        <v>44137.0</v>
      </c>
      <c r="P283" s="27">
        <v>45232.0</v>
      </c>
      <c r="Q283" s="61">
        <v>36.0</v>
      </c>
      <c r="R283" s="26">
        <f>IFERROR(__xludf.DUMMYFUNCTION("IF (OR( Q283 = """" , P283 =""""), """" , IF(Q283 = ""Menos de 1 mês"" , ""antes de ""&amp; TO_TEXT( EDATE(P283, 1)), EDATE(P283,Q283)))"),46328.0)</f>
        <v>46328</v>
      </c>
      <c r="S283" s="30">
        <v>1.0</v>
      </c>
      <c r="T283" s="30">
        <v>18000.0</v>
      </c>
      <c r="U283" s="30">
        <v>18000.0</v>
      </c>
      <c r="V283" s="27" t="s">
        <v>17</v>
      </c>
      <c r="W283" s="5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</row>
    <row r="284" ht="60.0" customHeight="1">
      <c r="A284" s="14" t="str">
        <f>if(H284&lt;&gt;"",VLOOKUP(H284,ID!$A$2:$C$999,3,FALSE),"") </f>
        <v>BT0273</v>
      </c>
      <c r="B284" s="15" t="s">
        <v>0</v>
      </c>
      <c r="C284" s="16" t="s">
        <v>1</v>
      </c>
      <c r="D284" s="38" t="s">
        <v>33</v>
      </c>
      <c r="E284" s="15" t="s">
        <v>1209</v>
      </c>
      <c r="F284" s="30">
        <v>170.0</v>
      </c>
      <c r="G284" s="52" t="s">
        <v>1210</v>
      </c>
      <c r="H284" s="30" t="s">
        <v>1211</v>
      </c>
      <c r="I284" s="54" t="s">
        <v>1212</v>
      </c>
      <c r="J284" s="30" t="s">
        <v>1213</v>
      </c>
      <c r="K284" s="30" t="s">
        <v>8</v>
      </c>
      <c r="L284" s="54" t="s">
        <v>9</v>
      </c>
      <c r="M284" s="54" t="s">
        <v>1208</v>
      </c>
      <c r="N284" s="66"/>
      <c r="O284" s="27">
        <v>44137.0</v>
      </c>
      <c r="P284" s="27">
        <v>44137.0</v>
      </c>
      <c r="Q284" s="61">
        <v>36.0</v>
      </c>
      <c r="R284" s="26">
        <f>IFERROR(__xludf.DUMMYFUNCTION("IF (OR( Q284 = """" , P284 =""""), """" , IF(Q284 = ""Menos de 1 mês"" , ""antes de ""&amp; TO_TEXT( EDATE(P284, 1)), EDATE(P284,Q284)))"),45232.0)</f>
        <v>45232</v>
      </c>
      <c r="S284" s="30">
        <v>1.0</v>
      </c>
      <c r="T284" s="30">
        <v>18000.0</v>
      </c>
      <c r="U284" s="30">
        <v>18000.0</v>
      </c>
      <c r="V284" s="27" t="s">
        <v>1171</v>
      </c>
      <c r="W284" s="5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</row>
    <row r="285" ht="60.0" customHeight="1">
      <c r="A285" s="14" t="str">
        <f>if(H285&lt;&gt;"",VLOOKUP(H285,ID!$A$2:$C$999,3,FALSE),"") </f>
        <v>BT0274</v>
      </c>
      <c r="B285" s="15" t="s">
        <v>0</v>
      </c>
      <c r="C285" s="16" t="s">
        <v>1</v>
      </c>
      <c r="D285" s="38" t="s">
        <v>1214</v>
      </c>
      <c r="E285" s="15" t="s">
        <v>1215</v>
      </c>
      <c r="F285" s="30">
        <v>1770.0</v>
      </c>
      <c r="G285" s="52" t="s">
        <v>1216</v>
      </c>
      <c r="H285" s="30" t="s">
        <v>1217</v>
      </c>
      <c r="I285" s="54" t="s">
        <v>187</v>
      </c>
      <c r="J285" s="30" t="s">
        <v>29</v>
      </c>
      <c r="K285" s="30" t="s">
        <v>8</v>
      </c>
      <c r="L285" s="54" t="s">
        <v>9</v>
      </c>
      <c r="M285" s="54" t="s">
        <v>1208</v>
      </c>
      <c r="N285" s="66"/>
      <c r="O285" s="27">
        <v>44137.0</v>
      </c>
      <c r="P285" s="27">
        <v>44137.0</v>
      </c>
      <c r="Q285" s="61">
        <v>36.0</v>
      </c>
      <c r="R285" s="26">
        <f>IFERROR(__xludf.DUMMYFUNCTION("IF (OR( Q285 = """" , P285 =""""), """" , IF(Q285 = ""Menos de 1 mês"" , ""antes de ""&amp; TO_TEXT( EDATE(P285, 1)), EDATE(P285,Q285)))"),45232.0)</f>
        <v>45232</v>
      </c>
      <c r="S285" s="30">
        <v>1.0</v>
      </c>
      <c r="T285" s="30" t="s">
        <v>1218</v>
      </c>
      <c r="U285" s="30" t="s">
        <v>1218</v>
      </c>
      <c r="V285" s="27" t="s">
        <v>1171</v>
      </c>
      <c r="W285" s="5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</row>
    <row r="286" ht="60.0" customHeight="1">
      <c r="A286" s="14" t="str">
        <f>if(H286&lt;&gt;"",VLOOKUP(H286,ID!$A$2:$C$999,3,FALSE),"") </f>
        <v>BT0275</v>
      </c>
      <c r="B286" s="15" t="s">
        <v>0</v>
      </c>
      <c r="C286" s="16" t="s">
        <v>1</v>
      </c>
      <c r="D286" s="38" t="s">
        <v>1214</v>
      </c>
      <c r="E286" s="15" t="s">
        <v>1219</v>
      </c>
      <c r="F286" s="30">
        <v>7800.0</v>
      </c>
      <c r="G286" s="52" t="s">
        <v>1220</v>
      </c>
      <c r="H286" s="30" t="s">
        <v>1221</v>
      </c>
      <c r="I286" s="54" t="s">
        <v>1099</v>
      </c>
      <c r="J286" s="30" t="s">
        <v>346</v>
      </c>
      <c r="K286" s="30" t="s">
        <v>8</v>
      </c>
      <c r="L286" s="54" t="s">
        <v>9</v>
      </c>
      <c r="M286" s="54" t="s">
        <v>1208</v>
      </c>
      <c r="N286" s="66"/>
      <c r="O286" s="27">
        <v>44137.0</v>
      </c>
      <c r="P286" s="27">
        <v>44137.0</v>
      </c>
      <c r="Q286" s="61">
        <v>36.0</v>
      </c>
      <c r="R286" s="26">
        <f>IFERROR(__xludf.DUMMYFUNCTION("IF (OR( Q286 = """" , P286 =""""), """" , IF(Q286 = ""Menos de 1 mês"" , ""antes de ""&amp; TO_TEXT( EDATE(P286, 1)), EDATE(P286,Q286)))"),45232.0)</f>
        <v>45232</v>
      </c>
      <c r="S286" s="30">
        <v>5.0</v>
      </c>
      <c r="T286" s="30">
        <v>28000.0</v>
      </c>
      <c r="U286" s="30">
        <v>28000.0</v>
      </c>
      <c r="V286" s="27" t="s">
        <v>1171</v>
      </c>
      <c r="W286" s="5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</row>
    <row r="287" ht="60.0" customHeight="1">
      <c r="A287" s="14" t="str">
        <f>if(H287&lt;&gt;"",VLOOKUP(H287,ID!$A$2:$C$999,3,FALSE),"") </f>
        <v>BT0276</v>
      </c>
      <c r="B287" s="15" t="s">
        <v>0</v>
      </c>
      <c r="C287" s="16" t="s">
        <v>1</v>
      </c>
      <c r="D287" s="38" t="s">
        <v>1222</v>
      </c>
      <c r="E287" s="15" t="s">
        <v>1223</v>
      </c>
      <c r="F287" s="30">
        <v>576.0</v>
      </c>
      <c r="G287" s="52" t="s">
        <v>1224</v>
      </c>
      <c r="H287" s="30" t="s">
        <v>1225</v>
      </c>
      <c r="I287" s="54" t="s">
        <v>1226</v>
      </c>
      <c r="J287" s="30" t="s">
        <v>1227</v>
      </c>
      <c r="K287" s="30" t="s">
        <v>8</v>
      </c>
      <c r="L287" s="54" t="s">
        <v>9</v>
      </c>
      <c r="M287" s="54" t="s">
        <v>1208</v>
      </c>
      <c r="N287" s="66"/>
      <c r="O287" s="27">
        <v>43891.0</v>
      </c>
      <c r="P287" s="27">
        <v>43891.0</v>
      </c>
      <c r="Q287" s="61">
        <v>36.0</v>
      </c>
      <c r="R287" s="26">
        <f>IFERROR(__xludf.DUMMYFUNCTION("IF (OR( Q287 = """" , P287 =""""), """" , IF(Q287 = ""Menos de 1 mês"" , ""antes de ""&amp; TO_TEXT( EDATE(P287, 1)), EDATE(P287,Q287)))"),44986.0)</f>
        <v>44986</v>
      </c>
      <c r="S287" s="30">
        <v>1.0</v>
      </c>
      <c r="T287" s="30">
        <v>7200.0</v>
      </c>
      <c r="U287" s="30">
        <v>7200.0</v>
      </c>
      <c r="V287" s="27" t="s">
        <v>1171</v>
      </c>
      <c r="W287" s="5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</row>
    <row r="288" ht="60.0" customHeight="1">
      <c r="A288" s="14" t="str">
        <f>if(H288&lt;&gt;"",VLOOKUP(H288,ID!$A$2:$C$999,3,FALSE),"") </f>
        <v>BT0277</v>
      </c>
      <c r="B288" s="15" t="s">
        <v>0</v>
      </c>
      <c r="C288" s="16" t="s">
        <v>1</v>
      </c>
      <c r="D288" s="38" t="s">
        <v>33</v>
      </c>
      <c r="E288" s="15" t="s">
        <v>1228</v>
      </c>
      <c r="F288" s="30">
        <v>10000.0</v>
      </c>
      <c r="G288" s="52" t="s">
        <v>1229</v>
      </c>
      <c r="H288" s="30" t="s">
        <v>1230</v>
      </c>
      <c r="I288" s="54" t="s">
        <v>1099</v>
      </c>
      <c r="J288" s="30" t="s">
        <v>346</v>
      </c>
      <c r="K288" s="30" t="s">
        <v>8</v>
      </c>
      <c r="L288" s="54" t="s">
        <v>9</v>
      </c>
      <c r="M288" s="54" t="s">
        <v>1208</v>
      </c>
      <c r="N288" s="66"/>
      <c r="O288" s="27">
        <v>43891.0</v>
      </c>
      <c r="P288" s="27">
        <v>43891.0</v>
      </c>
      <c r="Q288" s="61">
        <v>36.0</v>
      </c>
      <c r="R288" s="26">
        <f>IFERROR(__xludf.DUMMYFUNCTION("IF (OR( Q288 = """" , P288 =""""), """" , IF(Q288 = ""Menos de 1 mês"" , ""antes de ""&amp; TO_TEXT( EDATE(P288, 1)), EDATE(P288,Q288)))"),44986.0)</f>
        <v>44986</v>
      </c>
      <c r="S288" s="30">
        <v>7.0</v>
      </c>
      <c r="T288" s="30">
        <v>28000.0</v>
      </c>
      <c r="U288" s="30">
        <v>28000.0</v>
      </c>
      <c r="V288" s="27" t="s">
        <v>1171</v>
      </c>
      <c r="W288" s="5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</row>
    <row r="289" ht="60.0" customHeight="1">
      <c r="A289" s="14" t="str">
        <f>if(H289&lt;&gt;"",VLOOKUP(H289,ID!$A$2:$C$999,3,FALSE),"") </f>
        <v>BT0002</v>
      </c>
      <c r="B289" s="15" t="s">
        <v>0</v>
      </c>
      <c r="C289" s="16" t="s">
        <v>1</v>
      </c>
      <c r="D289" s="38" t="s">
        <v>2</v>
      </c>
      <c r="E289" s="15" t="s">
        <v>1231</v>
      </c>
      <c r="F289" s="30">
        <v>160.0</v>
      </c>
      <c r="G289" s="52" t="s">
        <v>1232</v>
      </c>
      <c r="H289" s="30" t="s">
        <v>13</v>
      </c>
      <c r="I289" s="54" t="s">
        <v>1233</v>
      </c>
      <c r="J289" s="30" t="s">
        <v>15</v>
      </c>
      <c r="K289" s="30" t="s">
        <v>8</v>
      </c>
      <c r="L289" s="54" t="s">
        <v>9</v>
      </c>
      <c r="M289" s="54" t="s">
        <v>1208</v>
      </c>
      <c r="N289" s="66"/>
      <c r="O289" s="27">
        <v>43536.0</v>
      </c>
      <c r="P289" s="27">
        <v>43536.0</v>
      </c>
      <c r="Q289" s="61">
        <v>36.0</v>
      </c>
      <c r="R289" s="26">
        <f>IFERROR(__xludf.DUMMYFUNCTION("IF (OR( Q289 = """" , P289 =""""), """" , IF(Q289 = ""Menos de 1 mês"" , ""antes de ""&amp; TO_TEXT( EDATE(P289, 1)), EDATE(P289,Q289)))"),44632.0)</f>
        <v>44632</v>
      </c>
      <c r="S289" s="30">
        <v>1.0</v>
      </c>
      <c r="T289" s="30">
        <v>37000.0</v>
      </c>
      <c r="U289" s="30">
        <v>37000.0</v>
      </c>
      <c r="V289" s="27" t="s">
        <v>1171</v>
      </c>
      <c r="W289" s="5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</row>
    <row r="290" ht="60.0" customHeight="1">
      <c r="A290" s="14" t="str">
        <f>if(H290&lt;&gt;"",VLOOKUP(H290,ID!$A$2:$C$999,3,FALSE),"") </f>
        <v>BT0278</v>
      </c>
      <c r="B290" s="15" t="s">
        <v>0</v>
      </c>
      <c r="C290" s="16" t="s">
        <v>1</v>
      </c>
      <c r="D290" s="38" t="s">
        <v>2</v>
      </c>
      <c r="E290" s="15" t="s">
        <v>1234</v>
      </c>
      <c r="F290" s="30">
        <v>1100.0</v>
      </c>
      <c r="G290" s="52" t="s">
        <v>1235</v>
      </c>
      <c r="H290" s="30" t="s">
        <v>1236</v>
      </c>
      <c r="I290" s="54" t="s">
        <v>1237</v>
      </c>
      <c r="J290" s="30" t="s">
        <v>95</v>
      </c>
      <c r="K290" s="30" t="s">
        <v>8</v>
      </c>
      <c r="L290" s="54" t="s">
        <v>9</v>
      </c>
      <c r="M290" s="54" t="s">
        <v>1208</v>
      </c>
      <c r="N290" s="66"/>
      <c r="O290" s="27" t="s">
        <v>16</v>
      </c>
      <c r="P290" s="27" t="s">
        <v>16</v>
      </c>
      <c r="Q290" s="61">
        <v>36.0</v>
      </c>
      <c r="R290" s="30" t="s">
        <v>31</v>
      </c>
      <c r="S290" s="30">
        <v>1.0</v>
      </c>
      <c r="T290" s="30">
        <v>24900.0</v>
      </c>
      <c r="U290" s="30">
        <v>24900.0</v>
      </c>
      <c r="V290" s="27" t="s">
        <v>1171</v>
      </c>
      <c r="W290" s="5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</row>
    <row r="291" ht="60.0" customHeight="1">
      <c r="A291" s="14" t="str">
        <f>if(H291&lt;&gt;"",VLOOKUP(H291,ID!$A$2:$C$999,3,FALSE),"") </f>
        <v>BT0127</v>
      </c>
      <c r="B291" s="15" t="s">
        <v>0</v>
      </c>
      <c r="C291" s="16" t="s">
        <v>1</v>
      </c>
      <c r="D291" s="38" t="s">
        <v>33</v>
      </c>
      <c r="E291" s="15" t="s">
        <v>1238</v>
      </c>
      <c r="F291" s="30">
        <v>250.0</v>
      </c>
      <c r="G291" s="52" t="s">
        <v>603</v>
      </c>
      <c r="H291" s="30" t="s">
        <v>604</v>
      </c>
      <c r="I291" s="54" t="s">
        <v>605</v>
      </c>
      <c r="J291" s="30" t="s">
        <v>1239</v>
      </c>
      <c r="K291" s="30" t="s">
        <v>8</v>
      </c>
      <c r="L291" s="54" t="s">
        <v>9</v>
      </c>
      <c r="M291" s="54" t="s">
        <v>1208</v>
      </c>
      <c r="N291" s="66"/>
      <c r="O291" s="27">
        <v>43781.0</v>
      </c>
      <c r="P291" s="27">
        <v>43781.0</v>
      </c>
      <c r="Q291" s="61">
        <v>36.0</v>
      </c>
      <c r="R291" s="26">
        <f>IFERROR(__xludf.DUMMYFUNCTION("IF (OR( Q291 = """" , P291 =""""), """" , IF(Q291 = ""Menos de 1 mês"" , ""antes de ""&amp; TO_TEXT( EDATE(P291, 1)), EDATE(P291,Q291)))"),44877.0)</f>
        <v>44877</v>
      </c>
      <c r="S291" s="30">
        <v>1.0</v>
      </c>
      <c r="T291" s="30">
        <v>14400.0</v>
      </c>
      <c r="U291" s="30">
        <v>14400.0</v>
      </c>
      <c r="V291" s="27" t="s">
        <v>1171</v>
      </c>
      <c r="W291" s="5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</row>
    <row r="292" ht="60.0" customHeight="1">
      <c r="A292" s="14" t="str">
        <f>if(H292&lt;&gt;"",VLOOKUP(H292,ID!$A$2:$C$999,3,FALSE),"") </f>
        <v>BT0279</v>
      </c>
      <c r="B292" s="15" t="s">
        <v>0</v>
      </c>
      <c r="C292" s="16" t="s">
        <v>1</v>
      </c>
      <c r="D292" s="38" t="s">
        <v>33</v>
      </c>
      <c r="E292" s="15" t="s">
        <v>1240</v>
      </c>
      <c r="F292" s="30">
        <v>980.0</v>
      </c>
      <c r="G292" s="52" t="s">
        <v>1241</v>
      </c>
      <c r="H292" s="30" t="s">
        <v>1242</v>
      </c>
      <c r="I292" s="54" t="s">
        <v>1243</v>
      </c>
      <c r="J292" s="30" t="s">
        <v>197</v>
      </c>
      <c r="K292" s="30" t="s">
        <v>8</v>
      </c>
      <c r="L292" s="54" t="s">
        <v>9</v>
      </c>
      <c r="M292" s="54" t="s">
        <v>1208</v>
      </c>
      <c r="N292" s="66"/>
      <c r="O292" s="27">
        <v>43954.0</v>
      </c>
      <c r="P292" s="27">
        <v>43954.0</v>
      </c>
      <c r="Q292" s="61">
        <v>36.0</v>
      </c>
      <c r="R292" s="69">
        <f>IFERROR(__xludf.DUMMYFUNCTION("IF (OR( Q292 = """" , P292 =""""), """" , IF(Q292 = ""Menos de 1 mês"" , ""antes de ""&amp; TO_TEXT( EDATE(P292, 1)), EDATE(P292,Q292)))"),45049.0)</f>
        <v>45049</v>
      </c>
      <c r="S292" s="30">
        <v>6.0</v>
      </c>
      <c r="T292" s="30">
        <v>28000.0</v>
      </c>
      <c r="U292" s="30">
        <v>28000.0</v>
      </c>
      <c r="V292" s="31" t="s">
        <v>1244</v>
      </c>
      <c r="W292" s="5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</row>
    <row r="293" ht="60.0" customHeight="1">
      <c r="A293" s="14" t="str">
        <f>if(H293&lt;&gt;"",VLOOKUP(H293,ID!$A$2:$C$999,3,FALSE),"") </f>
        <v>BT0280</v>
      </c>
      <c r="B293" s="15" t="s">
        <v>0</v>
      </c>
      <c r="C293" s="16" t="s">
        <v>1</v>
      </c>
      <c r="D293" s="38" t="s">
        <v>33</v>
      </c>
      <c r="E293" s="15" t="s">
        <v>1245</v>
      </c>
      <c r="F293" s="30">
        <v>1000.0</v>
      </c>
      <c r="G293" s="52" t="s">
        <v>1246</v>
      </c>
      <c r="H293" s="30" t="s">
        <v>1247</v>
      </c>
      <c r="I293" s="54" t="s">
        <v>1248</v>
      </c>
      <c r="J293" s="30" t="s">
        <v>1249</v>
      </c>
      <c r="K293" s="30" t="s">
        <v>8</v>
      </c>
      <c r="L293" s="54" t="s">
        <v>9</v>
      </c>
      <c r="M293" s="54" t="s">
        <v>1208</v>
      </c>
      <c r="N293" s="66"/>
      <c r="O293" s="27">
        <v>43954.0</v>
      </c>
      <c r="P293" s="27">
        <v>43954.0</v>
      </c>
      <c r="Q293" s="61">
        <v>36.0</v>
      </c>
      <c r="R293" s="69">
        <f>IFERROR(__xludf.DUMMYFUNCTION("IF (OR( Q293 = """" , P293 =""""), """" , IF(Q293 = ""Menos de 1 mês"" , ""antes de ""&amp; TO_TEXT( EDATE(P293, 1)), EDATE(P293,Q293)))"),45049.0)</f>
        <v>45049</v>
      </c>
      <c r="S293" s="30">
        <v>1.0</v>
      </c>
      <c r="T293" s="30">
        <v>72000.0</v>
      </c>
      <c r="U293" s="30">
        <v>72000.0</v>
      </c>
      <c r="V293" s="31" t="s">
        <v>1244</v>
      </c>
      <c r="W293" s="5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</row>
    <row r="294" ht="60.0" customHeight="1">
      <c r="A294" s="14" t="str">
        <f>if(H294&lt;&gt;"",VLOOKUP(H294,ID!$A$2:$C$999,3,FALSE),"") </f>
        <v/>
      </c>
      <c r="B294" s="15" t="s">
        <v>0</v>
      </c>
      <c r="C294" s="16"/>
      <c r="D294" s="38"/>
      <c r="E294" s="15"/>
      <c r="F294" s="30"/>
      <c r="G294" s="52"/>
      <c r="H294" s="30"/>
      <c r="I294" s="54"/>
      <c r="J294" s="30"/>
      <c r="K294" s="30"/>
      <c r="L294" s="54"/>
      <c r="M294" s="54"/>
      <c r="N294" s="66"/>
      <c r="O294" s="31"/>
      <c r="P294" s="31"/>
      <c r="Q294" s="61"/>
      <c r="R294" s="69" t="str">
        <f>IFERROR(__xludf.DUMMYFUNCTION("IF (OR( Q294 = """" , P294 =""""), """" , IF(Q294 = ""Menos de 1 mês"" , ""antes de ""&amp; TO_TEXT( EDATE(P294, 1)), EDATE(P294,Q294)))"),"")</f>
        <v/>
      </c>
      <c r="S294" s="30"/>
      <c r="T294" s="30"/>
      <c r="U294" s="30"/>
      <c r="V294" s="31"/>
      <c r="W294" s="5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</row>
    <row r="295" ht="60.0" customHeight="1">
      <c r="A295" s="14" t="str">
        <f>if(H295&lt;&gt;"",VLOOKUP(H295,ID!$A$2:$C$999,3,FALSE),"") </f>
        <v>BT0281</v>
      </c>
      <c r="B295" s="15" t="s">
        <v>0</v>
      </c>
      <c r="C295" s="16" t="s">
        <v>1</v>
      </c>
      <c r="D295" s="38" t="s">
        <v>46</v>
      </c>
      <c r="E295" s="15" t="s">
        <v>1250</v>
      </c>
      <c r="F295" s="30">
        <v>161.0</v>
      </c>
      <c r="G295" s="52" t="s">
        <v>1251</v>
      </c>
      <c r="H295" s="30" t="s">
        <v>1252</v>
      </c>
      <c r="I295" s="54" t="s">
        <v>1243</v>
      </c>
      <c r="J295" s="30" t="s">
        <v>197</v>
      </c>
      <c r="K295" s="30" t="s">
        <v>8</v>
      </c>
      <c r="L295" s="54" t="s">
        <v>9</v>
      </c>
      <c r="M295" s="54" t="s">
        <v>1253</v>
      </c>
      <c r="N295" s="66"/>
      <c r="O295" s="31" t="s">
        <v>347</v>
      </c>
      <c r="P295" s="31" t="s">
        <v>347</v>
      </c>
      <c r="Q295" s="61">
        <v>36.0</v>
      </c>
      <c r="R295" s="69" t="str">
        <f>IFERROR(__xludf.DUMMYFUNCTION("IF (OR( Q295 = """" , P295 =""""), """" , IF(Q295 = ""Menos de 1 mês"" , ""antes de ""&amp; TO_TEXT( EDATE(P295, 1)), EDATE(P295,Q295)))"),"#VALUE!")</f>
        <v>#VALUE!</v>
      </c>
      <c r="S295" s="30">
        <v>1.0</v>
      </c>
      <c r="T295" s="30">
        <v>14900.0</v>
      </c>
      <c r="U295" s="30">
        <v>14900.0</v>
      </c>
      <c r="V295" s="31" t="s">
        <v>348</v>
      </c>
      <c r="W295" s="5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</row>
    <row r="296" ht="60.0" customHeight="1">
      <c r="A296" s="14" t="str">
        <f>if(H296&lt;&gt;"",VLOOKUP(H296,ID!$A$2:$C$999,3,FALSE),"") </f>
        <v>BT0282</v>
      </c>
      <c r="B296" s="15" t="s">
        <v>0</v>
      </c>
      <c r="C296" s="16" t="s">
        <v>1</v>
      </c>
      <c r="D296" s="38" t="s">
        <v>33</v>
      </c>
      <c r="E296" s="15" t="s">
        <v>680</v>
      </c>
      <c r="F296" s="30">
        <v>120.0</v>
      </c>
      <c r="G296" s="52" t="s">
        <v>1254</v>
      </c>
      <c r="H296" s="30" t="s">
        <v>1255</v>
      </c>
      <c r="I296" s="54" t="s">
        <v>1256</v>
      </c>
      <c r="J296" s="30" t="s">
        <v>1257</v>
      </c>
      <c r="K296" s="30" t="s">
        <v>8</v>
      </c>
      <c r="L296" s="54" t="s">
        <v>479</v>
      </c>
      <c r="M296" s="54" t="s">
        <v>1253</v>
      </c>
      <c r="N296" s="66"/>
      <c r="O296" s="31" t="s">
        <v>1258</v>
      </c>
      <c r="P296" s="31" t="s">
        <v>1259</v>
      </c>
      <c r="Q296" s="61">
        <v>12.0</v>
      </c>
      <c r="R296" s="69" t="str">
        <f>IFERROR(__xludf.DUMMYFUNCTION("IF (OR( Q296 = """" , P296 =""""), """" , IF(Q296 = ""Menos de 1 mês"" , ""antes de ""&amp; TO_TEXT( EDATE(P296, 1)), EDATE(P296,Q296)))"),"#VALUE!")</f>
        <v>#VALUE!</v>
      </c>
      <c r="S296" s="30">
        <v>1.0</v>
      </c>
      <c r="T296" s="30">
        <v>3600.0</v>
      </c>
      <c r="U296" s="30">
        <v>3600.0</v>
      </c>
      <c r="V296" s="31" t="s">
        <v>1244</v>
      </c>
      <c r="W296" s="5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</row>
    <row r="297" ht="60.0" customHeight="1">
      <c r="A297" s="14" t="str">
        <f>if(H297&lt;&gt;"",VLOOKUP(H297,ID!$A$2:$C$999,3,FALSE),"") </f>
        <v>BT0011</v>
      </c>
      <c r="B297" s="15" t="s">
        <v>0</v>
      </c>
      <c r="C297" s="16" t="s">
        <v>1</v>
      </c>
      <c r="D297" s="38" t="s">
        <v>63</v>
      </c>
      <c r="E297" s="15" t="s">
        <v>1260</v>
      </c>
      <c r="F297" s="67">
        <v>315.0</v>
      </c>
      <c r="G297" s="52" t="s">
        <v>1261</v>
      </c>
      <c r="H297" s="30" t="s">
        <v>70</v>
      </c>
      <c r="I297" s="53" t="s">
        <v>71</v>
      </c>
      <c r="J297" s="30" t="s">
        <v>72</v>
      </c>
      <c r="K297" s="30" t="s">
        <v>8</v>
      </c>
      <c r="L297" s="54" t="s">
        <v>9</v>
      </c>
      <c r="M297" s="54" t="s">
        <v>622</v>
      </c>
      <c r="N297" s="66"/>
      <c r="O297" s="31" t="s">
        <v>1120</v>
      </c>
      <c r="P297" s="31" t="s">
        <v>1120</v>
      </c>
      <c r="Q297" s="61">
        <v>36.0</v>
      </c>
      <c r="R297" s="69" t="str">
        <f>IFERROR(__xludf.DUMMYFUNCTION("IF (OR( Q297 = """" , P297 =""""), """" , IF(Q297 = ""Menos de 1 mês"" , ""antes de ""&amp; TO_TEXT( EDATE(P297, 1)), EDATE(P297,Q297)))"),"#VALUE!")</f>
        <v>#VALUE!</v>
      </c>
      <c r="S297" s="30">
        <v>1.0</v>
      </c>
      <c r="T297" s="30" t="s">
        <v>1262</v>
      </c>
      <c r="U297" s="30" t="s">
        <v>1262</v>
      </c>
      <c r="V297" s="64">
        <v>44625.0</v>
      </c>
      <c r="W297" s="5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</row>
    <row r="298" ht="60.0" customHeight="1">
      <c r="A298" s="14" t="str">
        <f>if(H298&lt;&gt;"",VLOOKUP(H298,ID!$A$2:$C$999,3,FALSE),"") </f>
        <v>BT0283</v>
      </c>
      <c r="B298" s="15" t="s">
        <v>0</v>
      </c>
      <c r="C298" s="16" t="s">
        <v>1</v>
      </c>
      <c r="D298" s="38" t="s">
        <v>33</v>
      </c>
      <c r="E298" s="15" t="s">
        <v>1263</v>
      </c>
      <c r="F298" s="30">
        <v>70.0</v>
      </c>
      <c r="G298" s="52" t="s">
        <v>1264</v>
      </c>
      <c r="H298" s="30" t="s">
        <v>1265</v>
      </c>
      <c r="I298" s="54" t="s">
        <v>1266</v>
      </c>
      <c r="J298" s="30" t="s">
        <v>1267</v>
      </c>
      <c r="K298" s="30" t="s">
        <v>8</v>
      </c>
      <c r="L298" s="54" t="s">
        <v>479</v>
      </c>
      <c r="M298" s="54" t="s">
        <v>1208</v>
      </c>
      <c r="N298" s="66"/>
      <c r="O298" s="31" t="s">
        <v>1268</v>
      </c>
      <c r="P298" s="31" t="s">
        <v>1268</v>
      </c>
      <c r="Q298" s="61">
        <v>12.0</v>
      </c>
      <c r="R298" s="69" t="str">
        <f>IFERROR(__xludf.DUMMYFUNCTION("IF (OR( Q298 = """" , P298 =""""), """" , IF(Q298 = ""Menos de 1 mês"" , ""antes de ""&amp; TO_TEXT( EDATE(P298, 1)), EDATE(P298,Q298)))"),"#VALUE!")</f>
        <v>#VALUE!</v>
      </c>
      <c r="S298" s="30">
        <v>1.0</v>
      </c>
      <c r="T298" s="30">
        <v>54000.0</v>
      </c>
      <c r="U298" s="30">
        <v>54000.0</v>
      </c>
      <c r="V298" s="31" t="s">
        <v>1269</v>
      </c>
      <c r="W298" s="5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</row>
    <row r="299" ht="60.0" customHeight="1">
      <c r="A299" s="14" t="str">
        <f>if(H299&lt;&gt;"",VLOOKUP(H299,ID!$A$2:$C$999,3,FALSE),"") </f>
        <v>BT0284</v>
      </c>
      <c r="B299" s="15" t="s">
        <v>0</v>
      </c>
      <c r="C299" s="16" t="s">
        <v>1</v>
      </c>
      <c r="D299" s="38" t="s">
        <v>33</v>
      </c>
      <c r="E299" s="15" t="s">
        <v>1270</v>
      </c>
      <c r="F299" s="30">
        <v>20.0</v>
      </c>
      <c r="G299" s="52" t="s">
        <v>1271</v>
      </c>
      <c r="H299" s="30" t="s">
        <v>1272</v>
      </c>
      <c r="I299" s="54" t="s">
        <v>1273</v>
      </c>
      <c r="J299" s="30" t="s">
        <v>1274</v>
      </c>
      <c r="K299" s="30" t="s">
        <v>8</v>
      </c>
      <c r="L299" s="54" t="s">
        <v>479</v>
      </c>
      <c r="M299" s="54" t="s">
        <v>622</v>
      </c>
      <c r="N299" s="66"/>
      <c r="O299" s="31" t="s">
        <v>1275</v>
      </c>
      <c r="P299" s="31" t="s">
        <v>1275</v>
      </c>
      <c r="Q299" s="61">
        <v>12.0</v>
      </c>
      <c r="R299" s="69" t="str">
        <f>IFERROR(__xludf.DUMMYFUNCTION("IF (OR( Q299 = """" , P299 =""""), """" , IF(Q299 = ""Menos de 1 mês"" , ""antes de ""&amp; TO_TEXT( EDATE(P299, 1)), EDATE(P299,Q299)))"),"#VALUE!")</f>
        <v>#VALUE!</v>
      </c>
      <c r="S299" s="30">
        <v>1.0</v>
      </c>
      <c r="T299" s="30">
        <v>216000.0</v>
      </c>
      <c r="U299" s="30">
        <v>216000.0</v>
      </c>
      <c r="V299" s="31" t="s">
        <v>1269</v>
      </c>
      <c r="W299" s="5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</row>
    <row r="300" ht="60.0" customHeight="1">
      <c r="A300" s="14" t="str">
        <f>if(H300&lt;&gt;"",VLOOKUP(H300,ID!$A$2:$C$999,3,FALSE),"") </f>
        <v>BT0285</v>
      </c>
      <c r="B300" s="15" t="s">
        <v>0</v>
      </c>
      <c r="C300" s="16" t="s">
        <v>1</v>
      </c>
      <c r="D300" s="38" t="s">
        <v>33</v>
      </c>
      <c r="E300" s="15" t="s">
        <v>1276</v>
      </c>
      <c r="F300" s="30">
        <v>50.0</v>
      </c>
      <c r="G300" s="52" t="s">
        <v>1277</v>
      </c>
      <c r="H300" s="30" t="s">
        <v>1278</v>
      </c>
      <c r="I300" s="54" t="s">
        <v>1273</v>
      </c>
      <c r="J300" s="30" t="s">
        <v>1267</v>
      </c>
      <c r="K300" s="30" t="s">
        <v>8</v>
      </c>
      <c r="L300" s="54" t="s">
        <v>479</v>
      </c>
      <c r="M300" s="54" t="s">
        <v>622</v>
      </c>
      <c r="N300" s="66"/>
      <c r="O300" s="31" t="s">
        <v>1275</v>
      </c>
      <c r="P300" s="31" t="s">
        <v>1275</v>
      </c>
      <c r="Q300" s="61">
        <v>12.0</v>
      </c>
      <c r="R300" s="69" t="str">
        <f>IFERROR(__xludf.DUMMYFUNCTION("IF (OR( Q300 = """" , P300 =""""), """" , IF(Q300 = ""Menos de 1 mês"" , ""antes de ""&amp; TO_TEXT( EDATE(P300, 1)), EDATE(P300,Q300)))"),"#VALUE!")</f>
        <v>#VALUE!</v>
      </c>
      <c r="S300" s="30">
        <v>1.0</v>
      </c>
      <c r="T300" s="30">
        <v>162000.0</v>
      </c>
      <c r="U300" s="30">
        <v>162000.0</v>
      </c>
      <c r="V300" s="64">
        <v>43924.0</v>
      </c>
      <c r="W300" s="5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</row>
    <row r="301" ht="60.0" customHeight="1">
      <c r="A301" s="14" t="str">
        <f>if(H301&lt;&gt;"",VLOOKUP(H301,ID!$A$2:$C$999,3,FALSE),"") </f>
        <v>BT0286</v>
      </c>
      <c r="B301" s="15" t="s">
        <v>0</v>
      </c>
      <c r="C301" s="16" t="s">
        <v>1</v>
      </c>
      <c r="D301" s="38" t="s">
        <v>33</v>
      </c>
      <c r="E301" s="15" t="s">
        <v>1279</v>
      </c>
      <c r="F301" s="30">
        <v>120.0</v>
      </c>
      <c r="G301" s="52" t="s">
        <v>1280</v>
      </c>
      <c r="H301" s="30" t="s">
        <v>1281</v>
      </c>
      <c r="I301" s="54" t="s">
        <v>1273</v>
      </c>
      <c r="J301" s="30" t="s">
        <v>1267</v>
      </c>
      <c r="K301" s="30" t="s">
        <v>8</v>
      </c>
      <c r="L301" s="54" t="s">
        <v>479</v>
      </c>
      <c r="M301" s="54" t="s">
        <v>622</v>
      </c>
      <c r="N301" s="66"/>
      <c r="O301" s="31" t="s">
        <v>1275</v>
      </c>
      <c r="P301" s="31" t="s">
        <v>1275</v>
      </c>
      <c r="Q301" s="61">
        <v>12.0</v>
      </c>
      <c r="R301" s="69" t="str">
        <f>IFERROR(__xludf.DUMMYFUNCTION("IF (OR( Q301 = """" , P301 =""""), """" , IF(Q301 = ""Menos de 1 mês"" , ""antes de ""&amp; TO_TEXT( EDATE(P301, 1)), EDATE(P301,Q301)))"),"#VALUE!")</f>
        <v>#VALUE!</v>
      </c>
      <c r="S301" s="30">
        <v>1.0</v>
      </c>
      <c r="T301" s="30">
        <v>54000.0</v>
      </c>
      <c r="U301" s="30">
        <v>54000.0</v>
      </c>
      <c r="V301" s="64">
        <v>43894.0</v>
      </c>
      <c r="W301" s="5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</row>
    <row r="302" ht="60.0" customHeight="1">
      <c r="A302" s="14" t="str">
        <f>if(H302&lt;&gt;"",VLOOKUP(H302,ID!$A$2:$C$999,3,FALSE),"") </f>
        <v>BT0287</v>
      </c>
      <c r="B302" s="15" t="s">
        <v>0</v>
      </c>
      <c r="C302" s="16" t="s">
        <v>1</v>
      </c>
      <c r="D302" s="38" t="s">
        <v>33</v>
      </c>
      <c r="E302" s="15" t="s">
        <v>1282</v>
      </c>
      <c r="F302" s="30">
        <v>10000.0</v>
      </c>
      <c r="G302" s="52" t="s">
        <v>1283</v>
      </c>
      <c r="H302" s="30" t="s">
        <v>1284</v>
      </c>
      <c r="I302" s="54" t="s">
        <v>1266</v>
      </c>
      <c r="J302" s="30" t="s">
        <v>1285</v>
      </c>
      <c r="K302" s="30" t="s">
        <v>8</v>
      </c>
      <c r="L302" s="54" t="s">
        <v>9</v>
      </c>
      <c r="M302" s="54" t="s">
        <v>622</v>
      </c>
      <c r="N302" s="66"/>
      <c r="O302" s="31" t="s">
        <v>1275</v>
      </c>
      <c r="P302" s="31" t="s">
        <v>1275</v>
      </c>
      <c r="Q302" s="61">
        <v>12.0</v>
      </c>
      <c r="R302" s="69" t="str">
        <f>IFERROR(__xludf.DUMMYFUNCTION("IF (OR( Q302 = """" , P302 =""""), """" , IF(Q302 = ""Menos de 1 mês"" , ""antes de ""&amp; TO_TEXT( EDATE(P302, 1)), EDATE(P302,Q302)))"),"#VALUE!")</f>
        <v>#VALUE!</v>
      </c>
      <c r="S302" s="30">
        <v>7.0</v>
      </c>
      <c r="T302" s="30">
        <v>540000.0</v>
      </c>
      <c r="U302" s="30">
        <v>540000.0</v>
      </c>
      <c r="V302" s="64">
        <v>43924.0</v>
      </c>
      <c r="W302" s="5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</row>
    <row r="303" ht="60.0" customHeight="1">
      <c r="A303" s="14" t="str">
        <f>if(H303&lt;&gt;"",VLOOKUP(H303,ID!$A$2:$C$999,3,FALSE),"") </f>
        <v>BT0283</v>
      </c>
      <c r="B303" s="15" t="s">
        <v>0</v>
      </c>
      <c r="C303" s="16" t="s">
        <v>1</v>
      </c>
      <c r="D303" s="38" t="s">
        <v>33</v>
      </c>
      <c r="E303" s="15" t="s">
        <v>1286</v>
      </c>
      <c r="F303" s="30">
        <v>70.0</v>
      </c>
      <c r="G303" s="52" t="s">
        <v>1264</v>
      </c>
      <c r="H303" s="30" t="s">
        <v>1265</v>
      </c>
      <c r="I303" s="54" t="s">
        <v>1287</v>
      </c>
      <c r="J303" s="30" t="s">
        <v>1285</v>
      </c>
      <c r="K303" s="30" t="s">
        <v>8</v>
      </c>
      <c r="L303" s="54" t="s">
        <v>479</v>
      </c>
      <c r="M303" s="54" t="s">
        <v>622</v>
      </c>
      <c r="N303" s="61"/>
      <c r="O303" s="31" t="s">
        <v>1268</v>
      </c>
      <c r="P303" s="31" t="s">
        <v>1268</v>
      </c>
      <c r="Q303" s="61">
        <v>12.0</v>
      </c>
      <c r="R303" s="69" t="str">
        <f>IFERROR(__xludf.DUMMYFUNCTION("IF (OR( Q303 = """" , P303 =""""), """" , IF(Q303 = ""Menos de 1 mês"" , ""antes de ""&amp; TO_TEXT( EDATE(P303, 1)), EDATE(P303,Q303)))"),"#VALUE!")</f>
        <v>#VALUE!</v>
      </c>
      <c r="S303" s="30">
        <v>1.0</v>
      </c>
      <c r="T303" s="30">
        <v>540000.0</v>
      </c>
      <c r="U303" s="30">
        <v>540000.0</v>
      </c>
      <c r="V303" s="31" t="s">
        <v>1275</v>
      </c>
      <c r="W303" s="5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</row>
    <row r="304" ht="60.0" customHeight="1">
      <c r="A304" s="14" t="str">
        <f>if(H304&lt;&gt;"",VLOOKUP(H304,ID!$A$2:$C$999,3,FALSE),"") </f>
        <v>BT0288</v>
      </c>
      <c r="B304" s="15" t="s">
        <v>0</v>
      </c>
      <c r="C304" s="16" t="s">
        <v>1</v>
      </c>
      <c r="D304" s="38" t="s">
        <v>33</v>
      </c>
      <c r="E304" s="15" t="s">
        <v>1288</v>
      </c>
      <c r="F304" s="30">
        <v>45.0</v>
      </c>
      <c r="G304" s="52" t="s">
        <v>1289</v>
      </c>
      <c r="H304" s="30" t="s">
        <v>1290</v>
      </c>
      <c r="I304" s="54" t="s">
        <v>1149</v>
      </c>
      <c r="J304" s="30" t="s">
        <v>165</v>
      </c>
      <c r="K304" s="30" t="s">
        <v>8</v>
      </c>
      <c r="L304" s="54" t="s">
        <v>30</v>
      </c>
      <c r="M304" s="54" t="s">
        <v>1208</v>
      </c>
      <c r="N304" s="66"/>
      <c r="O304" s="31" t="s">
        <v>1275</v>
      </c>
      <c r="P304" s="31" t="s">
        <v>1275</v>
      </c>
      <c r="Q304" s="61">
        <v>36.0</v>
      </c>
      <c r="R304" s="69" t="str">
        <f>IFERROR(__xludf.DUMMYFUNCTION("IF (OR( Q304 = """" , P304 =""""), """" , IF(Q304 = ""Menos de 1 mês"" , ""antes de ""&amp; TO_TEXT( EDATE(P304, 1)), EDATE(P304,Q304)))"),"#VALUE!")</f>
        <v>#VALUE!</v>
      </c>
      <c r="S304" s="30">
        <v>1.0</v>
      </c>
      <c r="T304" s="30">
        <v>54000.0</v>
      </c>
      <c r="U304" s="30">
        <v>54000.0</v>
      </c>
      <c r="V304" s="31" t="s">
        <v>1269</v>
      </c>
      <c r="W304" s="5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</row>
    <row r="305" ht="60.0" customHeight="1">
      <c r="A305" s="14" t="str">
        <f>if(H305&lt;&gt;"",VLOOKUP(H305,ID!$A$2:$C$999,3,FALSE),"") </f>
        <v>BT0289</v>
      </c>
      <c r="B305" s="15" t="s">
        <v>0</v>
      </c>
      <c r="C305" s="16" t="s">
        <v>1</v>
      </c>
      <c r="D305" s="38" t="s">
        <v>33</v>
      </c>
      <c r="E305" s="15" t="s">
        <v>1291</v>
      </c>
      <c r="F305" s="30">
        <v>218.0</v>
      </c>
      <c r="G305" s="52" t="s">
        <v>1292</v>
      </c>
      <c r="H305" s="30" t="s">
        <v>1293</v>
      </c>
      <c r="I305" s="54" t="s">
        <v>1149</v>
      </c>
      <c r="J305" s="30" t="s">
        <v>165</v>
      </c>
      <c r="K305" s="30" t="s">
        <v>8</v>
      </c>
      <c r="L305" s="54" t="s">
        <v>30</v>
      </c>
      <c r="M305" s="54" t="s">
        <v>622</v>
      </c>
      <c r="N305" s="66"/>
      <c r="O305" s="31" t="s">
        <v>1275</v>
      </c>
      <c r="P305" s="31" t="s">
        <v>1275</v>
      </c>
      <c r="Q305" s="61">
        <v>36.0</v>
      </c>
      <c r="R305" s="69" t="str">
        <f>IFERROR(__xludf.DUMMYFUNCTION("IF (OR( Q305 = """" , P305 =""""), """" , IF(Q305 = ""Menos de 1 mês"" , ""antes de ""&amp; TO_TEXT( EDATE(P305, 1)), EDATE(P305,Q305)))"),"#VALUE!")</f>
        <v>#VALUE!</v>
      </c>
      <c r="S305" s="30">
        <v>1.0</v>
      </c>
      <c r="T305" s="30">
        <v>233000.0</v>
      </c>
      <c r="U305" s="30">
        <v>233000.0</v>
      </c>
      <c r="V305" s="31" t="s">
        <v>1275</v>
      </c>
      <c r="W305" s="5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</row>
    <row r="306" ht="60.0" customHeight="1">
      <c r="A306" s="14" t="str">
        <f>if(H306&lt;&gt;"",VLOOKUP(H306,ID!$A$2:$C$999,3,FALSE),"") </f>
        <v>BT0290</v>
      </c>
      <c r="B306" s="15" t="s">
        <v>0</v>
      </c>
      <c r="C306" s="16" t="s">
        <v>1</v>
      </c>
      <c r="D306" s="38" t="s">
        <v>33</v>
      </c>
      <c r="E306" s="15" t="s">
        <v>1294</v>
      </c>
      <c r="F306" s="30">
        <v>10.0</v>
      </c>
      <c r="G306" s="52" t="s">
        <v>1295</v>
      </c>
      <c r="H306" s="30" t="s">
        <v>1296</v>
      </c>
      <c r="I306" s="54" t="s">
        <v>1149</v>
      </c>
      <c r="J306" s="30" t="s">
        <v>165</v>
      </c>
      <c r="K306" s="30" t="s">
        <v>8</v>
      </c>
      <c r="L306" s="54" t="s">
        <v>30</v>
      </c>
      <c r="M306" s="54" t="s">
        <v>622</v>
      </c>
      <c r="N306" s="66"/>
      <c r="O306" s="31" t="s">
        <v>1275</v>
      </c>
      <c r="P306" s="31" t="s">
        <v>1275</v>
      </c>
      <c r="Q306" s="61">
        <v>36.0</v>
      </c>
      <c r="R306" s="69" t="str">
        <f>IFERROR(__xludf.DUMMYFUNCTION("IF (OR( Q306 = """" , P306 =""""), """" , IF(Q306 = ""Menos de 1 mês"" , ""antes de ""&amp; TO_TEXT( EDATE(P306, 1)), EDATE(P306,Q306)))"),"#VALUE!")</f>
        <v>#VALUE!</v>
      </c>
      <c r="S306" s="30">
        <v>1.0</v>
      </c>
      <c r="T306" s="30">
        <v>160000.0</v>
      </c>
      <c r="U306" s="30">
        <v>160000.0</v>
      </c>
      <c r="V306" s="31" t="s">
        <v>1269</v>
      </c>
      <c r="W306" s="5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</row>
    <row r="307" ht="60.0" customHeight="1">
      <c r="A307" s="14" t="str">
        <f>if(H307&lt;&gt;"",VLOOKUP(H307,ID!$A$2:$C$999,3,FALSE),"") </f>
        <v>BT0291</v>
      </c>
      <c r="B307" s="15" t="s">
        <v>0</v>
      </c>
      <c r="C307" s="16" t="s">
        <v>1</v>
      </c>
      <c r="D307" s="38" t="s">
        <v>33</v>
      </c>
      <c r="E307" s="15" t="s">
        <v>1297</v>
      </c>
      <c r="F307" s="30">
        <v>7517.0</v>
      </c>
      <c r="G307" s="52" t="s">
        <v>1298</v>
      </c>
      <c r="H307" s="30" t="s">
        <v>1299</v>
      </c>
      <c r="I307" s="54" t="s">
        <v>1300</v>
      </c>
      <c r="J307" s="30" t="s">
        <v>1301</v>
      </c>
      <c r="K307" s="30" t="s">
        <v>8</v>
      </c>
      <c r="L307" s="54" t="s">
        <v>9</v>
      </c>
      <c r="M307" s="54" t="s">
        <v>622</v>
      </c>
      <c r="N307" s="66"/>
      <c r="O307" s="64">
        <v>44080.0</v>
      </c>
      <c r="P307" s="64">
        <v>44080.0</v>
      </c>
      <c r="Q307" s="61">
        <v>36.0</v>
      </c>
      <c r="R307" s="69">
        <f>IFERROR(__xludf.DUMMYFUNCTION("IF (OR( Q307 = """" , P307 =""""), """" , IF(Q307 = ""Menos de 1 mês"" , ""antes de ""&amp; TO_TEXT( EDATE(P307, 1)), EDATE(P307,Q307)))"),45175.0)</f>
        <v>45175</v>
      </c>
      <c r="S307" s="30">
        <v>1.0</v>
      </c>
      <c r="T307" s="30">
        <v>72000.0</v>
      </c>
      <c r="U307" s="30">
        <v>72000.0</v>
      </c>
      <c r="V307" s="64">
        <v>43927.0</v>
      </c>
      <c r="W307" s="5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</row>
    <row r="308" ht="60.0" customHeight="1">
      <c r="A308" s="14" t="str">
        <f>if(H308&lt;&gt;"",VLOOKUP(H308,ID!$A$2:$C$999,3,FALSE),"") </f>
        <v>BT0292</v>
      </c>
      <c r="B308" s="15" t="s">
        <v>0</v>
      </c>
      <c r="C308" s="16" t="s">
        <v>1</v>
      </c>
      <c r="D308" s="38" t="s">
        <v>33</v>
      </c>
      <c r="E308" s="15" t="s">
        <v>1302</v>
      </c>
      <c r="F308" s="30">
        <v>914.0</v>
      </c>
      <c r="G308" s="52" t="s">
        <v>1303</v>
      </c>
      <c r="H308" s="30" t="s">
        <v>1304</v>
      </c>
      <c r="I308" s="54" t="s">
        <v>1305</v>
      </c>
      <c r="J308" s="30" t="s">
        <v>505</v>
      </c>
      <c r="K308" s="30" t="s">
        <v>8</v>
      </c>
      <c r="L308" s="54" t="s">
        <v>96</v>
      </c>
      <c r="M308" s="54" t="s">
        <v>622</v>
      </c>
      <c r="N308" s="66"/>
      <c r="O308" s="27">
        <v>44080.0</v>
      </c>
      <c r="P308" s="64">
        <v>44080.0</v>
      </c>
      <c r="Q308" s="61">
        <v>36.0</v>
      </c>
      <c r="R308" s="69">
        <f>IFERROR(__xludf.DUMMYFUNCTION("IF (OR( Q308 = """" , P308 =""""), """" , IF(Q308 = ""Menos de 1 mês"" , ""antes de ""&amp; TO_TEXT( EDATE(P308, 1)), EDATE(P308,Q308)))"),45175.0)</f>
        <v>45175</v>
      </c>
      <c r="S308" s="30">
        <v>1.0</v>
      </c>
      <c r="T308" s="30">
        <v>914.0</v>
      </c>
      <c r="U308" s="30">
        <v>914.0</v>
      </c>
      <c r="V308" s="31" t="s">
        <v>1306</v>
      </c>
      <c r="W308" s="5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</row>
    <row r="309" ht="60.0" customHeight="1">
      <c r="A309" s="14" t="str">
        <f>if(H309&lt;&gt;"",VLOOKUP(H309,ID!$A$2:$C$999,3,FALSE),"") </f>
        <v>BT0293</v>
      </c>
      <c r="B309" s="15" t="s">
        <v>0</v>
      </c>
      <c r="C309" s="16" t="s">
        <v>1</v>
      </c>
      <c r="D309" s="38" t="s">
        <v>2</v>
      </c>
      <c r="E309" s="15" t="s">
        <v>1307</v>
      </c>
      <c r="F309" s="30">
        <v>1830.0</v>
      </c>
      <c r="G309" s="52" t="s">
        <v>1308</v>
      </c>
      <c r="H309" s="30" t="s">
        <v>1309</v>
      </c>
      <c r="I309" s="54" t="s">
        <v>1099</v>
      </c>
      <c r="J309" s="30" t="s">
        <v>346</v>
      </c>
      <c r="K309" s="30" t="s">
        <v>8</v>
      </c>
      <c r="L309" s="54" t="s">
        <v>30</v>
      </c>
      <c r="M309" s="54" t="s">
        <v>622</v>
      </c>
      <c r="N309" s="66"/>
      <c r="O309" s="64">
        <v>43927.0</v>
      </c>
      <c r="P309" s="64">
        <v>43927.0</v>
      </c>
      <c r="Q309" s="61">
        <v>36.0</v>
      </c>
      <c r="R309" s="69">
        <f>IFERROR(__xludf.DUMMYFUNCTION("IF (OR( Q309 = """" , P309 =""""), """" , IF(Q309 = ""Menos de 1 mês"" , ""antes de ""&amp; TO_TEXT( EDATE(P309, 1)), EDATE(P309,Q309)))"),45022.0)</f>
        <v>45022</v>
      </c>
      <c r="S309" s="30">
        <v>1.0</v>
      </c>
      <c r="T309" s="30">
        <v>1830.0</v>
      </c>
      <c r="U309" s="30">
        <v>1830.0</v>
      </c>
      <c r="V309" s="31" t="s">
        <v>1306</v>
      </c>
      <c r="W309" s="5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</row>
    <row r="310" ht="60.0" customHeight="1">
      <c r="A310" s="14" t="str">
        <f>if(H310&lt;&gt;"",VLOOKUP(H310,ID!$A$2:$C$999,3,FALSE),"") </f>
        <v>BT0294</v>
      </c>
      <c r="B310" s="15" t="s">
        <v>0</v>
      </c>
      <c r="C310" s="16">
        <v>0.0</v>
      </c>
      <c r="D310" s="38" t="s">
        <v>33</v>
      </c>
      <c r="E310" s="15" t="s">
        <v>1310</v>
      </c>
      <c r="F310" s="30">
        <v>252.0</v>
      </c>
      <c r="G310" s="52" t="s">
        <v>1292</v>
      </c>
      <c r="H310" s="30" t="s">
        <v>1311</v>
      </c>
      <c r="I310" s="54" t="s">
        <v>1099</v>
      </c>
      <c r="J310" s="30" t="s">
        <v>346</v>
      </c>
      <c r="K310" s="30" t="s">
        <v>8</v>
      </c>
      <c r="L310" s="54" t="s">
        <v>9</v>
      </c>
      <c r="M310" s="54" t="s">
        <v>622</v>
      </c>
      <c r="N310" s="66"/>
      <c r="O310" s="64">
        <v>44080.0</v>
      </c>
      <c r="P310" s="64">
        <v>44080.0</v>
      </c>
      <c r="Q310" s="61">
        <v>36.0</v>
      </c>
      <c r="R310" s="69">
        <f>IFERROR(__xludf.DUMMYFUNCTION("IF (OR( Q310 = """" , P310 =""""), """" , IF(Q310 = ""Menos de 1 mês"" , ""antes de ""&amp; TO_TEXT( EDATE(P310, 1)), EDATE(P310,Q310)))"),45175.0)</f>
        <v>45175</v>
      </c>
      <c r="S310" s="30">
        <v>1.0</v>
      </c>
      <c r="T310" s="30">
        <v>252.0</v>
      </c>
      <c r="U310" s="30">
        <v>252.0</v>
      </c>
      <c r="V310" s="31" t="s">
        <v>1306</v>
      </c>
      <c r="W310" s="5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</row>
    <row r="311" ht="60.0" customHeight="1">
      <c r="A311" s="14" t="str">
        <f>if(H311&lt;&gt;"",VLOOKUP(H311,ID!$A$2:$C$999,3,FALSE),"") </f>
        <v>BT0295</v>
      </c>
      <c r="B311" s="15" t="s">
        <v>0</v>
      </c>
      <c r="C311" s="16" t="s">
        <v>1</v>
      </c>
      <c r="D311" s="38" t="s">
        <v>33</v>
      </c>
      <c r="E311" s="15" t="s">
        <v>1312</v>
      </c>
      <c r="F311" s="30">
        <v>166.0</v>
      </c>
      <c r="G311" s="52" t="s">
        <v>1295</v>
      </c>
      <c r="H311" s="30" t="s">
        <v>1313</v>
      </c>
      <c r="I311" s="54" t="s">
        <v>1099</v>
      </c>
      <c r="J311" s="30" t="s">
        <v>346</v>
      </c>
      <c r="K311" s="30" t="s">
        <v>8</v>
      </c>
      <c r="L311" s="54" t="s">
        <v>30</v>
      </c>
      <c r="M311" s="54" t="s">
        <v>622</v>
      </c>
      <c r="N311" s="66"/>
      <c r="O311" s="64">
        <v>44080.0</v>
      </c>
      <c r="P311" s="64">
        <v>44080.0</v>
      </c>
      <c r="Q311" s="61">
        <v>36.0</v>
      </c>
      <c r="R311" s="69">
        <f>IFERROR(__xludf.DUMMYFUNCTION("IF (OR( Q311 = """" , P311 =""""), """" , IF(Q311 = ""Menos de 1 mês"" , ""antes de ""&amp; TO_TEXT( EDATE(P311, 1)), EDATE(P311,Q311)))"),45175.0)</f>
        <v>45175</v>
      </c>
      <c r="S311" s="30">
        <v>1.0</v>
      </c>
      <c r="T311" s="30">
        <v>166.0</v>
      </c>
      <c r="U311" s="30">
        <v>166.0</v>
      </c>
      <c r="V311" s="31" t="s">
        <v>1306</v>
      </c>
      <c r="W311" s="5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</row>
    <row r="312" ht="60.0" customHeight="1">
      <c r="A312" s="14" t="str">
        <f>if(H312&lt;&gt;"",VLOOKUP(H312,ID!$A$2:$C$999,3,FALSE),"") </f>
        <v>BT0296</v>
      </c>
      <c r="B312" s="15" t="s">
        <v>0</v>
      </c>
      <c r="C312" s="16" t="s">
        <v>1</v>
      </c>
      <c r="D312" s="38" t="s">
        <v>33</v>
      </c>
      <c r="E312" s="15" t="s">
        <v>1314</v>
      </c>
      <c r="F312" s="30">
        <v>60.0</v>
      </c>
      <c r="G312" s="52" t="s">
        <v>1315</v>
      </c>
      <c r="H312" s="30" t="s">
        <v>1316</v>
      </c>
      <c r="I312" s="54" t="s">
        <v>1099</v>
      </c>
      <c r="J312" s="30" t="s">
        <v>346</v>
      </c>
      <c r="K312" s="30" t="s">
        <v>8</v>
      </c>
      <c r="L312" s="54" t="s">
        <v>30</v>
      </c>
      <c r="M312" s="54" t="s">
        <v>622</v>
      </c>
      <c r="N312" s="66"/>
      <c r="O312" s="64">
        <v>44080.0</v>
      </c>
      <c r="P312" s="64">
        <v>44080.0</v>
      </c>
      <c r="Q312" s="61">
        <v>36.0</v>
      </c>
      <c r="R312" s="69">
        <f>IFERROR(__xludf.DUMMYFUNCTION("IF (OR( Q312 = """" , P312 =""""), """" , IF(Q312 = ""Menos de 1 mês"" , ""antes de ""&amp; TO_TEXT( EDATE(P312, 1)), EDATE(P312,Q312)))"),45175.0)</f>
        <v>45175</v>
      </c>
      <c r="S312" s="30">
        <v>7.0</v>
      </c>
      <c r="T312" s="30">
        <v>10000.0</v>
      </c>
      <c r="U312" s="30">
        <v>19000.0</v>
      </c>
      <c r="V312" s="31" t="s">
        <v>1317</v>
      </c>
      <c r="W312" s="5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</row>
    <row r="313" ht="60.0" customHeight="1">
      <c r="A313" s="14" t="str">
        <f>if(H313&lt;&gt;"",VLOOKUP(H313,ID!$A$2:$C$999,3,FALSE),"") </f>
        <v/>
      </c>
      <c r="B313" s="15" t="s">
        <v>0</v>
      </c>
      <c r="C313" s="16" t="s">
        <v>1</v>
      </c>
      <c r="D313" s="38"/>
      <c r="E313" s="15"/>
      <c r="F313" s="30"/>
      <c r="G313" s="52"/>
      <c r="H313" s="30"/>
      <c r="I313" s="54"/>
      <c r="J313" s="30"/>
      <c r="K313" s="30"/>
      <c r="L313" s="54"/>
      <c r="M313" s="54"/>
      <c r="N313" s="66"/>
      <c r="O313" s="31"/>
      <c r="P313" s="31"/>
      <c r="Q313" s="61"/>
      <c r="R313" s="69" t="str">
        <f>IFERROR(__xludf.DUMMYFUNCTION("IF (OR( Q313 = """" , P313 =""""), """" , IF(Q313 = ""Menos de 1 mês"" , ""antes de ""&amp; TO_TEXT( EDATE(P313, 1)), EDATE(P313,Q313)))"),"")</f>
        <v/>
      </c>
      <c r="S313" s="30"/>
      <c r="T313" s="30"/>
      <c r="U313" s="30"/>
      <c r="V313" s="31"/>
      <c r="W313" s="5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</row>
    <row r="314" ht="60.0" customHeight="1">
      <c r="A314" s="14" t="str">
        <f>if(H314&lt;&gt;"",VLOOKUP(H314,ID!$A$2:$C$999,3,FALSE),"") </f>
        <v>BT0297</v>
      </c>
      <c r="B314" s="15" t="s">
        <v>0</v>
      </c>
      <c r="C314" s="16" t="s">
        <v>1</v>
      </c>
      <c r="D314" s="38" t="s">
        <v>155</v>
      </c>
      <c r="E314" s="15" t="s">
        <v>1318</v>
      </c>
      <c r="F314" s="30">
        <v>1300.0</v>
      </c>
      <c r="G314" s="52" t="s">
        <v>1319</v>
      </c>
      <c r="H314" s="30" t="s">
        <v>1320</v>
      </c>
      <c r="I314" s="54" t="s">
        <v>1321</v>
      </c>
      <c r="J314" s="30" t="s">
        <v>1322</v>
      </c>
      <c r="K314" s="30" t="s">
        <v>8</v>
      </c>
      <c r="L314" s="54" t="s">
        <v>96</v>
      </c>
      <c r="M314" s="54" t="s">
        <v>622</v>
      </c>
      <c r="N314" s="66"/>
      <c r="O314" s="31" t="s">
        <v>1323</v>
      </c>
      <c r="P314" s="31" t="s">
        <v>1323</v>
      </c>
      <c r="Q314" s="61">
        <v>36.0</v>
      </c>
      <c r="R314" s="69" t="str">
        <f>IFERROR(__xludf.DUMMYFUNCTION("IF (OR( Q314 = """" , P314 =""""), """" , IF(Q314 = ""Menos de 1 mês"" , ""antes de ""&amp; TO_TEXT( EDATE(P314, 1)), EDATE(P314,Q314)))"),"#VALUE!")</f>
        <v>#VALUE!</v>
      </c>
      <c r="S314" s="30">
        <v>1.0</v>
      </c>
      <c r="T314" s="30">
        <v>28000.0</v>
      </c>
      <c r="U314" s="30">
        <v>28000.0</v>
      </c>
      <c r="V314" s="31" t="s">
        <v>1324</v>
      </c>
      <c r="W314" s="5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</row>
    <row r="315" ht="60.0" customHeight="1">
      <c r="A315" s="14" t="str">
        <f>if(H315&lt;&gt;"",VLOOKUP(H315,ID!$A$2:$C$999,3,FALSE),"") </f>
        <v>BT0298</v>
      </c>
      <c r="B315" s="15" t="s">
        <v>0</v>
      </c>
      <c r="C315" s="16" t="s">
        <v>1</v>
      </c>
      <c r="D315" s="38" t="s">
        <v>2</v>
      </c>
      <c r="E315" s="15" t="s">
        <v>1325</v>
      </c>
      <c r="F315" s="30">
        <v>30.0</v>
      </c>
      <c r="G315" s="52" t="s">
        <v>1326</v>
      </c>
      <c r="H315" s="30" t="s">
        <v>1327</v>
      </c>
      <c r="I315" s="54" t="s">
        <v>1233</v>
      </c>
      <c r="J315" s="30" t="s">
        <v>15</v>
      </c>
      <c r="K315" s="30" t="s">
        <v>8</v>
      </c>
      <c r="L315" s="54" t="s">
        <v>9</v>
      </c>
      <c r="M315" s="54" t="s">
        <v>622</v>
      </c>
      <c r="N315" s="66"/>
      <c r="O315" s="27">
        <v>44142.0</v>
      </c>
      <c r="P315" s="27">
        <v>44142.0</v>
      </c>
      <c r="Q315" s="61">
        <v>36.0</v>
      </c>
      <c r="R315" s="69">
        <f>IFERROR(__xludf.DUMMYFUNCTION("IF (OR( Q315 = """" , P315 =""""), """" , IF(Q315 = ""Menos de 1 mês"" , ""antes de ""&amp; TO_TEXT( EDATE(P315, 1)), EDATE(P315,Q315)))"),45237.0)</f>
        <v>45237</v>
      </c>
      <c r="S315" s="30">
        <v>1.0</v>
      </c>
      <c r="T315" s="30">
        <v>18000.0</v>
      </c>
      <c r="U315" s="30">
        <v>18000.0</v>
      </c>
      <c r="V315" s="64">
        <v>44173.0</v>
      </c>
      <c r="W315" s="5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</row>
    <row r="316" ht="60.0" customHeight="1">
      <c r="A316" s="14" t="str">
        <f>if(H316&lt;&gt;"",VLOOKUP(H316,ID!$A$2:$C$999,3,FALSE),"") </f>
        <v>BT0299</v>
      </c>
      <c r="B316" s="15" t="s">
        <v>0</v>
      </c>
      <c r="C316" s="16" t="s">
        <v>1</v>
      </c>
      <c r="D316" s="38" t="s">
        <v>33</v>
      </c>
      <c r="E316" s="15" t="s">
        <v>1328</v>
      </c>
      <c r="F316" s="30">
        <v>650.0</v>
      </c>
      <c r="G316" s="52" t="s">
        <v>1329</v>
      </c>
      <c r="H316" s="30" t="s">
        <v>1330</v>
      </c>
      <c r="I316" s="54" t="s">
        <v>1099</v>
      </c>
      <c r="J316" s="30" t="s">
        <v>346</v>
      </c>
      <c r="K316" s="30" t="s">
        <v>8</v>
      </c>
      <c r="L316" s="54" t="s">
        <v>30</v>
      </c>
      <c r="M316" s="54" t="s">
        <v>622</v>
      </c>
      <c r="N316" s="66"/>
      <c r="O316" s="31" t="s">
        <v>1331</v>
      </c>
      <c r="P316" s="31" t="s">
        <v>1331</v>
      </c>
      <c r="Q316" s="61">
        <v>36.0</v>
      </c>
      <c r="R316" s="69" t="str">
        <f>IFERROR(__xludf.DUMMYFUNCTION("IF (OR( Q316 = """" , P316 =""""), """" , IF(Q316 = ""Menos de 1 mês"" , ""antes de ""&amp; TO_TEXT( EDATE(P316, 1)), EDATE(P316,Q316)))"),"#VALUE!")</f>
        <v>#VALUE!</v>
      </c>
      <c r="S316" s="30">
        <v>1.0</v>
      </c>
      <c r="T316" s="30">
        <v>18000.0</v>
      </c>
      <c r="U316" s="30">
        <v>18000.0</v>
      </c>
      <c r="V316" s="64">
        <v>44173.0</v>
      </c>
      <c r="W316" s="5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</row>
    <row r="317" ht="60.0" customHeight="1">
      <c r="A317" s="14" t="str">
        <f>if(H317&lt;&gt;"",VLOOKUP(H317,ID!$A$2:$C$999,3,FALSE),"") </f>
        <v>BT0300</v>
      </c>
      <c r="B317" s="15" t="s">
        <v>0</v>
      </c>
      <c r="C317" s="16" t="s">
        <v>1</v>
      </c>
      <c r="D317" s="70" t="s">
        <v>33</v>
      </c>
      <c r="E317" s="70" t="s">
        <v>1332</v>
      </c>
      <c r="G317" s="52" t="s">
        <v>1333</v>
      </c>
      <c r="H317" s="30" t="s">
        <v>1334</v>
      </c>
      <c r="I317" s="71" t="s">
        <v>1335</v>
      </c>
      <c r="J317" s="72" t="s">
        <v>346</v>
      </c>
      <c r="K317" s="30" t="s">
        <v>8</v>
      </c>
      <c r="L317" s="54" t="s">
        <v>9</v>
      </c>
      <c r="M317" s="54" t="s">
        <v>622</v>
      </c>
      <c r="N317" s="66"/>
      <c r="O317" s="31" t="s">
        <v>1120</v>
      </c>
      <c r="P317" s="31" t="s">
        <v>1120</v>
      </c>
      <c r="Q317" s="61">
        <v>36.0</v>
      </c>
      <c r="R317" s="69" t="str">
        <f>IFERROR(__xludf.DUMMYFUNCTION("IF (OR( Q317 = """" , P317 =""""), """" , IF(Q317 = ""Menos de 1 mês"" , ""antes de ""&amp; TO_TEXT( EDATE(P317, 1)), EDATE(P317,Q317)))"),"#VALUE!")</f>
        <v>#VALUE!</v>
      </c>
      <c r="S317" s="30">
        <v>1.0</v>
      </c>
      <c r="T317" s="30" t="s">
        <v>1336</v>
      </c>
      <c r="U317" s="30" t="s">
        <v>1336</v>
      </c>
      <c r="V317" s="64">
        <v>44625.0</v>
      </c>
      <c r="W317" s="5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</row>
    <row r="318" ht="60.0" customHeight="1">
      <c r="A318" s="14" t="str">
        <f>if(H318&lt;&gt;"",VLOOKUP(H318,ID!$A$2:$C$999,3,FALSE),"") </f>
        <v>BT0301</v>
      </c>
      <c r="B318" s="15" t="s">
        <v>0</v>
      </c>
      <c r="C318" s="16" t="s">
        <v>1</v>
      </c>
      <c r="D318" s="38" t="s">
        <v>155</v>
      </c>
      <c r="E318" s="15" t="s">
        <v>1337</v>
      </c>
      <c r="F318" s="30">
        <v>900.0</v>
      </c>
      <c r="G318" s="52" t="s">
        <v>1338</v>
      </c>
      <c r="H318" s="30" t="s">
        <v>1339</v>
      </c>
      <c r="I318" s="54" t="s">
        <v>1080</v>
      </c>
      <c r="J318" s="30" t="s">
        <v>1340</v>
      </c>
      <c r="K318" s="30" t="s">
        <v>8</v>
      </c>
      <c r="L318" s="54" t="s">
        <v>30</v>
      </c>
      <c r="M318" s="54" t="s">
        <v>622</v>
      </c>
      <c r="N318" s="66"/>
      <c r="O318" s="31" t="s">
        <v>1331</v>
      </c>
      <c r="P318" s="31" t="s">
        <v>1331</v>
      </c>
      <c r="Q318" s="61">
        <v>36.0</v>
      </c>
      <c r="R318" s="69" t="str">
        <f>IFERROR(__xludf.DUMMYFUNCTION("IF (OR( Q318 = """" , P318 =""""), """" , IF(Q318 = ""Menos de 1 mês"" , ""antes de ""&amp; TO_TEXT( EDATE(P318, 1)), EDATE(P318,Q318)))"),"#VALUE!")</f>
        <v>#VALUE!</v>
      </c>
      <c r="S318" s="30">
        <v>1.0</v>
      </c>
      <c r="T318" s="30">
        <v>19000.0</v>
      </c>
      <c r="U318" s="30">
        <v>19000.0</v>
      </c>
      <c r="V318" s="64">
        <v>44173.0</v>
      </c>
      <c r="W318" s="5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</row>
    <row r="319" ht="60.0" customHeight="1">
      <c r="A319" s="14" t="str">
        <f>if(H319&lt;&gt;"",VLOOKUP(H319,ID!$A$2:$C$999,3,FALSE),"") </f>
        <v>BT0302</v>
      </c>
      <c r="B319" s="15" t="s">
        <v>0</v>
      </c>
      <c r="C319" s="16" t="s">
        <v>1</v>
      </c>
      <c r="D319" s="38" t="s">
        <v>2</v>
      </c>
      <c r="E319" s="15" t="s">
        <v>1341</v>
      </c>
      <c r="F319" s="30">
        <v>122.0</v>
      </c>
      <c r="G319" s="52" t="s">
        <v>1342</v>
      </c>
      <c r="H319" s="30" t="s">
        <v>1343</v>
      </c>
      <c r="I319" s="54" t="s">
        <v>1344</v>
      </c>
      <c r="J319" s="30" t="s">
        <v>1345</v>
      </c>
      <c r="K319" s="30" t="s">
        <v>8</v>
      </c>
      <c r="L319" s="54" t="s">
        <v>1346</v>
      </c>
      <c r="M319" s="54" t="s">
        <v>622</v>
      </c>
      <c r="N319" s="66"/>
      <c r="O319" s="31" t="s">
        <v>347</v>
      </c>
      <c r="P319" s="31" t="s">
        <v>347</v>
      </c>
      <c r="Q319" s="61">
        <v>36.0</v>
      </c>
      <c r="R319" s="69" t="str">
        <f>IFERROR(__xludf.DUMMYFUNCTION("IF (OR( Q319 = """" , P319 =""""), """" , IF(Q319 = ""Menos de 1 mês"" , ""antes de ""&amp; TO_TEXT( EDATE(P319, 1)), EDATE(P319,Q319)))"),"#VALUE!")</f>
        <v>#VALUE!</v>
      </c>
      <c r="S319" s="30">
        <v>1.0</v>
      </c>
      <c r="T319" s="30">
        <v>270000.0</v>
      </c>
      <c r="U319" s="30">
        <v>270000.0</v>
      </c>
      <c r="V319" s="31" t="s">
        <v>348</v>
      </c>
      <c r="W319" s="5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</row>
    <row r="320" ht="60.0" customHeight="1">
      <c r="A320" s="14" t="str">
        <f>if(H320&lt;&gt;"",VLOOKUP(H320,ID!$A$2:$C$999,3,FALSE),"") </f>
        <v>BT0303</v>
      </c>
      <c r="B320" s="15" t="s">
        <v>0</v>
      </c>
      <c r="C320" s="16" t="s">
        <v>1</v>
      </c>
      <c r="D320" s="38" t="s">
        <v>33</v>
      </c>
      <c r="E320" s="15" t="s">
        <v>1347</v>
      </c>
      <c r="F320" s="30">
        <v>6200.0</v>
      </c>
      <c r="G320" s="52" t="s">
        <v>523</v>
      </c>
      <c r="H320" s="30" t="s">
        <v>1348</v>
      </c>
      <c r="I320" s="54" t="s">
        <v>1099</v>
      </c>
      <c r="J320" s="30" t="s">
        <v>346</v>
      </c>
      <c r="K320" s="30" t="s">
        <v>8</v>
      </c>
      <c r="L320" s="54" t="s">
        <v>9</v>
      </c>
      <c r="M320" s="54" t="s">
        <v>622</v>
      </c>
      <c r="N320" s="66"/>
      <c r="O320" s="31" t="s">
        <v>347</v>
      </c>
      <c r="P320" s="31" t="s">
        <v>347</v>
      </c>
      <c r="Q320" s="61">
        <v>36.0</v>
      </c>
      <c r="R320" s="69" t="str">
        <f>IFERROR(__xludf.DUMMYFUNCTION("IF (OR( Q320 = """" , P320 =""""), """" , IF(Q320 = ""Menos de 1 mês"" , ""antes de ""&amp; TO_TEXT( EDATE(P320, 1)), EDATE(P320,Q320)))"),"#VALUE!")</f>
        <v>#VALUE!</v>
      </c>
      <c r="S320" s="30">
        <v>4.0</v>
      </c>
      <c r="T320" s="30">
        <v>36000.0</v>
      </c>
      <c r="U320" s="30">
        <v>36000.0</v>
      </c>
      <c r="V320" s="31"/>
      <c r="W320" s="5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</row>
    <row r="321" ht="60.0" customHeight="1">
      <c r="A321" s="14" t="str">
        <f>if(H321&lt;&gt;"",VLOOKUP(H321,ID!$A$2:$C$999,3,FALSE),"") </f>
        <v>BT0304</v>
      </c>
      <c r="B321" s="15" t="s">
        <v>0</v>
      </c>
      <c r="C321" s="16" t="s">
        <v>1</v>
      </c>
      <c r="D321" s="38" t="s">
        <v>33</v>
      </c>
      <c r="E321" s="15" t="s">
        <v>1349</v>
      </c>
      <c r="F321" s="30">
        <v>10000.0</v>
      </c>
      <c r="G321" s="52" t="s">
        <v>1350</v>
      </c>
      <c r="H321" s="30" t="s">
        <v>1351</v>
      </c>
      <c r="I321" s="54" t="s">
        <v>1099</v>
      </c>
      <c r="J321" s="30" t="s">
        <v>346</v>
      </c>
      <c r="K321" s="30" t="s">
        <v>8</v>
      </c>
      <c r="L321" s="54" t="s">
        <v>96</v>
      </c>
      <c r="M321" s="54" t="s">
        <v>622</v>
      </c>
      <c r="N321" s="66"/>
      <c r="O321" s="33">
        <v>44288.0</v>
      </c>
      <c r="P321" s="33">
        <v>44288.0</v>
      </c>
      <c r="Q321" s="61">
        <v>36.0</v>
      </c>
      <c r="R321" s="69">
        <f>IFERROR(__xludf.DUMMYFUNCTION("IF (OR( Q321 = """" , P321 =""""), """" , IF(Q321 = ""Menos de 1 mês"" , ""antes de ""&amp; TO_TEXT( EDATE(P321, 1)), EDATE(P321,Q321)))"),45384.0)</f>
        <v>45384</v>
      </c>
      <c r="S321" s="30">
        <v>7.0</v>
      </c>
      <c r="T321" s="30">
        <v>36000.0</v>
      </c>
      <c r="U321" s="30">
        <v>36000.0</v>
      </c>
      <c r="V321" s="31" t="s">
        <v>1352</v>
      </c>
      <c r="W321" s="5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</row>
    <row r="322" ht="60.0" customHeight="1">
      <c r="A322" s="14" t="str">
        <f>if(H322&lt;&gt;"",VLOOKUP(H322,ID!$A$2:$C$999,3,FALSE),"") </f>
        <v>BT0305</v>
      </c>
      <c r="B322" s="15" t="s">
        <v>0</v>
      </c>
      <c r="C322" s="16" t="s">
        <v>1</v>
      </c>
      <c r="D322" s="38" t="s">
        <v>33</v>
      </c>
      <c r="E322" s="15" t="s">
        <v>1353</v>
      </c>
      <c r="F322" s="30">
        <v>2700.0</v>
      </c>
      <c r="G322" s="52" t="s">
        <v>1354</v>
      </c>
      <c r="H322" s="30" t="s">
        <v>1355</v>
      </c>
      <c r="I322" s="54" t="s">
        <v>1356</v>
      </c>
      <c r="J322" s="30" t="s">
        <v>1357</v>
      </c>
      <c r="K322" s="30" t="s">
        <v>8</v>
      </c>
      <c r="L322" s="54" t="s">
        <v>30</v>
      </c>
      <c r="M322" s="54" t="s">
        <v>622</v>
      </c>
      <c r="N322" s="66"/>
      <c r="O322" s="31" t="s">
        <v>251</v>
      </c>
      <c r="P322" s="31" t="s">
        <v>251</v>
      </c>
      <c r="Q322" s="61">
        <v>36.0</v>
      </c>
      <c r="R322" s="69" t="str">
        <f>IFERROR(__xludf.DUMMYFUNCTION("IF (OR( Q322 = """" , P322 =""""), """" , IF(Q322 = ""Menos de 1 mês"" , ""antes de ""&amp; TO_TEXT( EDATE(P322, 1)), EDATE(P322,Q322)))"),"#VALUE!")</f>
        <v>#VALUE!</v>
      </c>
      <c r="S322" s="30">
        <v>1.0</v>
      </c>
      <c r="T322" s="30">
        <v>23000.0</v>
      </c>
      <c r="U322" s="30">
        <v>23000.0</v>
      </c>
      <c r="V322" s="31" t="s">
        <v>32</v>
      </c>
      <c r="W322" s="5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</row>
    <row r="323" ht="60.0" customHeight="1">
      <c r="A323" s="14" t="str">
        <f>if(H323&lt;&gt;"",VLOOKUP(H323,ID!$A$2:$C$999,3,FALSE),"") </f>
        <v>BT0306</v>
      </c>
      <c r="B323" s="15" t="s">
        <v>0</v>
      </c>
      <c r="C323" s="16" t="s">
        <v>1</v>
      </c>
      <c r="D323" s="73" t="s">
        <v>33</v>
      </c>
      <c r="E323" s="73" t="s">
        <v>114</v>
      </c>
      <c r="F323" s="74">
        <v>1650.0</v>
      </c>
      <c r="G323" s="52" t="s">
        <v>1358</v>
      </c>
      <c r="H323" s="30" t="s">
        <v>1359</v>
      </c>
      <c r="I323" s="75" t="s">
        <v>1360</v>
      </c>
      <c r="J323" s="76" t="s">
        <v>118</v>
      </c>
      <c r="K323" s="30" t="s">
        <v>8</v>
      </c>
      <c r="L323" s="54" t="s">
        <v>30</v>
      </c>
      <c r="M323" s="54" t="s">
        <v>1361</v>
      </c>
      <c r="N323" s="66"/>
      <c r="O323" s="33">
        <v>44682.0</v>
      </c>
      <c r="P323" s="33">
        <v>44682.0</v>
      </c>
      <c r="Q323" s="61">
        <v>36.0</v>
      </c>
      <c r="R323" s="69">
        <f>IFERROR(__xludf.DUMMYFUNCTION("IF (OR( Q323 = """" , P323 =""""), """" , IF(Q323 = ""Menos de 1 mês"" , ""antes de ""&amp; TO_TEXT( EDATE(P323, 1)), EDATE(P323,Q323)))"),45778.0)</f>
        <v>45778</v>
      </c>
      <c r="S323" s="30">
        <v>1.0</v>
      </c>
      <c r="T323" s="30" t="s">
        <v>1262</v>
      </c>
      <c r="U323" s="30" t="s">
        <v>1262</v>
      </c>
      <c r="V323" s="64">
        <v>44625.0</v>
      </c>
      <c r="W323" s="5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</row>
    <row r="324" ht="60.0" customHeight="1">
      <c r="A324" s="14" t="str">
        <f>if(H324&lt;&gt;"",VLOOKUP(H324,ID!$A$2:$C$999,3,FALSE),"") </f>
        <v>BT0307</v>
      </c>
      <c r="B324" s="15" t="s">
        <v>0</v>
      </c>
      <c r="C324" s="16" t="s">
        <v>1</v>
      </c>
      <c r="D324" s="38" t="s">
        <v>46</v>
      </c>
      <c r="E324" s="15" t="s">
        <v>1362</v>
      </c>
      <c r="F324" s="30">
        <v>3354.0</v>
      </c>
      <c r="G324" s="52" t="s">
        <v>1363</v>
      </c>
      <c r="H324" s="30" t="s">
        <v>1364</v>
      </c>
      <c r="I324" s="54" t="s">
        <v>1365</v>
      </c>
      <c r="J324" s="30" t="s">
        <v>1366</v>
      </c>
      <c r="K324" s="30" t="s">
        <v>8</v>
      </c>
      <c r="L324" s="54" t="s">
        <v>9</v>
      </c>
      <c r="M324" s="54" t="s">
        <v>622</v>
      </c>
      <c r="N324" s="66"/>
      <c r="O324" s="31" t="s">
        <v>347</v>
      </c>
      <c r="P324" s="31" t="s">
        <v>347</v>
      </c>
      <c r="Q324" s="61">
        <v>36.0</v>
      </c>
      <c r="R324" s="69" t="str">
        <f>IFERROR(__xludf.DUMMYFUNCTION("IF (OR( Q324 = """" , P324 =""""), """" , IF(Q324 = ""Menos de 1 mês"" , ""antes de ""&amp; TO_TEXT( EDATE(P324, 1)), EDATE(P324,Q324)))"),"#VALUE!")</f>
        <v>#VALUE!</v>
      </c>
      <c r="S324" s="30">
        <v>2.0</v>
      </c>
      <c r="T324" s="30">
        <v>28000.0</v>
      </c>
      <c r="U324" s="30">
        <v>28000.0</v>
      </c>
      <c r="V324" s="31" t="s">
        <v>348</v>
      </c>
      <c r="W324" s="5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</row>
    <row r="325" ht="60.0" customHeight="1">
      <c r="A325" s="14" t="str">
        <f>if(H325&lt;&gt;"",VLOOKUP(H325,ID!$A$2:$C$999,3,FALSE),"") </f>
        <v>BT0308</v>
      </c>
      <c r="B325" s="15" t="s">
        <v>0</v>
      </c>
      <c r="C325" s="16" t="s">
        <v>1</v>
      </c>
      <c r="D325" s="38" t="s">
        <v>2</v>
      </c>
      <c r="E325" s="77" t="s">
        <v>1367</v>
      </c>
      <c r="F325" s="30">
        <v>402.0</v>
      </c>
      <c r="G325" s="52" t="s">
        <v>1368</v>
      </c>
      <c r="H325" s="30" t="s">
        <v>1369</v>
      </c>
      <c r="I325" s="54" t="s">
        <v>1370</v>
      </c>
      <c r="J325" s="30" t="s">
        <v>1371</v>
      </c>
      <c r="K325" s="30" t="s">
        <v>8</v>
      </c>
      <c r="L325" s="54" t="s">
        <v>9</v>
      </c>
      <c r="M325" s="54" t="s">
        <v>622</v>
      </c>
      <c r="N325" s="66"/>
      <c r="O325" s="33">
        <v>44682.0</v>
      </c>
      <c r="P325" s="33">
        <v>44682.0</v>
      </c>
      <c r="Q325" s="61">
        <v>36.0</v>
      </c>
      <c r="R325" s="69">
        <f>IFERROR(__xludf.DUMMYFUNCTION("IF (OR( Q325 = """" , P325 =""""), """" , IF(Q325 = ""Menos de 1 mês"" , ""antes de ""&amp; TO_TEXT( EDATE(P325, 1)), EDATE(P325,Q325)))"),45778.0)</f>
        <v>45778</v>
      </c>
      <c r="S325" s="30">
        <v>1.0</v>
      </c>
      <c r="T325" s="30" t="s">
        <v>1262</v>
      </c>
      <c r="U325" s="30" t="s">
        <v>1262</v>
      </c>
      <c r="V325" s="64">
        <v>44625.0</v>
      </c>
      <c r="W325" s="5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</row>
    <row r="326" ht="60.0" customHeight="1">
      <c r="A326" s="14" t="str">
        <f>if(H326&lt;&gt;"",VLOOKUP(H326,ID!$A$2:$C$999,3,FALSE),"") </f>
        <v>BT0309</v>
      </c>
      <c r="B326" s="15" t="s">
        <v>0</v>
      </c>
      <c r="C326" s="16" t="s">
        <v>1</v>
      </c>
      <c r="D326" s="38" t="s">
        <v>33</v>
      </c>
      <c r="E326" s="15" t="s">
        <v>1372</v>
      </c>
      <c r="F326" s="30">
        <v>205.0</v>
      </c>
      <c r="G326" s="52" t="s">
        <v>507</v>
      </c>
      <c r="H326" s="30" t="s">
        <v>1373</v>
      </c>
      <c r="I326" s="54" t="s">
        <v>504</v>
      </c>
      <c r="J326" s="30" t="s">
        <v>505</v>
      </c>
      <c r="K326" s="30" t="s">
        <v>8</v>
      </c>
      <c r="L326" s="54" t="s">
        <v>96</v>
      </c>
      <c r="M326" s="54" t="s">
        <v>622</v>
      </c>
      <c r="N326" s="66"/>
      <c r="O326" s="31" t="s">
        <v>24</v>
      </c>
      <c r="P326" s="31" t="s">
        <v>24</v>
      </c>
      <c r="Q326" s="61">
        <v>36.0</v>
      </c>
      <c r="R326" s="69" t="str">
        <f>IFERROR(__xludf.DUMMYFUNCTION("IF (OR( Q326 = """" , P326 =""""), """" , IF(Q326 = ""Menos de 1 mês"" , ""antes de ""&amp; TO_TEXT( EDATE(P326, 1)), EDATE(P326,Q326)))"),"#VALUE!")</f>
        <v>#VALUE!</v>
      </c>
      <c r="S326" s="30">
        <v>1.0</v>
      </c>
      <c r="T326" s="30">
        <v>23000.0</v>
      </c>
      <c r="U326" s="30">
        <v>23000.0</v>
      </c>
      <c r="V326" s="31" t="s">
        <v>1374</v>
      </c>
      <c r="W326" s="5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</row>
    <row r="327" ht="60.0" customHeight="1">
      <c r="A327" s="14" t="str">
        <f>if(H327&lt;&gt;"",VLOOKUP(H327,ID!$A$2:$C$999,3,FALSE),"") </f>
        <v>BT0049</v>
      </c>
      <c r="B327" s="15" t="s">
        <v>0</v>
      </c>
      <c r="C327" s="16" t="s">
        <v>1</v>
      </c>
      <c r="D327" s="38" t="s">
        <v>46</v>
      </c>
      <c r="E327" s="15" t="s">
        <v>1375</v>
      </c>
      <c r="F327" s="30">
        <v>38.0</v>
      </c>
      <c r="G327" s="52" t="s">
        <v>253</v>
      </c>
      <c r="H327" s="30" t="s">
        <v>254</v>
      </c>
      <c r="I327" s="54" t="s">
        <v>1376</v>
      </c>
      <c r="J327" s="30" t="s">
        <v>250</v>
      </c>
      <c r="K327" s="30" t="s">
        <v>8</v>
      </c>
      <c r="L327" s="54" t="s">
        <v>30</v>
      </c>
      <c r="M327" s="54" t="s">
        <v>622</v>
      </c>
      <c r="N327" s="66"/>
      <c r="O327" s="31" t="s">
        <v>251</v>
      </c>
      <c r="P327" s="31" t="s">
        <v>251</v>
      </c>
      <c r="Q327" s="61">
        <v>36.0</v>
      </c>
      <c r="R327" s="69" t="str">
        <f>IFERROR(__xludf.DUMMYFUNCTION("IF (OR( Q327 = """" , P327 =""""), """" , IF(Q327 = ""Menos de 1 mês"" , ""antes de ""&amp; TO_TEXT( EDATE(P327, 1)), EDATE(P327,Q327)))"),"#VALUE!")</f>
        <v>#VALUE!</v>
      </c>
      <c r="S327" s="30">
        <v>1.0</v>
      </c>
      <c r="T327" s="30">
        <v>22000.0</v>
      </c>
      <c r="U327" s="30">
        <v>22000.0</v>
      </c>
      <c r="V327" s="64">
        <v>43983.0</v>
      </c>
      <c r="W327" s="5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</row>
    <row r="328" ht="60.0" customHeight="1">
      <c r="A328" s="14" t="str">
        <f>if(H328&lt;&gt;"",VLOOKUP(H328,ID!$A$2:$C$999,3,FALSE),"") </f>
        <v>BT0048</v>
      </c>
      <c r="B328" s="15" t="s">
        <v>0</v>
      </c>
      <c r="C328" s="16" t="s">
        <v>1</v>
      </c>
      <c r="D328" s="38" t="s">
        <v>46</v>
      </c>
      <c r="E328" s="15" t="s">
        <v>1377</v>
      </c>
      <c r="F328" s="30">
        <v>569.0</v>
      </c>
      <c r="G328" s="52" t="s">
        <v>370</v>
      </c>
      <c r="H328" s="30" t="s">
        <v>248</v>
      </c>
      <c r="I328" s="54" t="s">
        <v>1376</v>
      </c>
      <c r="J328" s="30" t="s">
        <v>250</v>
      </c>
      <c r="K328" s="30" t="s">
        <v>8</v>
      </c>
      <c r="L328" s="54" t="s">
        <v>96</v>
      </c>
      <c r="M328" s="54" t="s">
        <v>622</v>
      </c>
      <c r="N328" s="66"/>
      <c r="O328" s="31" t="s">
        <v>251</v>
      </c>
      <c r="P328" s="31" t="s">
        <v>251</v>
      </c>
      <c r="Q328" s="61">
        <v>36.0</v>
      </c>
      <c r="R328" s="69" t="str">
        <f>IFERROR(__xludf.DUMMYFUNCTION("IF (OR( Q328 = """" , P328 =""""), """" , IF(Q328 = ""Menos de 1 mês"" , ""antes de ""&amp; TO_TEXT( EDATE(P328, 1)), EDATE(P328,Q328)))"),"#VALUE!")</f>
        <v>#VALUE!</v>
      </c>
      <c r="S328" s="30">
        <v>1.0</v>
      </c>
      <c r="T328" s="30">
        <v>36000.0</v>
      </c>
      <c r="U328" s="30">
        <v>36000.0</v>
      </c>
      <c r="V328" s="27">
        <v>43983.0</v>
      </c>
      <c r="W328" s="5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</row>
    <row r="329" ht="60.0" customHeight="1">
      <c r="A329" s="14" t="str">
        <f>if(H329&lt;&gt;"",VLOOKUP(H329,ID!$A$2:$C$999,3,FALSE),"") </f>
        <v>BT0310</v>
      </c>
      <c r="B329" s="15" t="s">
        <v>0</v>
      </c>
      <c r="C329" s="16" t="s">
        <v>1</v>
      </c>
      <c r="D329" s="38" t="s">
        <v>1378</v>
      </c>
      <c r="E329" s="15" t="s">
        <v>1379</v>
      </c>
      <c r="F329" s="30">
        <v>30.0</v>
      </c>
      <c r="G329" s="52" t="s">
        <v>1380</v>
      </c>
      <c r="H329" s="30" t="s">
        <v>1381</v>
      </c>
      <c r="I329" s="54" t="s">
        <v>1382</v>
      </c>
      <c r="J329" s="30" t="s">
        <v>1383</v>
      </c>
      <c r="K329" s="30" t="s">
        <v>8</v>
      </c>
      <c r="L329" s="54" t="s">
        <v>30</v>
      </c>
      <c r="M329" s="54" t="s">
        <v>622</v>
      </c>
      <c r="N329" s="66"/>
      <c r="O329" s="64">
        <v>44147.0</v>
      </c>
      <c r="P329" s="64">
        <v>44147.0</v>
      </c>
      <c r="Q329" s="61">
        <v>36.0</v>
      </c>
      <c r="R329" s="69">
        <f>IFERROR(__xludf.DUMMYFUNCTION("IF (OR( Q329 = """" , P329 =""""), """" , IF(Q329 = ""Menos de 1 mês"" , ""antes de ""&amp; TO_TEXT( EDATE(P329, 1)), EDATE(P329,Q329)))"),45242.0)</f>
        <v>45242</v>
      </c>
      <c r="S329" s="30">
        <v>1.0</v>
      </c>
      <c r="T329" s="30">
        <v>19000.0</v>
      </c>
      <c r="U329" s="30">
        <v>19000.0</v>
      </c>
      <c r="V329" s="64">
        <v>44198.0</v>
      </c>
      <c r="W329" s="5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</row>
    <row r="330" ht="60.0" customHeight="1">
      <c r="A330" s="14" t="str">
        <f>if(H330&lt;&gt;"",VLOOKUP(H330,ID!$A$2:$C$999,3,FALSE),"") </f>
        <v>BT0311</v>
      </c>
      <c r="B330" s="15" t="s">
        <v>0</v>
      </c>
      <c r="C330" s="16" t="s">
        <v>1</v>
      </c>
      <c r="D330" s="38" t="s">
        <v>46</v>
      </c>
      <c r="E330" s="15" t="s">
        <v>1384</v>
      </c>
      <c r="F330" s="30">
        <v>133.0</v>
      </c>
      <c r="G330" s="52" t="s">
        <v>1251</v>
      </c>
      <c r="H330" s="30" t="s">
        <v>1385</v>
      </c>
      <c r="I330" s="54" t="s">
        <v>1386</v>
      </c>
      <c r="J330" s="30" t="s">
        <v>197</v>
      </c>
      <c r="K330" s="30" t="s">
        <v>8</v>
      </c>
      <c r="L330" s="54" t="s">
        <v>30</v>
      </c>
      <c r="M330" s="54" t="s">
        <v>622</v>
      </c>
      <c r="N330" s="66"/>
      <c r="O330" s="31" t="s">
        <v>1387</v>
      </c>
      <c r="P330" s="31" t="s">
        <v>1387</v>
      </c>
      <c r="Q330" s="61">
        <v>36.0</v>
      </c>
      <c r="R330" s="69" t="str">
        <f>IFERROR(__xludf.DUMMYFUNCTION("IF (OR( Q330 = """" , P330 =""""), """" , IF(Q330 = ""Menos de 1 mês"" , ""antes de ""&amp; TO_TEXT( EDATE(P330, 1)), EDATE(P330,Q330)))"),"#VALUE!")</f>
        <v>#VALUE!</v>
      </c>
      <c r="S330" s="30">
        <v>1.0</v>
      </c>
      <c r="T330" s="30">
        <v>10800.0</v>
      </c>
      <c r="U330" s="30">
        <v>10800.0</v>
      </c>
      <c r="V330" s="31" t="s">
        <v>86</v>
      </c>
      <c r="W330" s="5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</row>
    <row r="331" ht="60.0" customHeight="1">
      <c r="A331" s="14" t="str">
        <f>if(H331&lt;&gt;"",VLOOKUP(H331,ID!$A$2:$C$999,3,FALSE),"") </f>
        <v>BT0312</v>
      </c>
      <c r="B331" s="15" t="s">
        <v>0</v>
      </c>
      <c r="C331" s="16" t="s">
        <v>1</v>
      </c>
      <c r="D331" s="38" t="s">
        <v>2</v>
      </c>
      <c r="E331" s="78" t="s">
        <v>1388</v>
      </c>
      <c r="F331" s="30">
        <v>729.0</v>
      </c>
      <c r="G331" s="52" t="s">
        <v>1389</v>
      </c>
      <c r="H331" s="30" t="s">
        <v>1390</v>
      </c>
      <c r="I331" s="54" t="s">
        <v>1391</v>
      </c>
      <c r="J331" s="30" t="s">
        <v>699</v>
      </c>
      <c r="K331" s="30" t="s">
        <v>8</v>
      </c>
      <c r="L331" s="54" t="s">
        <v>9</v>
      </c>
      <c r="M331" s="54" t="s">
        <v>622</v>
      </c>
      <c r="N331" s="66"/>
      <c r="O331" s="33">
        <v>44682.0</v>
      </c>
      <c r="P331" s="33">
        <v>44682.0</v>
      </c>
      <c r="Q331" s="61">
        <v>36.0</v>
      </c>
      <c r="R331" s="69">
        <f>IFERROR(__xludf.DUMMYFUNCTION("IF (OR( Q331 = """" , P331 =""""), """" , IF(Q331 = ""Menos de 1 mês"" , ""antes de ""&amp; TO_TEXT( EDATE(P331, 1)), EDATE(P331,Q331)))"),45778.0)</f>
        <v>45778</v>
      </c>
      <c r="S331" s="30">
        <v>1.0</v>
      </c>
      <c r="T331" s="30" t="s">
        <v>1392</v>
      </c>
      <c r="U331" s="30" t="s">
        <v>1392</v>
      </c>
      <c r="V331" s="64">
        <v>44625.0</v>
      </c>
      <c r="W331" s="5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</row>
    <row r="332" ht="60.0" customHeight="1">
      <c r="A332" s="14" t="str">
        <f>if(H332&lt;&gt;"",VLOOKUP(H332,ID!$A$2:$C$999,3,FALSE),"") </f>
        <v>BT0313</v>
      </c>
      <c r="B332" s="15" t="s">
        <v>0</v>
      </c>
      <c r="C332" s="16" t="s">
        <v>1</v>
      </c>
      <c r="D332" s="38" t="s">
        <v>33</v>
      </c>
      <c r="E332" s="15" t="s">
        <v>1393</v>
      </c>
      <c r="F332" s="30">
        <v>48.0</v>
      </c>
      <c r="G332" s="52" t="s">
        <v>1329</v>
      </c>
      <c r="H332" s="30" t="s">
        <v>1394</v>
      </c>
      <c r="I332" s="54" t="s">
        <v>1335</v>
      </c>
      <c r="J332" s="30" t="s">
        <v>346</v>
      </c>
      <c r="K332" s="30" t="s">
        <v>8</v>
      </c>
      <c r="L332" s="54" t="s">
        <v>30</v>
      </c>
      <c r="M332" s="54" t="s">
        <v>622</v>
      </c>
      <c r="N332" s="66"/>
      <c r="O332" s="33">
        <v>44142.0</v>
      </c>
      <c r="P332" s="33">
        <v>44142.0</v>
      </c>
      <c r="Q332" s="61">
        <v>36.0</v>
      </c>
      <c r="R332" s="69">
        <f>IFERROR(__xludf.DUMMYFUNCTION("IF (OR( Q332 = """" , P332 =""""), """" , IF(Q332 = ""Menos de 1 mês"" , ""antes de ""&amp; TO_TEXT( EDATE(P332, 1)), EDATE(P332,Q332)))"),45237.0)</f>
        <v>45237</v>
      </c>
      <c r="S332" s="30">
        <v>1.0</v>
      </c>
      <c r="T332" s="30">
        <v>18000.0</v>
      </c>
      <c r="U332" s="30">
        <v>18000.0</v>
      </c>
      <c r="V332" s="64">
        <v>44409.0</v>
      </c>
      <c r="W332" s="5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</row>
    <row r="333" ht="60.0" customHeight="1">
      <c r="A333" s="14" t="str">
        <f>if(H333&lt;&gt;"",VLOOKUP(H333,ID!$A$2:$C$999,3,FALSE),"") </f>
        <v>BT0250</v>
      </c>
      <c r="B333" s="15" t="s">
        <v>0</v>
      </c>
      <c r="C333" s="16" t="s">
        <v>1</v>
      </c>
      <c r="D333" s="38" t="s">
        <v>33</v>
      </c>
      <c r="E333" s="15" t="s">
        <v>1045</v>
      </c>
      <c r="F333" s="30">
        <v>1114.0</v>
      </c>
      <c r="G333" s="52" t="s">
        <v>1100</v>
      </c>
      <c r="H333" s="30" t="s">
        <v>1101</v>
      </c>
      <c r="I333" s="54" t="s">
        <v>1395</v>
      </c>
      <c r="J333" s="30" t="s">
        <v>1396</v>
      </c>
      <c r="K333" s="30" t="s">
        <v>8</v>
      </c>
      <c r="L333" s="54" t="s">
        <v>9</v>
      </c>
      <c r="M333" s="54" t="s">
        <v>622</v>
      </c>
      <c r="N333" s="66"/>
      <c r="O333" s="27">
        <v>44502.0</v>
      </c>
      <c r="P333" s="27">
        <v>44502.0</v>
      </c>
      <c r="Q333" s="61">
        <v>6.0</v>
      </c>
      <c r="R333" s="69">
        <f>IFERROR(__xludf.DUMMYFUNCTION("IF (OR( Q333 = """" , P333 =""""), """" , IF(Q333 = ""Menos de 1 mês"" , ""antes de ""&amp; TO_TEXT( EDATE(P333, 1)), EDATE(P333,Q333)))"),44683.0)</f>
        <v>44683</v>
      </c>
      <c r="S333" s="30">
        <v>1.0</v>
      </c>
      <c r="T333" s="30">
        <v>18000.0</v>
      </c>
      <c r="U333" s="30">
        <v>18000.0</v>
      </c>
      <c r="V333" s="64">
        <v>44502.0</v>
      </c>
      <c r="W333" s="5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</row>
    <row r="334" ht="60.0" customHeight="1">
      <c r="A334" s="14" t="str">
        <f>if(H334&lt;&gt;"",VLOOKUP(H334,ID!$A$2:$C$999,3,FALSE),"") </f>
        <v>BT0314</v>
      </c>
      <c r="B334" s="15" t="s">
        <v>0</v>
      </c>
      <c r="C334" s="16" t="s">
        <v>1</v>
      </c>
      <c r="D334" s="38" t="s">
        <v>155</v>
      </c>
      <c r="E334" s="15" t="s">
        <v>1397</v>
      </c>
      <c r="F334" s="30">
        <v>4750.0</v>
      </c>
      <c r="G334" s="52" t="s">
        <v>1398</v>
      </c>
      <c r="H334" s="30" t="s">
        <v>1399</v>
      </c>
      <c r="I334" s="54" t="s">
        <v>1400</v>
      </c>
      <c r="J334" s="30" t="s">
        <v>1401</v>
      </c>
      <c r="K334" s="30" t="s">
        <v>8</v>
      </c>
      <c r="L334" s="54" t="s">
        <v>9</v>
      </c>
      <c r="M334" s="54" t="s">
        <v>622</v>
      </c>
      <c r="N334" s="66"/>
      <c r="O334" s="64">
        <v>44288.0</v>
      </c>
      <c r="P334" s="64">
        <v>44288.0</v>
      </c>
      <c r="Q334" s="61">
        <v>36.0</v>
      </c>
      <c r="R334" s="69">
        <f>IFERROR(__xludf.DUMMYFUNCTION("IF (OR( Q334 = """" , P334 =""""), """" , IF(Q334 = ""Menos de 1 mês"" , ""antes de ""&amp; TO_TEXT( EDATE(P334, 1)), EDATE(P334,Q334)))"),45384.0)</f>
        <v>45384</v>
      </c>
      <c r="S334" s="30">
        <v>2.0</v>
      </c>
      <c r="T334" s="30">
        <v>19000.0</v>
      </c>
      <c r="U334" s="30">
        <v>19000.0</v>
      </c>
      <c r="V334" s="33">
        <v>44502.0</v>
      </c>
      <c r="W334" s="5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</row>
    <row r="335" ht="60.0" customHeight="1">
      <c r="A335" s="14" t="str">
        <f>if(H335&lt;&gt;"",VLOOKUP(H335,ID!$A$2:$C$999,3,FALSE),"") </f>
        <v>BT0005</v>
      </c>
      <c r="B335" s="15" t="s">
        <v>0</v>
      </c>
      <c r="C335" s="16" t="s">
        <v>1</v>
      </c>
      <c r="D335" s="38" t="s">
        <v>33</v>
      </c>
      <c r="E335" s="15" t="s">
        <v>34</v>
      </c>
      <c r="F335" s="30">
        <v>1257.0</v>
      </c>
      <c r="G335" s="52" t="s">
        <v>35</v>
      </c>
      <c r="H335" s="30" t="s">
        <v>36</v>
      </c>
      <c r="I335" s="54" t="s">
        <v>1402</v>
      </c>
      <c r="J335" s="30" t="s">
        <v>422</v>
      </c>
      <c r="K335" s="30" t="s">
        <v>8</v>
      </c>
      <c r="L335" s="54" t="s">
        <v>9</v>
      </c>
      <c r="M335" s="54" t="s">
        <v>622</v>
      </c>
      <c r="N335" s="66"/>
      <c r="O335" s="64">
        <v>44288.0</v>
      </c>
      <c r="P335" s="64">
        <v>44288.0</v>
      </c>
      <c r="Q335" s="61">
        <v>36.0</v>
      </c>
      <c r="R335" s="69">
        <f>IFERROR(__xludf.DUMMYFUNCTION("IF (OR( Q335 = """" , P335 =""""), """" , IF(Q335 = ""Menos de 1 mês"" , ""antes de ""&amp; TO_TEXT( EDATE(P335, 1)), EDATE(P335,Q335)))"),45384.0)</f>
        <v>45384</v>
      </c>
      <c r="S335" s="30">
        <v>1.0</v>
      </c>
      <c r="T335" s="30">
        <v>28000.0</v>
      </c>
      <c r="U335" s="30">
        <v>28000.0</v>
      </c>
      <c r="V335" s="31" t="s">
        <v>1403</v>
      </c>
      <c r="W335" s="5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</row>
    <row r="336" ht="60.0" customHeight="1">
      <c r="A336" s="14" t="str">
        <f>if(H336&lt;&gt;"",VLOOKUP(H336,ID!$A$2:$C$999,3,FALSE),"") </f>
        <v>BT0315</v>
      </c>
      <c r="B336" s="15" t="s">
        <v>0</v>
      </c>
      <c r="C336" s="16" t="s">
        <v>1</v>
      </c>
      <c r="D336" s="38" t="s">
        <v>33</v>
      </c>
      <c r="E336" s="15" t="s">
        <v>1404</v>
      </c>
      <c r="F336" s="30">
        <v>676.0</v>
      </c>
      <c r="G336" s="52" t="s">
        <v>1405</v>
      </c>
      <c r="H336" s="30" t="s">
        <v>1406</v>
      </c>
      <c r="I336" s="54" t="s">
        <v>1402</v>
      </c>
      <c r="J336" s="30" t="s">
        <v>422</v>
      </c>
      <c r="K336" s="30" t="s">
        <v>8</v>
      </c>
      <c r="L336" s="54" t="s">
        <v>30</v>
      </c>
      <c r="M336" s="54" t="s">
        <v>622</v>
      </c>
      <c r="N336" s="66"/>
      <c r="O336" s="64">
        <v>44288.0</v>
      </c>
      <c r="P336" s="64">
        <v>44288.0</v>
      </c>
      <c r="Q336" s="61">
        <v>36.0</v>
      </c>
      <c r="R336" s="69">
        <f>IFERROR(__xludf.DUMMYFUNCTION("IF (OR( Q336 = """" , P336 =""""), """" , IF(Q336 = ""Menos de 1 mês"" , ""antes de ""&amp; TO_TEXT( EDATE(P336, 1)), EDATE(P336,Q336)))"),45384.0)</f>
        <v>45384</v>
      </c>
      <c r="S336" s="30">
        <v>1.0</v>
      </c>
      <c r="T336" s="30">
        <v>36000.0</v>
      </c>
      <c r="U336" s="30">
        <v>36000.0</v>
      </c>
      <c r="V336" s="31" t="s">
        <v>1403</v>
      </c>
      <c r="W336" s="5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</row>
    <row r="337" ht="60.0" customHeight="1">
      <c r="A337" s="14" t="str">
        <f>if(H337&lt;&gt;"",VLOOKUP(H337,ID!$A$2:$C$999,3,FALSE),"") </f>
        <v>BT0316</v>
      </c>
      <c r="B337" s="15" t="s">
        <v>0</v>
      </c>
      <c r="C337" s="16" t="s">
        <v>1</v>
      </c>
      <c r="D337" s="38" t="s">
        <v>33</v>
      </c>
      <c r="E337" s="15" t="s">
        <v>1407</v>
      </c>
      <c r="F337" s="30">
        <v>3565.0</v>
      </c>
      <c r="G337" s="52" t="s">
        <v>1408</v>
      </c>
      <c r="H337" s="30" t="s">
        <v>1409</v>
      </c>
      <c r="I337" s="54" t="s">
        <v>1410</v>
      </c>
      <c r="J337" s="30" t="s">
        <v>922</v>
      </c>
      <c r="K337" s="30" t="s">
        <v>8</v>
      </c>
      <c r="L337" s="54" t="s">
        <v>9</v>
      </c>
      <c r="M337" s="54" t="s">
        <v>622</v>
      </c>
      <c r="N337" s="66"/>
      <c r="O337" s="64">
        <v>44288.0</v>
      </c>
      <c r="P337" s="64">
        <v>44288.0</v>
      </c>
      <c r="Q337" s="61">
        <v>36.0</v>
      </c>
      <c r="R337" s="69">
        <f>IFERROR(__xludf.DUMMYFUNCTION("IF (OR( Q337 = """" , P337 =""""), """" , IF(Q337 = ""Menos de 1 mês"" , ""antes de ""&amp; TO_TEXT( EDATE(P337, 1)), EDATE(P337,Q337)))"),45384.0)</f>
        <v>45384</v>
      </c>
      <c r="S337" s="30">
        <v>1.0</v>
      </c>
      <c r="T337" s="30">
        <v>18000.0</v>
      </c>
      <c r="U337" s="30">
        <v>18000.0</v>
      </c>
      <c r="V337" s="31" t="s">
        <v>1403</v>
      </c>
      <c r="W337" s="5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</row>
    <row r="338" ht="60.0" customHeight="1">
      <c r="A338" s="14" t="str">
        <f>if(H338&lt;&gt;"",VLOOKUP(H338,ID!$A$2:$C$999,3,FALSE),"") </f>
        <v>BT0317</v>
      </c>
      <c r="B338" s="15" t="s">
        <v>0</v>
      </c>
      <c r="C338" s="16" t="s">
        <v>1</v>
      </c>
      <c r="D338" s="38" t="s">
        <v>46</v>
      </c>
      <c r="E338" s="15" t="s">
        <v>1411</v>
      </c>
      <c r="F338" s="30">
        <v>10000.0</v>
      </c>
      <c r="G338" s="52" t="s">
        <v>1412</v>
      </c>
      <c r="H338" s="30" t="s">
        <v>1413</v>
      </c>
      <c r="I338" s="54" t="s">
        <v>1414</v>
      </c>
      <c r="J338" s="30" t="s">
        <v>1415</v>
      </c>
      <c r="K338" s="30" t="s">
        <v>8</v>
      </c>
      <c r="L338" s="54" t="s">
        <v>30</v>
      </c>
      <c r="M338" s="54" t="s">
        <v>622</v>
      </c>
      <c r="N338" s="66"/>
      <c r="O338" s="64">
        <v>44502.0</v>
      </c>
      <c r="P338" s="64">
        <v>44502.0</v>
      </c>
      <c r="Q338" s="61">
        <v>36.0</v>
      </c>
      <c r="R338" s="69">
        <f>IFERROR(__xludf.DUMMYFUNCTION("IF (OR( Q338 = """" , P338 =""""), """" , IF(Q338 = ""Menos de 1 mês"" , ""antes de ""&amp; TO_TEXT( EDATE(P338, 1)), EDATE(P338,Q338)))"),45598.0)</f>
        <v>45598</v>
      </c>
      <c r="S338" s="30">
        <v>8.0</v>
      </c>
      <c r="T338" s="30">
        <v>28800.0</v>
      </c>
      <c r="U338" s="30">
        <v>28800.0</v>
      </c>
      <c r="V338" s="33">
        <v>44502.0</v>
      </c>
      <c r="W338" s="5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</row>
    <row r="339" ht="60.0" customHeight="1">
      <c r="A339" s="14" t="str">
        <f>if(H339&lt;&gt;"",VLOOKUP(H339,ID!$A$2:$C$999,3,FALSE),"") </f>
        <v>BT0318</v>
      </c>
      <c r="B339" s="15" t="s">
        <v>0</v>
      </c>
      <c r="C339" s="16" t="s">
        <v>1</v>
      </c>
      <c r="D339" s="38" t="s">
        <v>33</v>
      </c>
      <c r="E339" s="15" t="s">
        <v>1416</v>
      </c>
      <c r="F339" s="30">
        <v>349.0</v>
      </c>
      <c r="G339" s="52" t="s">
        <v>1417</v>
      </c>
      <c r="H339" s="30" t="s">
        <v>1418</v>
      </c>
      <c r="I339" s="54" t="s">
        <v>1419</v>
      </c>
      <c r="J339" s="30" t="s">
        <v>585</v>
      </c>
      <c r="K339" s="30" t="s">
        <v>8</v>
      </c>
      <c r="L339" s="54" t="s">
        <v>96</v>
      </c>
      <c r="M339" s="54" t="s">
        <v>622</v>
      </c>
      <c r="N339" s="66"/>
      <c r="O339" s="31" t="s">
        <v>1420</v>
      </c>
      <c r="P339" s="31" t="s">
        <v>1420</v>
      </c>
      <c r="Q339" s="61">
        <v>36.0</v>
      </c>
      <c r="R339" s="69" t="str">
        <f>IFERROR(__xludf.DUMMYFUNCTION("IF (OR( Q339 = """" , P339 =""""), """" , IF(Q339 = ""Menos de 1 mês"" , ""antes de ""&amp; TO_TEXT( EDATE(P339, 1)), EDATE(P339,Q339)))"),"#VALUE!")</f>
        <v>#VALUE!</v>
      </c>
      <c r="S339" s="79"/>
      <c r="T339" s="30">
        <v>73000.0</v>
      </c>
      <c r="U339" s="30">
        <v>73000.0</v>
      </c>
      <c r="V339" s="31" t="s">
        <v>586</v>
      </c>
      <c r="W339" s="5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</row>
    <row r="340" ht="60.0" customHeight="1">
      <c r="A340" s="14" t="str">
        <f>if(H340&lt;&gt;"",VLOOKUP(H340,ID!$A$2:$C$999,3,FALSE),"") </f>
        <v>BT0319</v>
      </c>
      <c r="B340" s="15" t="s">
        <v>0</v>
      </c>
      <c r="C340" s="16" t="s">
        <v>1</v>
      </c>
      <c r="D340" s="38" t="s">
        <v>155</v>
      </c>
      <c r="E340" s="15" t="s">
        <v>1421</v>
      </c>
      <c r="F340" s="30">
        <v>480.0</v>
      </c>
      <c r="G340" s="52" t="s">
        <v>1422</v>
      </c>
      <c r="H340" s="30" t="s">
        <v>1423</v>
      </c>
      <c r="I340" s="54" t="s">
        <v>1424</v>
      </c>
      <c r="J340" s="30" t="s">
        <v>1425</v>
      </c>
      <c r="K340" s="30" t="s">
        <v>8</v>
      </c>
      <c r="L340" s="54" t="s">
        <v>30</v>
      </c>
      <c r="M340" s="54" t="s">
        <v>622</v>
      </c>
      <c r="N340" s="66"/>
      <c r="O340" s="31" t="s">
        <v>24</v>
      </c>
      <c r="P340" s="31" t="s">
        <v>24</v>
      </c>
      <c r="Q340" s="61">
        <v>36.0</v>
      </c>
      <c r="R340" s="69" t="str">
        <f>IFERROR(__xludf.DUMMYFUNCTION("IF (OR( Q340 = """" , P340 =""""), """" , IF(Q340 = ""Menos de 1 mês"" , ""antes de ""&amp; TO_TEXT( EDATE(P340, 1)), EDATE(P340,Q340)))"),"#VALUE!")</f>
        <v>#VALUE!</v>
      </c>
      <c r="S340" s="30">
        <v>1.0</v>
      </c>
      <c r="T340" s="30">
        <v>18000.0</v>
      </c>
      <c r="U340" s="30">
        <v>18000.0</v>
      </c>
      <c r="V340" s="80">
        <v>44199.0</v>
      </c>
      <c r="W340" s="5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</row>
    <row r="341" ht="60.0" customHeight="1">
      <c r="A341" s="14" t="str">
        <f>if(H341&lt;&gt;"",VLOOKUP(H341,ID!$A$2:$C$999,3,FALSE),"") </f>
        <v>BT0320</v>
      </c>
      <c r="B341" s="15" t="s">
        <v>0</v>
      </c>
      <c r="C341" s="16" t="s">
        <v>1</v>
      </c>
      <c r="D341" s="38" t="s">
        <v>155</v>
      </c>
      <c r="E341" s="15" t="s">
        <v>1426</v>
      </c>
      <c r="F341" s="30">
        <v>662.0</v>
      </c>
      <c r="G341" s="52" t="s">
        <v>1427</v>
      </c>
      <c r="H341" s="30" t="s">
        <v>1428</v>
      </c>
      <c r="I341" s="54" t="s">
        <v>1429</v>
      </c>
      <c r="J341" s="30" t="s">
        <v>1430</v>
      </c>
      <c r="K341" s="30" t="s">
        <v>8</v>
      </c>
      <c r="L341" s="54" t="s">
        <v>9</v>
      </c>
      <c r="M341" s="54" t="s">
        <v>622</v>
      </c>
      <c r="N341" s="66"/>
      <c r="O341" s="64">
        <v>44502.0</v>
      </c>
      <c r="P341" s="64">
        <v>44502.0</v>
      </c>
      <c r="Q341" s="61">
        <v>36.0</v>
      </c>
      <c r="R341" s="69">
        <f>IFERROR(__xludf.DUMMYFUNCTION("IF (OR( Q341 = """" , P341 =""""), """" , IF(Q341 = ""Menos de 1 mês"" , ""antes de ""&amp; TO_TEXT( EDATE(P341, 1)), EDATE(P341,Q341)))"),45598.0)</f>
        <v>45598</v>
      </c>
      <c r="S341" s="30">
        <v>1.0</v>
      </c>
      <c r="T341" s="30">
        <v>36000.0</v>
      </c>
      <c r="U341" s="30">
        <v>36000.0</v>
      </c>
      <c r="V341" s="80">
        <v>44502.0</v>
      </c>
      <c r="W341" s="5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</row>
    <row r="342" ht="60.0" customHeight="1">
      <c r="A342" s="14" t="str">
        <f>if(H342&lt;&gt;"",VLOOKUP(H342,ID!$A$2:$C$999,3,FALSE),"") </f>
        <v>BT0321</v>
      </c>
      <c r="B342" s="15" t="s">
        <v>0</v>
      </c>
      <c r="C342" s="16" t="s">
        <v>1</v>
      </c>
      <c r="D342" s="38" t="s">
        <v>33</v>
      </c>
      <c r="E342" s="15" t="s">
        <v>1431</v>
      </c>
      <c r="F342" s="30">
        <v>5034.0</v>
      </c>
      <c r="G342" s="52" t="s">
        <v>1432</v>
      </c>
      <c r="H342" s="30" t="s">
        <v>1433</v>
      </c>
      <c r="I342" s="54" t="s">
        <v>1410</v>
      </c>
      <c r="J342" s="30" t="s">
        <v>1434</v>
      </c>
      <c r="K342" s="30" t="s">
        <v>8</v>
      </c>
      <c r="L342" s="54" t="s">
        <v>9</v>
      </c>
      <c r="M342" s="54" t="s">
        <v>622</v>
      </c>
      <c r="N342" s="66"/>
      <c r="O342" s="64">
        <v>44288.0</v>
      </c>
      <c r="P342" s="64">
        <v>44288.0</v>
      </c>
      <c r="Q342" s="61">
        <v>36.0</v>
      </c>
      <c r="R342" s="69">
        <f>IFERROR(__xludf.DUMMYFUNCTION("IF (OR( Q342 = """" , P342 =""""), """" , IF(Q342 = ""Menos de 1 mês"" , ""antes de ""&amp; TO_TEXT( EDATE(P342, 1)), EDATE(P342,Q342)))"),45384.0)</f>
        <v>45384</v>
      </c>
      <c r="S342" s="30">
        <v>3.0</v>
      </c>
      <c r="T342" s="30">
        <v>54000.0</v>
      </c>
      <c r="U342" s="30">
        <v>54000.0</v>
      </c>
      <c r="V342" s="64">
        <v>44502.0</v>
      </c>
      <c r="W342" s="5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</row>
    <row r="343" ht="60.0" customHeight="1">
      <c r="A343" s="14" t="str">
        <f>if(H343&lt;&gt;"",VLOOKUP(H343,ID!$A$2:$C$999,3,FALSE),"") </f>
        <v>BT0322</v>
      </c>
      <c r="B343" s="15" t="s">
        <v>0</v>
      </c>
      <c r="C343" s="16" t="s">
        <v>1</v>
      </c>
      <c r="D343" s="38" t="s">
        <v>155</v>
      </c>
      <c r="E343" s="15" t="s">
        <v>1435</v>
      </c>
      <c r="F343" s="30">
        <v>100.0</v>
      </c>
      <c r="G343" s="52" t="s">
        <v>1436</v>
      </c>
      <c r="H343" s="30" t="s">
        <v>1437</v>
      </c>
      <c r="I343" s="54" t="s">
        <v>1438</v>
      </c>
      <c r="J343" s="30" t="s">
        <v>1439</v>
      </c>
      <c r="K343" s="30" t="s">
        <v>8</v>
      </c>
      <c r="L343" s="54" t="s">
        <v>30</v>
      </c>
      <c r="M343" s="54" t="s">
        <v>622</v>
      </c>
      <c r="N343" s="66"/>
      <c r="O343" s="31" t="s">
        <v>313</v>
      </c>
      <c r="P343" s="31" t="s">
        <v>313</v>
      </c>
      <c r="Q343" s="61">
        <v>36.0</v>
      </c>
      <c r="R343" s="69" t="str">
        <f>IFERROR(__xludf.DUMMYFUNCTION("IF (OR( Q343 = """" , P343 =""""), """" , IF(Q343 = ""Menos de 1 mês"" , ""antes de ""&amp; TO_TEXT( EDATE(P343, 1)), EDATE(P343,Q343)))"),"#VALUE!")</f>
        <v>#VALUE!</v>
      </c>
      <c r="S343" s="30">
        <v>1.0</v>
      </c>
      <c r="T343" s="30">
        <v>18000.0</v>
      </c>
      <c r="U343" s="30">
        <v>18000.0</v>
      </c>
      <c r="V343" s="64">
        <v>44199.0</v>
      </c>
      <c r="W343" s="5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</row>
    <row r="344" ht="60.0" customHeight="1">
      <c r="A344" s="14" t="str">
        <f>if(H344&lt;&gt;"",VLOOKUP(H344,ID!$A$2:$C$999,3,FALSE),"") </f>
        <v>BT0323</v>
      </c>
      <c r="B344" s="15" t="s">
        <v>0</v>
      </c>
      <c r="C344" s="16" t="s">
        <v>1</v>
      </c>
      <c r="D344" s="38" t="s">
        <v>155</v>
      </c>
      <c r="E344" s="15" t="s">
        <v>1440</v>
      </c>
      <c r="F344" s="30">
        <v>850.0</v>
      </c>
      <c r="G344" s="52" t="s">
        <v>1441</v>
      </c>
      <c r="H344" s="30" t="s">
        <v>1442</v>
      </c>
      <c r="I344" s="54" t="s">
        <v>1443</v>
      </c>
      <c r="J344" s="30" t="s">
        <v>1444</v>
      </c>
      <c r="K344" s="30" t="s">
        <v>8</v>
      </c>
      <c r="L344" s="54" t="s">
        <v>96</v>
      </c>
      <c r="M344" s="54" t="s">
        <v>622</v>
      </c>
      <c r="N344" s="66"/>
      <c r="O344" s="31" t="s">
        <v>313</v>
      </c>
      <c r="P344" s="31" t="s">
        <v>313</v>
      </c>
      <c r="Q344" s="61">
        <v>36.0</v>
      </c>
      <c r="R344" s="69" t="str">
        <f>IFERROR(__xludf.DUMMYFUNCTION("IF (OR( Q344 = """" , P344 =""""), """" , IF(Q344 = ""Menos de 1 mês"" , ""antes de ""&amp; TO_TEXT( EDATE(P344, 1)), EDATE(P344,Q344)))"),"#VALUE!")</f>
        <v>#VALUE!</v>
      </c>
      <c r="S344" s="30">
        <v>1.0</v>
      </c>
      <c r="T344" s="30">
        <v>18000.0</v>
      </c>
      <c r="U344" s="30">
        <v>18000.0</v>
      </c>
      <c r="V344" s="33">
        <v>44199.0</v>
      </c>
      <c r="W344" s="5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</row>
    <row r="345" ht="60.0" customHeight="1">
      <c r="A345" s="14" t="str">
        <f>if(H345&lt;&gt;"",VLOOKUP(H345,ID!$A$2:$C$999,3,FALSE),"") </f>
        <v>BT0324</v>
      </c>
      <c r="B345" s="15" t="s">
        <v>0</v>
      </c>
      <c r="C345" s="16" t="s">
        <v>1</v>
      </c>
      <c r="D345" s="39" t="s">
        <v>33</v>
      </c>
      <c r="E345" s="15" t="s">
        <v>1445</v>
      </c>
      <c r="F345" s="30">
        <v>30.0</v>
      </c>
      <c r="G345" s="52" t="s">
        <v>1446</v>
      </c>
      <c r="H345" s="30" t="s">
        <v>1447</v>
      </c>
      <c r="I345" s="54" t="s">
        <v>1391</v>
      </c>
      <c r="J345" s="30" t="s">
        <v>699</v>
      </c>
      <c r="K345" s="30" t="s">
        <v>8</v>
      </c>
      <c r="L345" s="54" t="s">
        <v>30</v>
      </c>
      <c r="M345" s="54" t="s">
        <v>1448</v>
      </c>
      <c r="N345" s="66"/>
      <c r="O345" s="33">
        <v>44682.0</v>
      </c>
      <c r="P345" s="33">
        <v>44682.0</v>
      </c>
      <c r="Q345" s="61">
        <v>36.0</v>
      </c>
      <c r="R345" s="69">
        <f>IFERROR(__xludf.DUMMYFUNCTION("IF (OR( Q345 = """" , P345 =""""), """" , IF(Q345 = ""Menos de 1 mês"" , ""antes de ""&amp; TO_TEXT( EDATE(P345, 1)), EDATE(P345,Q345)))"),45778.0)</f>
        <v>45778</v>
      </c>
      <c r="S345" s="30">
        <v>1.0</v>
      </c>
      <c r="T345" s="30" t="s">
        <v>1392</v>
      </c>
      <c r="U345" s="30" t="s">
        <v>1392</v>
      </c>
      <c r="V345" s="64">
        <v>44625.0</v>
      </c>
      <c r="W345" s="5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</row>
    <row r="346" ht="60.0" customHeight="1">
      <c r="A346" s="14" t="str">
        <f>if(H346&lt;&gt;"",VLOOKUP(H346,ID!$A$2:$C$999,3,FALSE),"") </f>
        <v>BT0121</v>
      </c>
      <c r="B346" s="15" t="s">
        <v>0</v>
      </c>
      <c r="C346" s="16" t="s">
        <v>1</v>
      </c>
      <c r="D346" s="38" t="s">
        <v>46</v>
      </c>
      <c r="E346" s="15" t="s">
        <v>1449</v>
      </c>
      <c r="F346" s="30">
        <v>2940.0</v>
      </c>
      <c r="G346" s="52" t="s">
        <v>1450</v>
      </c>
      <c r="H346" s="30" t="s">
        <v>584</v>
      </c>
      <c r="I346" s="54" t="s">
        <v>444</v>
      </c>
      <c r="J346" s="30" t="s">
        <v>346</v>
      </c>
      <c r="K346" s="30" t="s">
        <v>8</v>
      </c>
      <c r="L346" s="54" t="s">
        <v>96</v>
      </c>
      <c r="M346" s="54" t="s">
        <v>622</v>
      </c>
      <c r="N346" s="66"/>
      <c r="O346" s="31" t="s">
        <v>347</v>
      </c>
      <c r="P346" s="31" t="s">
        <v>347</v>
      </c>
      <c r="Q346" s="61">
        <v>36.0</v>
      </c>
      <c r="R346" s="69" t="str">
        <f>IFERROR(__xludf.DUMMYFUNCTION("IF (OR( Q346 = """" , P346 =""""), """" , IF(Q346 = ""Menos de 1 mês"" , ""antes de ""&amp; TO_TEXT( EDATE(P346, 1)), EDATE(P346,Q346)))"),"#VALUE!")</f>
        <v>#VALUE!</v>
      </c>
      <c r="S346" s="30">
        <v>1.0</v>
      </c>
      <c r="T346" s="30">
        <v>32000.0</v>
      </c>
      <c r="U346" s="30">
        <v>32000.0</v>
      </c>
      <c r="V346" s="31" t="s">
        <v>1451</v>
      </c>
      <c r="W346" s="5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</row>
    <row r="347" ht="60.0" customHeight="1">
      <c r="A347" s="14" t="str">
        <f>if(H347&lt;&gt;"",VLOOKUP(H347,ID!$A$2:$C$999,3,FALSE),"") </f>
        <v>BT0105</v>
      </c>
      <c r="B347" s="15" t="s">
        <v>0</v>
      </c>
      <c r="C347" s="16" t="s">
        <v>1</v>
      </c>
      <c r="D347" s="38" t="s">
        <v>46</v>
      </c>
      <c r="E347" s="15" t="s">
        <v>1452</v>
      </c>
      <c r="F347" s="30">
        <v>5000.0</v>
      </c>
      <c r="G347" s="52" t="s">
        <v>523</v>
      </c>
      <c r="H347" s="30" t="s">
        <v>524</v>
      </c>
      <c r="I347" s="54" t="s">
        <v>444</v>
      </c>
      <c r="J347" s="30" t="s">
        <v>346</v>
      </c>
      <c r="K347" s="30" t="s">
        <v>8</v>
      </c>
      <c r="L347" s="54" t="s">
        <v>96</v>
      </c>
      <c r="M347" s="54" t="s">
        <v>622</v>
      </c>
      <c r="N347" s="66"/>
      <c r="O347" s="33">
        <v>44295.0</v>
      </c>
      <c r="P347" s="33">
        <v>44295.0</v>
      </c>
      <c r="Q347" s="61">
        <v>36.0</v>
      </c>
      <c r="R347" s="69">
        <f>IFERROR(__xludf.DUMMYFUNCTION("IF (OR( Q347 = """" , P347 =""""), """" , IF(Q347 = ""Menos de 1 mês"" , ""antes de ""&amp; TO_TEXT( EDATE(P347, 1)), EDATE(P347,Q347)))"),45391.0)</f>
        <v>45391</v>
      </c>
      <c r="S347" s="28"/>
      <c r="T347" s="30">
        <v>32000.0</v>
      </c>
      <c r="U347" s="30">
        <v>32000.0</v>
      </c>
      <c r="V347" s="31" t="s">
        <v>1453</v>
      </c>
      <c r="W347" s="5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</row>
    <row r="348" ht="60.0" customHeight="1">
      <c r="A348" s="14" t="str">
        <f>if(H348&lt;&gt;"",VLOOKUP(H348,ID!$A$2:$C$999,3,FALSE),"") </f>
        <v>BT0325</v>
      </c>
      <c r="B348" s="15" t="s">
        <v>0</v>
      </c>
      <c r="C348" s="16" t="s">
        <v>1</v>
      </c>
      <c r="D348" s="38" t="s">
        <v>33</v>
      </c>
      <c r="E348" s="15" t="s">
        <v>1454</v>
      </c>
      <c r="F348" s="30">
        <v>1215.0</v>
      </c>
      <c r="G348" s="52" t="s">
        <v>1455</v>
      </c>
      <c r="H348" s="30" t="s">
        <v>1456</v>
      </c>
      <c r="I348" s="54" t="s">
        <v>1457</v>
      </c>
      <c r="J348" s="30" t="s">
        <v>1458</v>
      </c>
      <c r="K348" s="30" t="s">
        <v>8</v>
      </c>
      <c r="L348" s="54" t="s">
        <v>9</v>
      </c>
      <c r="M348" s="54" t="s">
        <v>622</v>
      </c>
      <c r="N348" s="66"/>
      <c r="O348" s="31" t="s">
        <v>347</v>
      </c>
      <c r="P348" s="31" t="s">
        <v>347</v>
      </c>
      <c r="Q348" s="61">
        <v>36.0</v>
      </c>
      <c r="R348" s="69" t="str">
        <f>IFERROR(__xludf.DUMMYFUNCTION("IF (OR( Q348 = """" , P348 =""""), """" , IF(Q348 = ""Menos de 1 mês"" , ""antes de ""&amp; TO_TEXT( EDATE(P348, 1)), EDATE(P348,Q348)))"),"#VALUE!")</f>
        <v>#VALUE!</v>
      </c>
      <c r="S348" s="28"/>
      <c r="T348" s="30" t="s">
        <v>1459</v>
      </c>
      <c r="U348" s="30" t="s">
        <v>1459</v>
      </c>
      <c r="V348" s="31" t="s">
        <v>1460</v>
      </c>
      <c r="W348" s="5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</row>
    <row r="349" ht="60.0" customHeight="1">
      <c r="A349" s="14" t="str">
        <f>if(H349&lt;&gt;"",VLOOKUP(H349,ID!$A$2:$C$999,3,FALSE),"") </f>
        <v>BT0326</v>
      </c>
      <c r="B349" s="15" t="s">
        <v>0</v>
      </c>
      <c r="C349" s="16" t="s">
        <v>1</v>
      </c>
      <c r="D349" s="38" t="s">
        <v>1461</v>
      </c>
      <c r="E349" s="15" t="s">
        <v>1462</v>
      </c>
      <c r="F349" s="30">
        <v>130.0</v>
      </c>
      <c r="G349" s="52" t="s">
        <v>1463</v>
      </c>
      <c r="H349" s="30" t="s">
        <v>1464</v>
      </c>
      <c r="I349" s="54" t="s">
        <v>1465</v>
      </c>
      <c r="J349" s="30" t="s">
        <v>1466</v>
      </c>
      <c r="K349" s="30" t="s">
        <v>8</v>
      </c>
      <c r="L349" s="54" t="s">
        <v>30</v>
      </c>
      <c r="M349" s="54" t="s">
        <v>622</v>
      </c>
      <c r="N349" s="66"/>
      <c r="O349" s="31" t="s">
        <v>704</v>
      </c>
      <c r="P349" s="31" t="s">
        <v>704</v>
      </c>
      <c r="Q349" s="61">
        <v>36.0</v>
      </c>
      <c r="R349" s="69" t="str">
        <f>IFERROR(__xludf.DUMMYFUNCTION("IF (OR( Q349 = """" , P349 =""""), """" , IF(Q349 = ""Menos de 1 mês"" , ""antes de ""&amp; TO_TEXT( EDATE(P349, 1)), EDATE(P349,Q349)))"),"#VALUE!")</f>
        <v>#VALUE!</v>
      </c>
      <c r="S349" s="30">
        <v>1.0</v>
      </c>
      <c r="T349" s="30">
        <v>7200.0</v>
      </c>
      <c r="U349" s="30">
        <v>7200.0</v>
      </c>
      <c r="V349" s="31" t="s">
        <v>705</v>
      </c>
      <c r="W349" s="5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</row>
    <row r="350" ht="60.0" customHeight="1">
      <c r="A350" s="14" t="str">
        <f>if(H350&lt;&gt;"",VLOOKUP(H350,ID!$A$2:$C$999,3,FALSE),"") </f>
        <v>BT0327</v>
      </c>
      <c r="B350" s="15" t="s">
        <v>0</v>
      </c>
      <c r="C350" s="16" t="s">
        <v>1</v>
      </c>
      <c r="D350" s="38" t="s">
        <v>178</v>
      </c>
      <c r="E350" s="15" t="s">
        <v>1467</v>
      </c>
      <c r="F350" s="30">
        <v>1600.0</v>
      </c>
      <c r="G350" s="81"/>
      <c r="H350" s="30" t="s">
        <v>1468</v>
      </c>
      <c r="I350" s="54" t="s">
        <v>1469</v>
      </c>
      <c r="J350" s="30" t="s">
        <v>1470</v>
      </c>
      <c r="K350" s="30" t="s">
        <v>8</v>
      </c>
      <c r="L350" s="54" t="s">
        <v>30</v>
      </c>
      <c r="M350" s="54" t="s">
        <v>622</v>
      </c>
      <c r="N350" s="66"/>
      <c r="O350" s="66"/>
      <c r="P350" s="66"/>
      <c r="Q350" s="61">
        <v>36.0</v>
      </c>
      <c r="R350" s="69" t="str">
        <f>IFERROR(__xludf.DUMMYFUNCTION("IF (OR( Q350 = """" , P350 =""""), """" , IF(Q350 = ""Menos de 1 mês"" , ""antes de ""&amp; TO_TEXT( EDATE(P350, 1)), EDATE(P350,Q350)))"),"")</f>
        <v/>
      </c>
      <c r="S350" s="30">
        <v>1.0</v>
      </c>
      <c r="T350" s="30">
        <v>18000.0</v>
      </c>
      <c r="U350" s="30">
        <v>18000.0</v>
      </c>
      <c r="V350" s="31" t="s">
        <v>1471</v>
      </c>
      <c r="W350" s="5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</row>
    <row r="351" ht="60.0" customHeight="1">
      <c r="A351" s="14" t="str">
        <f>if(H351&lt;&gt;"",VLOOKUP(H351,ID!$A$2:$C$999,3,FALSE),"") </f>
        <v>BT0328</v>
      </c>
      <c r="B351" s="15" t="s">
        <v>0</v>
      </c>
      <c r="C351" s="16" t="s">
        <v>1</v>
      </c>
      <c r="D351" s="82" t="s">
        <v>33</v>
      </c>
      <c r="E351" s="15" t="s">
        <v>1472</v>
      </c>
      <c r="F351" s="30">
        <v>15.0</v>
      </c>
      <c r="G351" s="52" t="s">
        <v>1473</v>
      </c>
      <c r="H351" s="30" t="s">
        <v>1474</v>
      </c>
      <c r="I351" s="54" t="s">
        <v>1391</v>
      </c>
      <c r="J351" s="30" t="s">
        <v>699</v>
      </c>
      <c r="K351" s="30" t="s">
        <v>8</v>
      </c>
      <c r="L351" s="54" t="s">
        <v>30</v>
      </c>
      <c r="M351" s="54" t="s">
        <v>1448</v>
      </c>
      <c r="N351" s="66"/>
      <c r="O351" s="33">
        <v>44682.0</v>
      </c>
      <c r="P351" s="33">
        <v>44682.0</v>
      </c>
      <c r="Q351" s="61">
        <v>36.0</v>
      </c>
      <c r="R351" s="69">
        <f>IFERROR(__xludf.DUMMYFUNCTION("IF (OR( Q351 = """" , P351 =""""), """" , IF(Q351 = ""Menos de 1 mês"" , ""antes de ""&amp; TO_TEXT( EDATE(P351, 1)), EDATE(P351,Q351)))"),45778.0)</f>
        <v>45778</v>
      </c>
      <c r="S351" s="30">
        <v>1.0</v>
      </c>
      <c r="T351" s="30" t="s">
        <v>1392</v>
      </c>
      <c r="U351" s="30" t="s">
        <v>1392</v>
      </c>
      <c r="V351" s="64">
        <v>44625.0</v>
      </c>
      <c r="W351" s="5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</row>
    <row r="352" ht="60.0" customHeight="1">
      <c r="A352" s="14" t="str">
        <f>if(H352&lt;&gt;"",VLOOKUP(H352,ID!$A$2:$C$999,3,FALSE),"") </f>
        <v>BT0329</v>
      </c>
      <c r="B352" s="15" t="s">
        <v>0</v>
      </c>
      <c r="C352" s="16" t="s">
        <v>1</v>
      </c>
      <c r="D352" s="82" t="s">
        <v>33</v>
      </c>
      <c r="E352" s="15" t="s">
        <v>1475</v>
      </c>
      <c r="F352" s="30">
        <v>250.0</v>
      </c>
      <c r="G352" s="52" t="s">
        <v>1476</v>
      </c>
      <c r="H352" s="30" t="s">
        <v>1477</v>
      </c>
      <c r="I352" s="54" t="s">
        <v>1391</v>
      </c>
      <c r="J352" s="30" t="s">
        <v>699</v>
      </c>
      <c r="K352" s="30" t="s">
        <v>8</v>
      </c>
      <c r="L352" s="54" t="s">
        <v>30</v>
      </c>
      <c r="M352" s="54" t="s">
        <v>1201</v>
      </c>
      <c r="N352" s="66"/>
      <c r="O352" s="33">
        <v>44682.0</v>
      </c>
      <c r="P352" s="33">
        <v>44682.0</v>
      </c>
      <c r="Q352" s="61">
        <v>36.0</v>
      </c>
      <c r="R352" s="69">
        <f>IFERROR(__xludf.DUMMYFUNCTION("IF (OR( Q352 = """" , P352 =""""), """" , IF(Q352 = ""Menos de 1 mês"" , ""antes de ""&amp; TO_TEXT( EDATE(P352, 1)), EDATE(P352,Q352)))"),45778.0)</f>
        <v>45778</v>
      </c>
      <c r="S352" s="30">
        <v>1.0</v>
      </c>
      <c r="T352" s="30" t="s">
        <v>1478</v>
      </c>
      <c r="U352" s="30" t="s">
        <v>1478</v>
      </c>
      <c r="V352" s="64">
        <v>44625.0</v>
      </c>
      <c r="W352" s="5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</row>
    <row r="353" ht="60.0" customHeight="1">
      <c r="A353" s="14" t="str">
        <f>if(H353&lt;&gt;"",VLOOKUP(H353,ID!$A$2:$C$999,3,FALSE),"") </f>
        <v>BT0330</v>
      </c>
      <c r="B353" s="15" t="s">
        <v>0</v>
      </c>
      <c r="C353" s="16" t="s">
        <v>1</v>
      </c>
      <c r="D353" s="82" t="s">
        <v>33</v>
      </c>
      <c r="E353" s="15" t="s">
        <v>1479</v>
      </c>
      <c r="F353" s="30">
        <v>60.0</v>
      </c>
      <c r="G353" s="52" t="s">
        <v>1480</v>
      </c>
      <c r="H353" s="30" t="s">
        <v>1481</v>
      </c>
      <c r="I353" s="54" t="s">
        <v>1391</v>
      </c>
      <c r="J353" s="30" t="s">
        <v>699</v>
      </c>
      <c r="K353" s="30" t="s">
        <v>8</v>
      </c>
      <c r="L353" s="54" t="s">
        <v>30</v>
      </c>
      <c r="M353" s="54" t="s">
        <v>1201</v>
      </c>
      <c r="N353" s="66"/>
      <c r="O353" s="33">
        <v>44682.0</v>
      </c>
      <c r="P353" s="33">
        <v>44682.0</v>
      </c>
      <c r="Q353" s="61">
        <v>36.0</v>
      </c>
      <c r="R353" s="69">
        <f>IFERROR(__xludf.DUMMYFUNCTION("IF (OR( Q353 = """" , P353 =""""), """" , IF(Q353 = ""Menos de 1 mês"" , ""antes de ""&amp; TO_TEXT( EDATE(P353, 1)), EDATE(P353,Q353)))"),45778.0)</f>
        <v>45778</v>
      </c>
      <c r="S353" s="30">
        <v>1.0</v>
      </c>
      <c r="T353" s="30" t="s">
        <v>1478</v>
      </c>
      <c r="U353" s="30" t="s">
        <v>1478</v>
      </c>
      <c r="V353" s="64">
        <v>44625.0</v>
      </c>
      <c r="W353" s="5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</row>
    <row r="354" ht="60.0" customHeight="1">
      <c r="A354" s="14" t="str">
        <f>if(H354&lt;&gt;"",VLOOKUP(H354,ID!$A$2:$C$999,3,FALSE),"") </f>
        <v>BT0331</v>
      </c>
      <c r="B354" s="15" t="s">
        <v>0</v>
      </c>
      <c r="C354" s="16" t="s">
        <v>1</v>
      </c>
      <c r="D354" s="82" t="s">
        <v>33</v>
      </c>
      <c r="E354" s="15" t="s">
        <v>1482</v>
      </c>
      <c r="F354" s="30">
        <v>20.0</v>
      </c>
      <c r="G354" s="52" t="s">
        <v>1483</v>
      </c>
      <c r="H354" s="30" t="s">
        <v>1484</v>
      </c>
      <c r="I354" s="54" t="s">
        <v>1391</v>
      </c>
      <c r="J354" s="30" t="s">
        <v>699</v>
      </c>
      <c r="K354" s="30" t="s">
        <v>8</v>
      </c>
      <c r="L354" s="54" t="s">
        <v>96</v>
      </c>
      <c r="M354" s="54" t="s">
        <v>622</v>
      </c>
      <c r="N354" s="66"/>
      <c r="O354" s="33">
        <v>44682.0</v>
      </c>
      <c r="P354" s="33">
        <v>44682.0</v>
      </c>
      <c r="Q354" s="61">
        <v>36.0</v>
      </c>
      <c r="R354" s="69">
        <f>IFERROR(__xludf.DUMMYFUNCTION("IF (OR( Q354 = """" , P354 =""""), """" , IF(Q354 = ""Menos de 1 mês"" , ""antes de ""&amp; TO_TEXT( EDATE(P354, 1)), EDATE(P354,Q354)))"),45778.0)</f>
        <v>45778</v>
      </c>
      <c r="S354" s="30">
        <v>1.0</v>
      </c>
      <c r="T354" s="30" t="s">
        <v>1485</v>
      </c>
      <c r="U354" s="30" t="s">
        <v>1485</v>
      </c>
      <c r="V354" s="64">
        <v>44625.0</v>
      </c>
      <c r="W354" s="5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</row>
    <row r="355" ht="60.0" customHeight="1">
      <c r="A355" s="14" t="str">
        <f>if(H355&lt;&gt;"",VLOOKUP(H355,ID!$A$2:$C$999,3,FALSE),"") </f>
        <v>BT0332</v>
      </c>
      <c r="B355" s="15" t="s">
        <v>0</v>
      </c>
      <c r="C355" s="16" t="s">
        <v>1</v>
      </c>
      <c r="D355" s="82" t="s">
        <v>33</v>
      </c>
      <c r="E355" s="15" t="s">
        <v>1486</v>
      </c>
      <c r="F355" s="30">
        <v>15.0</v>
      </c>
      <c r="G355" s="52" t="s">
        <v>1487</v>
      </c>
      <c r="H355" s="30" t="s">
        <v>1488</v>
      </c>
      <c r="I355" s="54" t="s">
        <v>1391</v>
      </c>
      <c r="J355" s="30" t="s">
        <v>699</v>
      </c>
      <c r="K355" s="30" t="s">
        <v>8</v>
      </c>
      <c r="L355" s="54" t="s">
        <v>30</v>
      </c>
      <c r="M355" s="54" t="s">
        <v>1448</v>
      </c>
      <c r="N355" s="66"/>
      <c r="O355" s="33">
        <v>44682.0</v>
      </c>
      <c r="P355" s="33">
        <v>44682.0</v>
      </c>
      <c r="Q355" s="61">
        <v>36.0</v>
      </c>
      <c r="R355" s="69">
        <f>IFERROR(__xludf.DUMMYFUNCTION("IF (OR( Q355 = """" , P355 =""""), """" , IF(Q355 = ""Menos de 1 mês"" , ""antes de ""&amp; TO_TEXT( EDATE(P355, 1)), EDATE(P355,Q355)))"),45778.0)</f>
        <v>45778</v>
      </c>
      <c r="S355" s="30">
        <v>1.0</v>
      </c>
      <c r="T355" s="30" t="s">
        <v>1485</v>
      </c>
      <c r="U355" s="30" t="s">
        <v>1485</v>
      </c>
      <c r="V355" s="64">
        <v>44625.0</v>
      </c>
      <c r="W355" s="5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</row>
    <row r="356" ht="60.0" customHeight="1">
      <c r="A356" s="14" t="str">
        <f>if(H356&lt;&gt;"",VLOOKUP(H356,ID!$A$2:$C$999,3,FALSE),"") </f>
        <v>BT0333</v>
      </c>
      <c r="B356" s="15" t="s">
        <v>0</v>
      </c>
      <c r="C356" s="16" t="s">
        <v>1</v>
      </c>
      <c r="D356" s="82" t="s">
        <v>33</v>
      </c>
      <c r="E356" s="15" t="s">
        <v>1489</v>
      </c>
      <c r="F356" s="30">
        <v>20.0</v>
      </c>
      <c r="G356" s="52" t="s">
        <v>1490</v>
      </c>
      <c r="H356" s="30" t="s">
        <v>1491</v>
      </c>
      <c r="I356" s="54" t="s">
        <v>1391</v>
      </c>
      <c r="J356" s="30" t="s">
        <v>699</v>
      </c>
      <c r="K356" s="30" t="s">
        <v>8</v>
      </c>
      <c r="L356" s="54" t="s">
        <v>96</v>
      </c>
      <c r="M356" s="54" t="s">
        <v>622</v>
      </c>
      <c r="N356" s="66"/>
      <c r="O356" s="33">
        <v>44682.0</v>
      </c>
      <c r="P356" s="33">
        <v>44682.0</v>
      </c>
      <c r="Q356" s="61">
        <v>36.0</v>
      </c>
      <c r="R356" s="69">
        <f>IFERROR(__xludf.DUMMYFUNCTION("IF (OR( Q356 = """" , P356 =""""), """" , IF(Q356 = ""Menos de 1 mês"" , ""antes de ""&amp; TO_TEXT( EDATE(P356, 1)), EDATE(P356,Q356)))"),45778.0)</f>
        <v>45778</v>
      </c>
      <c r="S356" s="30">
        <v>1.0</v>
      </c>
      <c r="T356" s="30" t="s">
        <v>1485</v>
      </c>
      <c r="U356" s="30" t="s">
        <v>1485</v>
      </c>
      <c r="V356" s="64">
        <v>44625.0</v>
      </c>
      <c r="W356" s="5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</row>
    <row r="357" ht="60.0" customHeight="1">
      <c r="A357" s="14" t="str">
        <f>if(H357&lt;&gt;"",VLOOKUP(H357,ID!$A$2:$C$999,3,FALSE),"") </f>
        <v>BT0334</v>
      </c>
      <c r="B357" s="15" t="s">
        <v>0</v>
      </c>
      <c r="C357" s="16" t="s">
        <v>1</v>
      </c>
      <c r="D357" s="82" t="s">
        <v>33</v>
      </c>
      <c r="E357" s="15" t="s">
        <v>1492</v>
      </c>
      <c r="F357" s="30">
        <v>1780.0</v>
      </c>
      <c r="G357" s="52" t="s">
        <v>1493</v>
      </c>
      <c r="H357" s="30" t="s">
        <v>1494</v>
      </c>
      <c r="I357" s="54" t="s">
        <v>1391</v>
      </c>
      <c r="J357" s="30" t="s">
        <v>699</v>
      </c>
      <c r="K357" s="30" t="s">
        <v>8</v>
      </c>
      <c r="L357" s="54" t="s">
        <v>9</v>
      </c>
      <c r="M357" s="54" t="s">
        <v>622</v>
      </c>
      <c r="N357" s="66"/>
      <c r="O357" s="33">
        <v>44682.0</v>
      </c>
      <c r="P357" s="33">
        <v>44682.0</v>
      </c>
      <c r="Q357" s="61">
        <v>36.0</v>
      </c>
      <c r="R357" s="69">
        <f>IFERROR(__xludf.DUMMYFUNCTION("IF (OR( Q357 = """" , P357 =""""), """" , IF(Q357 = ""Menos de 1 mês"" , ""antes de ""&amp; TO_TEXT( EDATE(P357, 1)), EDATE(P357,Q357)))"),45778.0)</f>
        <v>45778</v>
      </c>
      <c r="S357" s="30">
        <v>1.0</v>
      </c>
      <c r="T357" s="30" t="s">
        <v>1485</v>
      </c>
      <c r="U357" s="30" t="s">
        <v>1485</v>
      </c>
      <c r="V357" s="64">
        <v>44625.0</v>
      </c>
      <c r="W357" s="5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</row>
    <row r="358" ht="60.0" customHeight="1">
      <c r="A358" s="14" t="str">
        <f>if(H358&lt;&gt;"",VLOOKUP(H358,ID!$A$2:$C$999,3,FALSE),"") </f>
        <v>BT0335</v>
      </c>
      <c r="B358" s="15" t="s">
        <v>0</v>
      </c>
      <c r="C358" s="16" t="s">
        <v>1</v>
      </c>
      <c r="D358" s="83" t="s">
        <v>2</v>
      </c>
      <c r="E358" s="15" t="s">
        <v>1495</v>
      </c>
      <c r="F358" s="30">
        <v>2500.0</v>
      </c>
      <c r="G358" s="52" t="s">
        <v>1496</v>
      </c>
      <c r="H358" s="30" t="s">
        <v>1497</v>
      </c>
      <c r="I358" s="54" t="s">
        <v>1498</v>
      </c>
      <c r="J358" s="30" t="s">
        <v>1499</v>
      </c>
      <c r="K358" s="54" t="s">
        <v>8</v>
      </c>
      <c r="L358" s="54" t="s">
        <v>30</v>
      </c>
      <c r="M358" s="54" t="s">
        <v>1361</v>
      </c>
      <c r="N358" s="66"/>
      <c r="O358" s="33">
        <v>44682.0</v>
      </c>
      <c r="P358" s="33">
        <v>44682.0</v>
      </c>
      <c r="Q358" s="61">
        <v>36.0</v>
      </c>
      <c r="R358" s="69">
        <f>IFERROR(__xludf.DUMMYFUNCTION("IF (OR( Q358 = """" , P358 =""""), """" , IF(Q358 = ""Menos de 1 mês"" , ""antes de ""&amp; TO_TEXT( EDATE(P358, 1)), EDATE(P358,Q358)))"),45778.0)</f>
        <v>45778</v>
      </c>
      <c r="S358" s="30">
        <v>1.0</v>
      </c>
      <c r="T358" s="44" t="s">
        <v>1500</v>
      </c>
      <c r="U358" s="44" t="s">
        <v>1500</v>
      </c>
      <c r="V358" s="64">
        <v>44625.0</v>
      </c>
      <c r="W358" s="5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</row>
    <row r="359" ht="60.0" customHeight="1">
      <c r="A359" s="14" t="str">
        <f>if(H359&lt;&gt;"",VLOOKUP(H359,ID!$A$2:$C$999,3,FALSE),"") </f>
        <v>BT0336</v>
      </c>
      <c r="B359" s="15" t="s">
        <v>0</v>
      </c>
      <c r="C359" s="16" t="s">
        <v>1</v>
      </c>
      <c r="D359" s="38" t="s">
        <v>155</v>
      </c>
      <c r="E359" s="15" t="s">
        <v>553</v>
      </c>
      <c r="F359" s="30">
        <v>5.074</v>
      </c>
      <c r="G359" s="52" t="s">
        <v>1501</v>
      </c>
      <c r="H359" s="30" t="s">
        <v>1502</v>
      </c>
      <c r="I359" s="54" t="s">
        <v>556</v>
      </c>
      <c r="J359" s="30" t="s">
        <v>557</v>
      </c>
      <c r="K359" s="54" t="s">
        <v>8</v>
      </c>
      <c r="L359" s="54" t="s">
        <v>30</v>
      </c>
      <c r="M359" s="54" t="s">
        <v>1361</v>
      </c>
      <c r="N359" s="66"/>
      <c r="O359" s="31" t="s">
        <v>1503</v>
      </c>
      <c r="P359" s="31" t="s">
        <v>1503</v>
      </c>
      <c r="Q359" s="61">
        <v>36.0</v>
      </c>
      <c r="R359" s="69" t="str">
        <f>IFERROR(__xludf.DUMMYFUNCTION("IF (OR( Q359 = """" , P359 =""""), """" , IF(Q359 = ""Menos de 1 mês"" , ""antes de ""&amp; TO_TEXT( EDATE(P359, 1)), EDATE(P359,Q359)))"),"#VALUE!")</f>
        <v>#VALUE!</v>
      </c>
      <c r="S359" s="30">
        <v>3.0</v>
      </c>
      <c r="T359" s="84" t="s">
        <v>393</v>
      </c>
      <c r="U359" s="84" t="s">
        <v>393</v>
      </c>
      <c r="V359" s="64">
        <v>44625.0</v>
      </c>
      <c r="W359" s="5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</row>
    <row r="360" ht="60.0" customHeight="1">
      <c r="A360" s="14" t="str">
        <f>if(H360&lt;&gt;"",VLOOKUP(H360,ID!$A$2:$C$999,3,FALSE),"") </f>
        <v>BT0337</v>
      </c>
      <c r="B360" s="15" t="s">
        <v>0</v>
      </c>
      <c r="C360" s="16" t="s">
        <v>1</v>
      </c>
      <c r="D360" s="38" t="s">
        <v>178</v>
      </c>
      <c r="E360" s="15" t="s">
        <v>1504</v>
      </c>
      <c r="F360" s="30">
        <v>120.0</v>
      </c>
      <c r="G360" s="52" t="s">
        <v>1505</v>
      </c>
      <c r="H360" s="30" t="s">
        <v>1506</v>
      </c>
      <c r="I360" s="54" t="s">
        <v>1507</v>
      </c>
      <c r="J360" s="30" t="s">
        <v>879</v>
      </c>
      <c r="K360" s="54" t="s">
        <v>8</v>
      </c>
      <c r="L360" s="54" t="s">
        <v>30</v>
      </c>
      <c r="M360" s="54" t="s">
        <v>1201</v>
      </c>
      <c r="N360" s="66"/>
      <c r="O360" s="31" t="s">
        <v>1503</v>
      </c>
      <c r="P360" s="31" t="s">
        <v>1503</v>
      </c>
      <c r="Q360" s="61">
        <v>36.0</v>
      </c>
      <c r="R360" s="69" t="str">
        <f>IFERROR(__xludf.DUMMYFUNCTION("IF (OR( Q360 = """" , P360 =""""), """" , IF(Q360 = ""Menos de 1 mês"" , ""antes de ""&amp; TO_TEXT( EDATE(P360, 1)), EDATE(P360,Q360)))"),"#VALUE!")</f>
        <v>#VALUE!</v>
      </c>
      <c r="S360" s="30">
        <v>1.0</v>
      </c>
      <c r="T360" s="30" t="s">
        <v>1508</v>
      </c>
      <c r="U360" s="30" t="s">
        <v>1508</v>
      </c>
      <c r="V360" s="64">
        <v>44625.0</v>
      </c>
      <c r="W360" s="5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</row>
    <row r="361" ht="60.0" customHeight="1">
      <c r="A361" s="14" t="str">
        <f>if(H361&lt;&gt;"",VLOOKUP(H361,ID!$A$2:$C$999,3,FALSE),"") </f>
        <v>BT0338</v>
      </c>
      <c r="B361" s="15" t="s">
        <v>0</v>
      </c>
      <c r="C361" s="16" t="s">
        <v>1</v>
      </c>
      <c r="D361" s="38" t="s">
        <v>155</v>
      </c>
      <c r="E361" s="15" t="s">
        <v>1509</v>
      </c>
      <c r="F361" s="30">
        <v>540.0</v>
      </c>
      <c r="G361" s="52" t="s">
        <v>1510</v>
      </c>
      <c r="H361" s="30" t="s">
        <v>1511</v>
      </c>
      <c r="I361" s="54" t="s">
        <v>1507</v>
      </c>
      <c r="J361" s="30" t="s">
        <v>879</v>
      </c>
      <c r="K361" s="54" t="s">
        <v>8</v>
      </c>
      <c r="L361" s="54" t="s">
        <v>96</v>
      </c>
      <c r="M361" s="54" t="s">
        <v>622</v>
      </c>
      <c r="N361" s="66"/>
      <c r="O361" s="31" t="s">
        <v>1503</v>
      </c>
      <c r="P361" s="31" t="s">
        <v>1503</v>
      </c>
      <c r="Q361" s="61">
        <v>36.0</v>
      </c>
      <c r="R361" s="69" t="str">
        <f>IFERROR(__xludf.DUMMYFUNCTION("IF (OR( Q361 = """" , P361 =""""), """" , IF(Q361 = ""Menos de 1 mês"" , ""antes de ""&amp; TO_TEXT( EDATE(P361, 1)), EDATE(P361,Q361)))"),"#VALUE!")</f>
        <v>#VALUE!</v>
      </c>
      <c r="S361" s="30">
        <v>1.0</v>
      </c>
      <c r="T361" s="30" t="s">
        <v>1512</v>
      </c>
      <c r="U361" s="30" t="s">
        <v>1512</v>
      </c>
      <c r="V361" s="64">
        <v>44625.0</v>
      </c>
      <c r="W361" s="5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</row>
    <row r="362" ht="60.0" customHeight="1">
      <c r="A362" s="14" t="str">
        <f>if(H362&lt;&gt;"",VLOOKUP(H362,ID!$A$2:$C$999,3,FALSE),"") </f>
        <v>BT0339</v>
      </c>
      <c r="B362" s="15" t="s">
        <v>0</v>
      </c>
      <c r="C362" s="16" t="s">
        <v>1</v>
      </c>
      <c r="D362" s="38" t="s">
        <v>155</v>
      </c>
      <c r="E362" s="15" t="s">
        <v>1513</v>
      </c>
      <c r="F362" s="30">
        <v>860.0</v>
      </c>
      <c r="G362" s="52" t="s">
        <v>1514</v>
      </c>
      <c r="H362" s="30" t="s">
        <v>1515</v>
      </c>
      <c r="I362" s="54" t="s">
        <v>1507</v>
      </c>
      <c r="J362" s="30" t="s">
        <v>879</v>
      </c>
      <c r="K362" s="54" t="s">
        <v>8</v>
      </c>
      <c r="L362" s="54" t="s">
        <v>96</v>
      </c>
      <c r="M362" s="54" t="s">
        <v>622</v>
      </c>
      <c r="N362" s="66"/>
      <c r="O362" s="31" t="s">
        <v>1503</v>
      </c>
      <c r="P362" s="31" t="s">
        <v>1503</v>
      </c>
      <c r="Q362" s="61">
        <v>36.0</v>
      </c>
      <c r="R362" s="69" t="str">
        <f>IFERROR(__xludf.DUMMYFUNCTION("IF (OR( Q362 = """" , P362 =""""), """" , IF(Q362 = ""Menos de 1 mês"" , ""antes de ""&amp; TO_TEXT( EDATE(P362, 1)), EDATE(P362,Q362)))"),"#VALUE!")</f>
        <v>#VALUE!</v>
      </c>
      <c r="S362" s="30">
        <v>1.0</v>
      </c>
      <c r="T362" s="30" t="s">
        <v>1508</v>
      </c>
      <c r="U362" s="30" t="s">
        <v>1508</v>
      </c>
      <c r="V362" s="64">
        <v>44625.0</v>
      </c>
      <c r="W362" s="5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</row>
    <row r="363" ht="60.0" customHeight="1">
      <c r="A363" s="14" t="str">
        <f>if(H363&lt;&gt;"",VLOOKUP(H363,ID!$A$2:$C$999,3,FALSE),"") </f>
        <v>BT0340</v>
      </c>
      <c r="B363" s="15" t="s">
        <v>0</v>
      </c>
      <c r="C363" s="16" t="s">
        <v>1</v>
      </c>
      <c r="D363" s="38" t="s">
        <v>2</v>
      </c>
      <c r="E363" s="15" t="s">
        <v>1516</v>
      </c>
      <c r="F363" s="30">
        <v>1400.0</v>
      </c>
      <c r="G363" s="52" t="s">
        <v>1517</v>
      </c>
      <c r="H363" s="30" t="s">
        <v>1518</v>
      </c>
      <c r="I363" s="54" t="s">
        <v>1519</v>
      </c>
      <c r="J363" s="30" t="s">
        <v>1520</v>
      </c>
      <c r="K363" s="54" t="s">
        <v>8</v>
      </c>
      <c r="L363" s="54" t="s">
        <v>30</v>
      </c>
      <c r="M363" s="54" t="s">
        <v>1361</v>
      </c>
      <c r="N363" s="66"/>
      <c r="O363" s="31" t="s">
        <v>1503</v>
      </c>
      <c r="P363" s="31" t="s">
        <v>1503</v>
      </c>
      <c r="Q363" s="61">
        <v>36.0</v>
      </c>
      <c r="R363" s="69" t="str">
        <f>IFERROR(__xludf.DUMMYFUNCTION("IF (OR( Q363 = """" , P363 =""""), """" , IF(Q363 = ""Menos de 1 mês"" , ""antes de ""&amp; TO_TEXT( EDATE(P363, 1)), EDATE(P363,Q363)))"),"#VALUE!")</f>
        <v>#VALUE!</v>
      </c>
      <c r="S363" s="28"/>
      <c r="T363" s="30" t="s">
        <v>1521</v>
      </c>
      <c r="U363" s="30" t="s">
        <v>1521</v>
      </c>
      <c r="V363" s="64">
        <v>44625.0</v>
      </c>
      <c r="W363" s="5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</row>
    <row r="364" ht="60.0" customHeight="1">
      <c r="A364" s="14" t="str">
        <f>if(H364&lt;&gt;"",VLOOKUP(H364,ID!$A$2:$C$999,3,FALSE),"") </f>
        <v>BT0341</v>
      </c>
      <c r="B364" s="15" t="s">
        <v>0</v>
      </c>
      <c r="C364" s="16" t="s">
        <v>1</v>
      </c>
      <c r="D364" s="38" t="s">
        <v>2</v>
      </c>
      <c r="E364" s="15" t="s">
        <v>1522</v>
      </c>
      <c r="F364" s="30">
        <v>7044.0</v>
      </c>
      <c r="G364" s="52" t="s">
        <v>1523</v>
      </c>
      <c r="H364" s="30" t="s">
        <v>1524</v>
      </c>
      <c r="I364" s="54" t="s">
        <v>1525</v>
      </c>
      <c r="J364" s="30" t="s">
        <v>1526</v>
      </c>
      <c r="K364" s="54" t="s">
        <v>8</v>
      </c>
      <c r="L364" s="54" t="s">
        <v>9</v>
      </c>
      <c r="M364" s="54" t="s">
        <v>622</v>
      </c>
      <c r="N364" s="66"/>
      <c r="O364" s="31" t="s">
        <v>1503</v>
      </c>
      <c r="P364" s="31" t="s">
        <v>1503</v>
      </c>
      <c r="Q364" s="61">
        <v>36.0</v>
      </c>
      <c r="R364" s="69" t="str">
        <f>IFERROR(__xludf.DUMMYFUNCTION("IF (OR( Q364 = """" , P364 =""""), """" , IF(Q364 = ""Menos de 1 mês"" , ""antes de ""&amp; TO_TEXT( EDATE(P364, 1)), EDATE(P364,Q364)))"),"#VALUE!")</f>
        <v>#VALUE!</v>
      </c>
      <c r="S364" s="30">
        <v>4.0</v>
      </c>
      <c r="T364" s="30" t="s">
        <v>1527</v>
      </c>
      <c r="U364" s="30" t="s">
        <v>1527</v>
      </c>
      <c r="V364" s="64">
        <v>44625.0</v>
      </c>
      <c r="W364" s="5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</row>
    <row r="365" ht="60.0" customHeight="1">
      <c r="A365" s="14" t="str">
        <f>if(H365&lt;&gt;"",VLOOKUP(H365,ID!$A$2:$C$999,3,FALSE),"") </f>
        <v>BT0342</v>
      </c>
      <c r="B365" s="15" t="s">
        <v>0</v>
      </c>
      <c r="C365" s="16" t="s">
        <v>1</v>
      </c>
      <c r="D365" s="38" t="s">
        <v>33</v>
      </c>
      <c r="E365" s="15" t="s">
        <v>1528</v>
      </c>
      <c r="F365" s="30" t="s">
        <v>1529</v>
      </c>
      <c r="G365" s="52" t="s">
        <v>1530</v>
      </c>
      <c r="H365" s="30" t="s">
        <v>1531</v>
      </c>
      <c r="I365" s="54" t="s">
        <v>918</v>
      </c>
      <c r="J365" s="30" t="s">
        <v>919</v>
      </c>
      <c r="K365" s="54" t="s">
        <v>8</v>
      </c>
      <c r="L365" s="54" t="s">
        <v>9</v>
      </c>
      <c r="M365" s="54" t="s">
        <v>622</v>
      </c>
      <c r="N365" s="66"/>
      <c r="O365" s="31" t="s">
        <v>1532</v>
      </c>
      <c r="P365" s="31" t="s">
        <v>1532</v>
      </c>
      <c r="Q365" s="61">
        <v>36.0</v>
      </c>
      <c r="R365" s="69" t="str">
        <f>IFERROR(__xludf.DUMMYFUNCTION("IF (OR( Q365 = """" , P365 =""""), """" , IF(Q365 = ""Menos de 1 mês"" , ""antes de ""&amp; TO_TEXT( EDATE(P365, 1)), EDATE(P365,Q365)))"),"#VALUE!")</f>
        <v>#VALUE!</v>
      </c>
      <c r="S365" s="30">
        <v>3.0</v>
      </c>
      <c r="T365" s="30" t="s">
        <v>1533</v>
      </c>
      <c r="U365" s="30" t="s">
        <v>1533</v>
      </c>
      <c r="V365" s="64"/>
      <c r="W365" s="5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</row>
    <row r="366" ht="60.0" customHeight="1">
      <c r="A366" s="14" t="str">
        <f>if(H366&lt;&gt;"",VLOOKUP(H366,ID!$A$2:$C$999,3,FALSE),"") </f>
        <v>BT0343</v>
      </c>
      <c r="B366" s="15" t="s">
        <v>0</v>
      </c>
      <c r="C366" s="16" t="s">
        <v>1</v>
      </c>
      <c r="D366" s="38" t="s">
        <v>33</v>
      </c>
      <c r="E366" s="15" t="s">
        <v>1534</v>
      </c>
      <c r="F366" s="30">
        <v>600.0</v>
      </c>
      <c r="G366" s="52" t="s">
        <v>1535</v>
      </c>
      <c r="H366" s="30" t="s">
        <v>1536</v>
      </c>
      <c r="I366" s="54" t="s">
        <v>1537</v>
      </c>
      <c r="J366" s="30" t="s">
        <v>61</v>
      </c>
      <c r="K366" s="54" t="s">
        <v>8</v>
      </c>
      <c r="L366" s="54" t="s">
        <v>9</v>
      </c>
      <c r="M366" s="54" t="s">
        <v>622</v>
      </c>
      <c r="N366" s="66"/>
      <c r="O366" s="31" t="s">
        <v>1532</v>
      </c>
      <c r="P366" s="31" t="s">
        <v>1532</v>
      </c>
      <c r="Q366" s="61">
        <v>36.0</v>
      </c>
      <c r="R366" s="69" t="str">
        <f>IFERROR(__xludf.DUMMYFUNCTION("IF (OR( Q366 = """" , P366 =""""), """" , IF(Q366 = ""Menos de 1 mês"" , ""antes de ""&amp; TO_TEXT( EDATE(P366, 1)), EDATE(P366,Q366)))"),"#VALUE!")</f>
        <v>#VALUE!</v>
      </c>
      <c r="S366" s="30">
        <v>2.0</v>
      </c>
      <c r="T366" s="30" t="s">
        <v>1538</v>
      </c>
      <c r="U366" s="30" t="s">
        <v>1538</v>
      </c>
      <c r="V366" s="64"/>
      <c r="W366" s="5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</row>
    <row r="367" ht="60.0" customHeight="1">
      <c r="A367" s="14" t="str">
        <f>if(H367&lt;&gt;"",VLOOKUP(H367,ID!$A$2:$C$999,3,FALSE),"") </f>
        <v>BT0344</v>
      </c>
      <c r="B367" s="15" t="s">
        <v>0</v>
      </c>
      <c r="C367" s="16" t="s">
        <v>1</v>
      </c>
      <c r="D367" s="38" t="s">
        <v>33</v>
      </c>
      <c r="E367" s="15" t="s">
        <v>97</v>
      </c>
      <c r="F367" s="30">
        <v>450.0</v>
      </c>
      <c r="G367" s="52" t="s">
        <v>1539</v>
      </c>
      <c r="H367" s="30" t="s">
        <v>1540</v>
      </c>
      <c r="I367" s="54" t="s">
        <v>1537</v>
      </c>
      <c r="J367" s="30" t="s">
        <v>61</v>
      </c>
      <c r="K367" s="54" t="s">
        <v>8</v>
      </c>
      <c r="L367" s="54" t="s">
        <v>96</v>
      </c>
      <c r="M367" s="54" t="s">
        <v>622</v>
      </c>
      <c r="N367" s="66"/>
      <c r="O367" s="31" t="s">
        <v>1532</v>
      </c>
      <c r="P367" s="31" t="s">
        <v>1532</v>
      </c>
      <c r="Q367" s="61">
        <v>36.0</v>
      </c>
      <c r="R367" s="69" t="str">
        <f>IFERROR(__xludf.DUMMYFUNCTION("IF (OR( Q367 = """" , P367 =""""), """" , IF(Q367 = ""Menos de 1 mês"" , ""antes de ""&amp; TO_TEXT( EDATE(P367, 1)), EDATE(P367,Q367)))"),"#VALUE!")</f>
        <v>#VALUE!</v>
      </c>
      <c r="S367" s="30">
        <v>1.0</v>
      </c>
      <c r="T367" s="30" t="s">
        <v>1541</v>
      </c>
      <c r="U367" s="30" t="s">
        <v>1541</v>
      </c>
      <c r="V367" s="64"/>
      <c r="W367" s="5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</row>
    <row r="368" ht="60.0" customHeight="1">
      <c r="A368" s="14" t="str">
        <f>if(H368&lt;&gt;"",VLOOKUP(H368,ID!$A$2:$C$999,3,FALSE),"") </f>
        <v>BT0345</v>
      </c>
      <c r="B368" s="15" t="s">
        <v>0</v>
      </c>
      <c r="C368" s="16" t="s">
        <v>1</v>
      </c>
      <c r="D368" s="38" t="s">
        <v>2</v>
      </c>
      <c r="E368" s="15" t="s">
        <v>137</v>
      </c>
      <c r="F368" s="30" t="s">
        <v>1542</v>
      </c>
      <c r="G368" s="52" t="s">
        <v>1543</v>
      </c>
      <c r="H368" s="30" t="s">
        <v>1544</v>
      </c>
      <c r="I368" s="54" t="s">
        <v>1545</v>
      </c>
      <c r="J368" s="30" t="s">
        <v>141</v>
      </c>
      <c r="K368" s="54" t="s">
        <v>8</v>
      </c>
      <c r="L368" s="54" t="s">
        <v>30</v>
      </c>
      <c r="M368" s="54" t="s">
        <v>1361</v>
      </c>
      <c r="N368" s="66"/>
      <c r="O368" s="31" t="s">
        <v>1532</v>
      </c>
      <c r="P368" s="31" t="s">
        <v>1532</v>
      </c>
      <c r="Q368" s="61">
        <v>36.0</v>
      </c>
      <c r="R368" s="69" t="str">
        <f>IFERROR(__xludf.DUMMYFUNCTION("IF (OR( Q368 = """" , P368 =""""), """" , IF(Q368 = ""Menos de 1 mês"" , ""antes de ""&amp; TO_TEXT( EDATE(P368, 1)), EDATE(P368,Q368)))"),"#VALUE!")</f>
        <v>#VALUE!</v>
      </c>
      <c r="S368" s="30">
        <v>1.0</v>
      </c>
      <c r="T368" s="30" t="s">
        <v>1541</v>
      </c>
      <c r="U368" s="30" t="s">
        <v>1541</v>
      </c>
      <c r="V368" s="64"/>
      <c r="W368" s="5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</row>
    <row r="369" ht="60.0" customHeight="1">
      <c r="A369" s="14" t="str">
        <f>if(H369&lt;&gt;"",VLOOKUP(H369,ID!$A$2:$C$999,3,FALSE),"") </f>
        <v>BT0346</v>
      </c>
      <c r="B369" s="15" t="s">
        <v>0</v>
      </c>
      <c r="C369" s="16" t="s">
        <v>1</v>
      </c>
      <c r="D369" s="38" t="s">
        <v>2</v>
      </c>
      <c r="E369" s="15" t="s">
        <v>1546</v>
      </c>
      <c r="F369" s="30">
        <v>4990.0</v>
      </c>
      <c r="G369" s="52" t="s">
        <v>1547</v>
      </c>
      <c r="H369" s="30" t="s">
        <v>1548</v>
      </c>
      <c r="I369" s="54" t="s">
        <v>1545</v>
      </c>
      <c r="J369" s="30" t="s">
        <v>148</v>
      </c>
      <c r="K369" s="54" t="s">
        <v>8</v>
      </c>
      <c r="L369" s="54" t="s">
        <v>96</v>
      </c>
      <c r="M369" s="54" t="s">
        <v>622</v>
      </c>
      <c r="N369" s="66"/>
      <c r="O369" s="31" t="s">
        <v>1532</v>
      </c>
      <c r="P369" s="31" t="s">
        <v>1532</v>
      </c>
      <c r="Q369" s="61">
        <v>36.0</v>
      </c>
      <c r="R369" s="69" t="str">
        <f>IFERROR(__xludf.DUMMYFUNCTION("IF (OR( Q369 = """" , P369 =""""), """" , IF(Q369 = ""Menos de 1 mês"" , ""antes de ""&amp; TO_TEXT( EDATE(P369, 1)), EDATE(P369,Q369)))"),"#VALUE!")</f>
        <v>#VALUE!</v>
      </c>
      <c r="S369" s="30">
        <v>2.0</v>
      </c>
      <c r="T369" s="30" t="s">
        <v>393</v>
      </c>
      <c r="U369" s="30" t="s">
        <v>393</v>
      </c>
      <c r="V369" s="64"/>
      <c r="W369" s="5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</row>
    <row r="370" ht="60.0" customHeight="1">
      <c r="A370" s="14" t="str">
        <f>if(H370&lt;&gt;"",VLOOKUP(H370,ID!$A$2:$C$999,3,FALSE),"") </f>
        <v>BT0347</v>
      </c>
      <c r="B370" s="15" t="s">
        <v>0</v>
      </c>
      <c r="C370" s="16" t="s">
        <v>1</v>
      </c>
      <c r="D370" s="38" t="s">
        <v>2</v>
      </c>
      <c r="E370" s="15" t="s">
        <v>145</v>
      </c>
      <c r="F370" s="30">
        <v>287.0</v>
      </c>
      <c r="G370" s="52" t="s">
        <v>1549</v>
      </c>
      <c r="H370" s="30" t="s">
        <v>1550</v>
      </c>
      <c r="I370" s="54" t="s">
        <v>1551</v>
      </c>
      <c r="J370" s="30" t="s">
        <v>141</v>
      </c>
      <c r="K370" s="54" t="s">
        <v>8</v>
      </c>
      <c r="L370" s="54" t="s">
        <v>30</v>
      </c>
      <c r="M370" s="54" t="s">
        <v>1552</v>
      </c>
      <c r="N370" s="66"/>
      <c r="O370" s="31" t="s">
        <v>1532</v>
      </c>
      <c r="P370" s="31" t="s">
        <v>1532</v>
      </c>
      <c r="Q370" s="61">
        <v>36.0</v>
      </c>
      <c r="R370" s="69" t="str">
        <f>IFERROR(__xludf.DUMMYFUNCTION("IF (OR( Q370 = """" , P370 =""""), """" , IF(Q370 = ""Menos de 1 mês"" , ""antes de ""&amp; TO_TEXT( EDATE(P370, 1)), EDATE(P370,Q370)))"),"#VALUE!")</f>
        <v>#VALUE!</v>
      </c>
      <c r="S370" s="30">
        <v>1.0</v>
      </c>
      <c r="T370" s="30" t="s">
        <v>1262</v>
      </c>
      <c r="U370" s="30" t="s">
        <v>1262</v>
      </c>
      <c r="V370" s="64"/>
      <c r="W370" s="5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</row>
    <row r="371" ht="60.0" customHeight="1">
      <c r="A371" s="14" t="str">
        <f>if(H371&lt;&gt;"",VLOOKUP(H371,ID!$A$2:$C$999,3,FALSE),"") </f>
        <v>BT0348</v>
      </c>
      <c r="B371" s="15" t="s">
        <v>0</v>
      </c>
      <c r="C371" s="16" t="s">
        <v>1</v>
      </c>
      <c r="D371" s="38" t="s">
        <v>155</v>
      </c>
      <c r="E371" s="15" t="s">
        <v>802</v>
      </c>
      <c r="F371" s="30">
        <v>35.0</v>
      </c>
      <c r="G371" s="52" t="s">
        <v>1553</v>
      </c>
      <c r="H371" s="30" t="s">
        <v>1554</v>
      </c>
      <c r="I371" s="54" t="s">
        <v>1555</v>
      </c>
      <c r="J371" s="30" t="s">
        <v>141</v>
      </c>
      <c r="K371" s="54" t="s">
        <v>8</v>
      </c>
      <c r="L371" s="54" t="s">
        <v>30</v>
      </c>
      <c r="M371" s="54" t="s">
        <v>1552</v>
      </c>
      <c r="N371" s="66"/>
      <c r="O371" s="31" t="s">
        <v>1532</v>
      </c>
      <c r="P371" s="31" t="s">
        <v>1532</v>
      </c>
      <c r="Q371" s="61">
        <v>36.0</v>
      </c>
      <c r="R371" s="69" t="str">
        <f>IFERROR(__xludf.DUMMYFUNCTION("IF (OR( Q371 = """" , P371 =""""), """" , IF(Q371 = ""Menos de 1 mês"" , ""antes de ""&amp; TO_TEXT( EDATE(P371, 1)), EDATE(P371,Q371)))"),"#VALUE!")</f>
        <v>#VALUE!</v>
      </c>
      <c r="S371" s="30">
        <v>1.0</v>
      </c>
      <c r="T371" s="30" t="s">
        <v>1556</v>
      </c>
      <c r="U371" s="30" t="s">
        <v>1556</v>
      </c>
      <c r="V371" s="64"/>
      <c r="W371" s="5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</row>
    <row r="372" ht="60.0" customHeight="1">
      <c r="A372" s="14" t="str">
        <f>if(H372&lt;&gt;"",VLOOKUP(H372,ID!$A$2:$C$999,3,FALSE),"") </f>
        <v>BT0349</v>
      </c>
      <c r="B372" s="15" t="s">
        <v>0</v>
      </c>
      <c r="C372" s="16" t="s">
        <v>1</v>
      </c>
      <c r="D372" s="38" t="s">
        <v>155</v>
      </c>
      <c r="E372" s="15" t="s">
        <v>1557</v>
      </c>
      <c r="F372" s="30">
        <v>38.0</v>
      </c>
      <c r="G372" s="52" t="s">
        <v>1558</v>
      </c>
      <c r="H372" s="30" t="s">
        <v>1559</v>
      </c>
      <c r="I372" s="54" t="s">
        <v>1555</v>
      </c>
      <c r="J372" s="30" t="s">
        <v>141</v>
      </c>
      <c r="K372" s="54" t="s">
        <v>8</v>
      </c>
      <c r="L372" s="54" t="s">
        <v>30</v>
      </c>
      <c r="M372" s="54" t="s">
        <v>1552</v>
      </c>
      <c r="N372" s="66"/>
      <c r="O372" s="31" t="s">
        <v>1532</v>
      </c>
      <c r="P372" s="31" t="s">
        <v>1532</v>
      </c>
      <c r="Q372" s="61">
        <v>36.0</v>
      </c>
      <c r="R372" s="69" t="str">
        <f>IFERROR(__xludf.DUMMYFUNCTION("IF (OR( Q372 = """" , P372 =""""), """" , IF(Q372 = ""Menos de 1 mês"" , ""antes de ""&amp; TO_TEXT( EDATE(P372, 1)), EDATE(P372,Q372)))"),"#VALUE!")</f>
        <v>#VALUE!</v>
      </c>
      <c r="S372" s="30">
        <v>1.0</v>
      </c>
      <c r="T372" s="30" t="s">
        <v>1560</v>
      </c>
      <c r="U372" s="30" t="s">
        <v>1560</v>
      </c>
      <c r="V372" s="64"/>
      <c r="W372" s="5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</row>
    <row r="373" ht="60.0" customHeight="1">
      <c r="A373" s="14" t="str">
        <f>if(H373&lt;&gt;"",VLOOKUP(H373,ID!$A$2:$C$999,3,FALSE),"") </f>
        <v>BT0350</v>
      </c>
      <c r="B373" s="15" t="s">
        <v>0</v>
      </c>
      <c r="C373" s="16" t="s">
        <v>1</v>
      </c>
      <c r="D373" s="38" t="s">
        <v>46</v>
      </c>
      <c r="E373" s="15" t="s">
        <v>1561</v>
      </c>
      <c r="F373" s="30">
        <v>350.0</v>
      </c>
      <c r="G373" s="52" t="s">
        <v>1562</v>
      </c>
      <c r="H373" s="30" t="s">
        <v>1563</v>
      </c>
      <c r="I373" s="54" t="s">
        <v>196</v>
      </c>
      <c r="J373" s="30" t="s">
        <v>197</v>
      </c>
      <c r="K373" s="54" t="s">
        <v>8</v>
      </c>
      <c r="L373" s="54" t="s">
        <v>96</v>
      </c>
      <c r="M373" s="54" t="s">
        <v>622</v>
      </c>
      <c r="N373" s="66"/>
      <c r="O373" s="27" t="s">
        <v>1532</v>
      </c>
      <c r="P373" s="27" t="s">
        <v>1532</v>
      </c>
      <c r="Q373" s="61">
        <v>36.0</v>
      </c>
      <c r="R373" s="69" t="str">
        <f>IFERROR(__xludf.DUMMYFUNCTION("IF (OR( Q373 = """" , P373 =""""), """" , IF(Q373 = ""Menos de 1 mês"" , ""antes de ""&amp; TO_TEXT( EDATE(P373, 1)), EDATE(P373,Q373)))"),"#VALUE!")</f>
        <v>#VALUE!</v>
      </c>
      <c r="S373" s="30">
        <v>1.0</v>
      </c>
      <c r="T373" s="30" t="s">
        <v>1564</v>
      </c>
      <c r="U373" s="30" t="s">
        <v>1564</v>
      </c>
      <c r="V373" s="64"/>
      <c r="W373" s="5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</row>
    <row r="374" ht="60.0" customHeight="1">
      <c r="A374" s="14" t="str">
        <f>if(H374&lt;&gt;"",VLOOKUP(H374,ID!$A$2:$C$999,3,FALSE),"") </f>
        <v>BT0351</v>
      </c>
      <c r="B374" s="15" t="s">
        <v>0</v>
      </c>
      <c r="C374" s="16" t="s">
        <v>1</v>
      </c>
      <c r="D374" s="38" t="s">
        <v>2</v>
      </c>
      <c r="E374" s="15" t="s">
        <v>1565</v>
      </c>
      <c r="F374" s="85"/>
      <c r="G374" s="52" t="s">
        <v>1566</v>
      </c>
      <c r="H374" s="30" t="s">
        <v>1567</v>
      </c>
      <c r="I374" s="54" t="s">
        <v>931</v>
      </c>
      <c r="J374" s="30" t="s">
        <v>141</v>
      </c>
      <c r="K374" s="54" t="s">
        <v>8</v>
      </c>
      <c r="L374" s="54" t="s">
        <v>30</v>
      </c>
      <c r="M374" s="54" t="s">
        <v>1361</v>
      </c>
      <c r="N374" s="66"/>
      <c r="O374" s="27" t="s">
        <v>1532</v>
      </c>
      <c r="P374" s="27" t="s">
        <v>1532</v>
      </c>
      <c r="Q374" s="61">
        <v>36.0</v>
      </c>
      <c r="R374" s="69" t="str">
        <f>IFERROR(__xludf.DUMMYFUNCTION("IF (OR( Q374 = """" , P374 =""""), """" , IF(Q374 = ""Menos de 1 mês"" , ""antes de ""&amp; TO_TEXT( EDATE(P374, 1)), EDATE(P374,Q374)))"),"#VALUE!")</f>
        <v>#VALUE!</v>
      </c>
      <c r="S374" s="30"/>
      <c r="T374" s="56">
        <v>288000.0</v>
      </c>
      <c r="U374" s="56">
        <v>288000.0</v>
      </c>
      <c r="V374" s="64"/>
      <c r="W374" s="5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</row>
    <row r="375" ht="60.0" customHeight="1">
      <c r="A375" s="14" t="str">
        <f>if(H375&lt;&gt;"",VLOOKUP(H375,ID!$A$2:$C$999,3,FALSE),"") </f>
        <v>BT0352</v>
      </c>
      <c r="B375" s="15" t="s">
        <v>0</v>
      </c>
      <c r="C375" s="16" t="s">
        <v>1</v>
      </c>
      <c r="D375" s="38" t="s">
        <v>155</v>
      </c>
      <c r="E375" s="15" t="s">
        <v>1568</v>
      </c>
      <c r="F375" s="30">
        <v>4990.0</v>
      </c>
      <c r="G375" s="52" t="s">
        <v>1569</v>
      </c>
      <c r="H375" s="30" t="s">
        <v>1570</v>
      </c>
      <c r="I375" s="54" t="s">
        <v>1571</v>
      </c>
      <c r="J375" s="30" t="s">
        <v>1572</v>
      </c>
      <c r="K375" s="54" t="s">
        <v>8</v>
      </c>
      <c r="L375" s="54" t="s">
        <v>9</v>
      </c>
      <c r="M375" s="54" t="s">
        <v>622</v>
      </c>
      <c r="N375" s="66"/>
      <c r="O375" s="27" t="s">
        <v>1532</v>
      </c>
      <c r="P375" s="27" t="s">
        <v>1532</v>
      </c>
      <c r="Q375" s="61">
        <v>36.0</v>
      </c>
      <c r="R375" s="69" t="str">
        <f>IFERROR(__xludf.DUMMYFUNCTION("IF (OR( Q375 = """" , P375 =""""), """" , IF(Q375 = ""Menos de 1 mês"" , ""antes de ""&amp; TO_TEXT( EDATE(P375, 1)), EDATE(P375,Q375)))"),"#VALUE!")</f>
        <v>#VALUE!</v>
      </c>
      <c r="S375" s="30">
        <v>2.0</v>
      </c>
      <c r="T375" s="56">
        <v>72000.0</v>
      </c>
      <c r="U375" s="56">
        <v>72000.0</v>
      </c>
      <c r="V375" s="66"/>
      <c r="W375" s="5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</row>
    <row r="376" ht="60.0" customHeight="1">
      <c r="A376" s="14" t="str">
        <f>if(H376&lt;&gt;"",VLOOKUP(H376,ID!$A$2:$C$999,3,FALSE),"") </f>
        <v>BT0353</v>
      </c>
      <c r="B376" s="15" t="s">
        <v>0</v>
      </c>
      <c r="C376" s="16" t="s">
        <v>1</v>
      </c>
      <c r="D376" s="38" t="s">
        <v>33</v>
      </c>
      <c r="E376" s="15" t="s">
        <v>1573</v>
      </c>
      <c r="F376" s="30">
        <v>1260.0</v>
      </c>
      <c r="G376" s="81"/>
      <c r="H376" s="30" t="s">
        <v>1574</v>
      </c>
      <c r="I376" s="54" t="s">
        <v>1575</v>
      </c>
      <c r="J376" s="30" t="s">
        <v>294</v>
      </c>
      <c r="K376" s="54" t="s">
        <v>8</v>
      </c>
      <c r="L376" s="54" t="s">
        <v>9</v>
      </c>
      <c r="M376" s="54" t="s">
        <v>622</v>
      </c>
      <c r="N376" s="66"/>
      <c r="O376" s="66"/>
      <c r="P376" s="66"/>
      <c r="Q376" s="28"/>
      <c r="R376" s="69" t="str">
        <f>IFERROR(__xludf.DUMMYFUNCTION("IF (OR( Q376 = """" , P376 =""""), """" , IF(Q376 = ""Menos de 1 mês"" , ""antes de ""&amp; TO_TEXT( EDATE(P376, 1)), EDATE(P376,Q376)))"),"")</f>
        <v/>
      </c>
      <c r="S376" s="30">
        <v>2.0</v>
      </c>
      <c r="T376" s="86">
        <v>31680.0</v>
      </c>
      <c r="U376" s="86">
        <v>31680.0</v>
      </c>
      <c r="V376" s="66"/>
      <c r="W376" s="5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</row>
    <row r="377" ht="60.0" customHeight="1">
      <c r="A377" s="14" t="str">
        <f>if(H377&lt;&gt;"",VLOOKUP(H377,ID!$A$2:$C$999,3,FALSE),"") </f>
        <v>BT0166</v>
      </c>
      <c r="B377" s="15" t="s">
        <v>0</v>
      </c>
      <c r="C377" s="16" t="s">
        <v>1</v>
      </c>
      <c r="D377" s="38" t="s">
        <v>33</v>
      </c>
      <c r="E377" s="15" t="s">
        <v>770</v>
      </c>
      <c r="F377" s="30">
        <v>12.0</v>
      </c>
      <c r="G377" s="81"/>
      <c r="H377" s="30" t="s">
        <v>771</v>
      </c>
      <c r="I377" s="54" t="s">
        <v>1576</v>
      </c>
      <c r="J377" s="30" t="s">
        <v>699</v>
      </c>
      <c r="K377" s="54" t="s">
        <v>8</v>
      </c>
      <c r="L377" s="54" t="s">
        <v>30</v>
      </c>
      <c r="M377" s="54" t="s">
        <v>1577</v>
      </c>
      <c r="N377" s="66"/>
      <c r="O377" s="66"/>
      <c r="P377" s="66"/>
      <c r="Q377" s="28"/>
      <c r="R377" s="69" t="str">
        <f>IFERROR(__xludf.DUMMYFUNCTION("IF (OR( Q377 = """" , P377 =""""), """" , IF(Q377 = ""Menos de 1 mês"" , ""antes de ""&amp; TO_TEXT( EDATE(P377, 1)), EDATE(P377,Q377)))"),"")</f>
        <v/>
      </c>
      <c r="S377" s="30">
        <v>1.0</v>
      </c>
      <c r="T377" s="56">
        <v>9000.0</v>
      </c>
      <c r="U377" s="56">
        <v>9000.0</v>
      </c>
      <c r="V377" s="66"/>
      <c r="W377" s="5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</row>
    <row r="378" ht="60.0" customHeight="1">
      <c r="A378" s="14" t="str">
        <f>if(H378&lt;&gt;"",VLOOKUP(H378,ID!$A$2:$C$999,3,FALSE),"") </f>
        <v>BT0168</v>
      </c>
      <c r="B378" s="15" t="s">
        <v>0</v>
      </c>
      <c r="C378" s="16" t="s">
        <v>1</v>
      </c>
      <c r="D378" s="38" t="s">
        <v>33</v>
      </c>
      <c r="E378" s="15" t="s">
        <v>775</v>
      </c>
      <c r="F378" s="30">
        <v>15.0</v>
      </c>
      <c r="G378" s="81"/>
      <c r="H378" s="30" t="s">
        <v>776</v>
      </c>
      <c r="I378" s="54" t="s">
        <v>1576</v>
      </c>
      <c r="J378" s="30" t="s">
        <v>699</v>
      </c>
      <c r="K378" s="54" t="s">
        <v>8</v>
      </c>
      <c r="L378" s="54" t="s">
        <v>9</v>
      </c>
      <c r="M378" s="54" t="s">
        <v>622</v>
      </c>
      <c r="N378" s="66"/>
      <c r="O378" s="66"/>
      <c r="P378" s="66"/>
      <c r="Q378" s="28"/>
      <c r="R378" s="69" t="str">
        <f>IFERROR(__xludf.DUMMYFUNCTION("IF (OR( Q378 = """" , P378 =""""), """" , IF(Q378 = ""Menos de 1 mês"" , ""antes de ""&amp; TO_TEXT( EDATE(P378, 1)), EDATE(P378,Q378)))"),"")</f>
        <v/>
      </c>
      <c r="S378" s="30">
        <v>1.0</v>
      </c>
      <c r="T378" s="56">
        <v>12600.0</v>
      </c>
      <c r="U378" s="56">
        <v>12600.0</v>
      </c>
      <c r="V378" s="66"/>
      <c r="W378" s="5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</row>
    <row r="379" ht="60.0" customHeight="1">
      <c r="A379" s="14" t="str">
        <f>if(H379&lt;&gt;"",VLOOKUP(H379,ID!$A$2:$C$999,3,FALSE),"") </f>
        <v>BT0354</v>
      </c>
      <c r="B379" s="15" t="s">
        <v>0</v>
      </c>
      <c r="C379" s="16" t="s">
        <v>1</v>
      </c>
      <c r="D379" s="38" t="s">
        <v>155</v>
      </c>
      <c r="E379" s="15" t="s">
        <v>1578</v>
      </c>
      <c r="F379" s="30">
        <v>6000.0</v>
      </c>
      <c r="G379" s="52" t="s">
        <v>1579</v>
      </c>
      <c r="H379" s="30" t="s">
        <v>1580</v>
      </c>
      <c r="I379" s="54" t="s">
        <v>1581</v>
      </c>
      <c r="J379" s="30" t="s">
        <v>1582</v>
      </c>
      <c r="K379" s="54" t="s">
        <v>8</v>
      </c>
      <c r="L379" s="54" t="s">
        <v>9</v>
      </c>
      <c r="M379" s="54" t="s">
        <v>622</v>
      </c>
      <c r="N379" s="66"/>
      <c r="O379" s="66"/>
      <c r="P379" s="66"/>
      <c r="Q379" s="28"/>
      <c r="R379" s="69" t="str">
        <f>IFERROR(__xludf.DUMMYFUNCTION("IF (OR( Q379 = """" , P379 =""""), """" , IF(Q379 = ""Menos de 1 mês"" , ""antes de ""&amp; TO_TEXT( EDATE(P379, 1)), EDATE(P379,Q379)))"),"")</f>
        <v/>
      </c>
      <c r="S379" s="30">
        <v>4.0</v>
      </c>
      <c r="T379" s="56">
        <v>2000.0</v>
      </c>
      <c r="U379" s="56">
        <v>2000.0</v>
      </c>
      <c r="V379" s="66"/>
      <c r="W379" s="5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</row>
    <row r="380" ht="60.0" customHeight="1">
      <c r="A380" s="14" t="str">
        <f>if(H380&lt;&gt;"",VLOOKUP(H380,ID!$A$2:$C$999,3,FALSE),"") </f>
        <v/>
      </c>
      <c r="B380" s="15" t="s">
        <v>0</v>
      </c>
      <c r="C380" s="16" t="s">
        <v>1</v>
      </c>
      <c r="D380" s="38" t="s">
        <v>2</v>
      </c>
      <c r="E380" s="15" t="s">
        <v>1583</v>
      </c>
      <c r="F380" s="85"/>
      <c r="G380" s="81"/>
      <c r="H380" s="85"/>
      <c r="I380" s="54" t="s">
        <v>1335</v>
      </c>
      <c r="J380" s="30" t="s">
        <v>346</v>
      </c>
      <c r="K380" s="54" t="s">
        <v>8</v>
      </c>
      <c r="L380" s="54" t="s">
        <v>9</v>
      </c>
      <c r="M380" s="54" t="s">
        <v>622</v>
      </c>
      <c r="N380" s="66"/>
      <c r="O380" s="66"/>
      <c r="P380" s="66"/>
      <c r="Q380" s="28"/>
      <c r="R380" s="69" t="str">
        <f>IFERROR(__xludf.DUMMYFUNCTION("IF (OR( Q380 = """" , P380 =""""), """" , IF(Q380 = ""Menos de 1 mês"" , ""antes de ""&amp; TO_TEXT( EDATE(P380, 1)), EDATE(P380,Q380)))"),"")</f>
        <v/>
      </c>
      <c r="S380" s="28"/>
      <c r="T380" s="28"/>
      <c r="U380" s="28"/>
      <c r="V380" s="66"/>
      <c r="W380" s="5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</row>
    <row r="381" ht="60.0" customHeight="1">
      <c r="A381" s="14" t="str">
        <f>if(H381&lt;&gt;"",VLOOKUP(H381,ID!$A$2:$C$999,3,FALSE),"") </f>
        <v/>
      </c>
      <c r="B381" s="15" t="s">
        <v>0</v>
      </c>
      <c r="C381" s="16" t="s">
        <v>1</v>
      </c>
      <c r="D381" s="38" t="s">
        <v>33</v>
      </c>
      <c r="E381" s="15" t="s">
        <v>1584</v>
      </c>
      <c r="F381" s="30">
        <v>1150.0</v>
      </c>
      <c r="G381" s="81"/>
      <c r="H381" s="85"/>
      <c r="I381" s="54" t="s">
        <v>1576</v>
      </c>
      <c r="J381" s="30" t="s">
        <v>699</v>
      </c>
      <c r="K381" s="54" t="s">
        <v>8</v>
      </c>
      <c r="L381" s="54" t="s">
        <v>9</v>
      </c>
      <c r="M381" s="85"/>
      <c r="N381" s="66"/>
      <c r="O381" s="66"/>
      <c r="P381" s="66"/>
      <c r="Q381" s="28"/>
      <c r="R381" s="69" t="str">
        <f>IFERROR(__xludf.DUMMYFUNCTION("IF (OR( Q381 = """" , P381 =""""), """" , IF(Q381 = ""Menos de 1 mês"" , ""antes de ""&amp; TO_TEXT( EDATE(P381, 1)), EDATE(P381,Q381)))"),"")</f>
        <v/>
      </c>
      <c r="S381" s="28"/>
      <c r="T381" s="28"/>
      <c r="U381" s="28"/>
      <c r="V381" s="66"/>
      <c r="W381" s="5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</row>
    <row r="382" ht="60.0" customHeight="1">
      <c r="A382" s="14" t="str">
        <f>if(H382&lt;&gt;"",VLOOKUP(H382,ID!$A$2:$C$999,3,FALSE),"") </f>
        <v/>
      </c>
      <c r="B382" s="15" t="s">
        <v>0</v>
      </c>
      <c r="C382" s="16" t="s">
        <v>1</v>
      </c>
      <c r="D382" s="38" t="s">
        <v>33</v>
      </c>
      <c r="E382" s="15" t="s">
        <v>1585</v>
      </c>
      <c r="F382" s="30">
        <v>350.0</v>
      </c>
      <c r="G382" s="81"/>
      <c r="H382" s="85"/>
      <c r="I382" s="54" t="s">
        <v>1576</v>
      </c>
      <c r="J382" s="30" t="s">
        <v>699</v>
      </c>
      <c r="K382" s="54" t="s">
        <v>8</v>
      </c>
      <c r="L382" s="54" t="s">
        <v>30</v>
      </c>
      <c r="M382" s="54" t="s">
        <v>1201</v>
      </c>
      <c r="N382" s="66"/>
      <c r="O382" s="66"/>
      <c r="P382" s="66"/>
      <c r="Q382" s="28"/>
      <c r="R382" s="69" t="str">
        <f>IFERROR(__xludf.DUMMYFUNCTION("IF (OR( Q382 = """" , P382 =""""), """" , IF(Q382 = ""Menos de 1 mês"" , ""antes de ""&amp; TO_TEXT( EDATE(P382, 1)), EDATE(P382,Q382)))"),"")</f>
        <v/>
      </c>
      <c r="S382" s="28"/>
      <c r="T382" s="28"/>
      <c r="U382" s="28"/>
      <c r="V382" s="66"/>
      <c r="W382" s="5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</row>
    <row r="383" ht="60.0" customHeight="1">
      <c r="A383" s="14" t="str">
        <f>if(H383&lt;&gt;"",VLOOKUP(H383,ID!$A$2:$C$999,3,FALSE),"") </f>
        <v/>
      </c>
      <c r="B383" s="15" t="s">
        <v>0</v>
      </c>
      <c r="C383" s="16" t="s">
        <v>1</v>
      </c>
      <c r="D383" s="38" t="s">
        <v>33</v>
      </c>
      <c r="E383" s="15" t="s">
        <v>1586</v>
      </c>
      <c r="F383" s="30">
        <v>400.0</v>
      </c>
      <c r="G383" s="81"/>
      <c r="H383" s="85"/>
      <c r="I383" s="54" t="s">
        <v>1587</v>
      </c>
      <c r="J383" s="30" t="s">
        <v>699</v>
      </c>
      <c r="K383" s="54" t="s">
        <v>8</v>
      </c>
      <c r="L383" s="54" t="s">
        <v>9</v>
      </c>
      <c r="M383" s="85"/>
      <c r="N383" s="66"/>
      <c r="O383" s="66"/>
      <c r="P383" s="66"/>
      <c r="Q383" s="28"/>
      <c r="R383" s="69" t="str">
        <f>IFERROR(__xludf.DUMMYFUNCTION("IF (OR( Q383 = """" , P383 =""""), """" , IF(Q383 = ""Menos de 1 mês"" , ""antes de ""&amp; TO_TEXT( EDATE(P383, 1)), EDATE(P383,Q383)))"),"")</f>
        <v/>
      </c>
      <c r="S383" s="28"/>
      <c r="T383" s="28"/>
      <c r="U383" s="28"/>
      <c r="V383" s="66"/>
      <c r="W383" s="5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</row>
    <row r="384" ht="60.0" customHeight="1">
      <c r="A384" s="14" t="str">
        <f>if(H384&lt;&gt;"",VLOOKUP(H384,ID!$A$2:$C$999,3,FALSE),"") </f>
        <v/>
      </c>
      <c r="B384" s="15" t="s">
        <v>0</v>
      </c>
      <c r="C384" s="16" t="s">
        <v>1</v>
      </c>
      <c r="D384" s="38" t="s">
        <v>33</v>
      </c>
      <c r="E384" s="15" t="s">
        <v>1588</v>
      </c>
      <c r="F384" s="30">
        <v>380.0</v>
      </c>
      <c r="G384" s="81"/>
      <c r="H384" s="85"/>
      <c r="I384" s="54" t="s">
        <v>1576</v>
      </c>
      <c r="J384" s="30" t="s">
        <v>699</v>
      </c>
      <c r="K384" s="54" t="s">
        <v>8</v>
      </c>
      <c r="L384" s="54" t="s">
        <v>30</v>
      </c>
      <c r="M384" s="54" t="s">
        <v>1201</v>
      </c>
      <c r="N384" s="66"/>
      <c r="O384" s="66"/>
      <c r="P384" s="66"/>
      <c r="Q384" s="28"/>
      <c r="R384" s="69" t="str">
        <f>IFERROR(__xludf.DUMMYFUNCTION("IF (OR( Q384 = """" , P384 =""""), """" , IF(Q384 = ""Menos de 1 mês"" , ""antes de ""&amp; TO_TEXT( EDATE(P384, 1)), EDATE(P384,Q384)))"),"")</f>
        <v/>
      </c>
      <c r="S384" s="28"/>
      <c r="T384" s="28"/>
      <c r="U384" s="28"/>
      <c r="V384" s="66"/>
      <c r="W384" s="5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</row>
    <row r="385" ht="60.0" customHeight="1">
      <c r="A385" s="14" t="str">
        <f>if(H385&lt;&gt;"",VLOOKUP(H385,ID!$A$2:$C$999,3,FALSE),"") </f>
        <v/>
      </c>
      <c r="B385" s="15" t="s">
        <v>0</v>
      </c>
      <c r="C385" s="16" t="s">
        <v>1</v>
      </c>
      <c r="D385" s="38" t="s">
        <v>33</v>
      </c>
      <c r="E385" s="87" t="s">
        <v>1589</v>
      </c>
      <c r="F385" s="30">
        <v>120.0</v>
      </c>
      <c r="G385" s="81"/>
      <c r="H385" s="85"/>
      <c r="I385" s="54" t="s">
        <v>1576</v>
      </c>
      <c r="J385" s="30" t="s">
        <v>699</v>
      </c>
      <c r="K385" s="54" t="s">
        <v>8</v>
      </c>
      <c r="L385" s="54" t="s">
        <v>30</v>
      </c>
      <c r="M385" s="54" t="s">
        <v>1201</v>
      </c>
      <c r="N385" s="66"/>
      <c r="O385" s="66"/>
      <c r="P385" s="66"/>
      <c r="Q385" s="28"/>
      <c r="R385" s="69" t="str">
        <f>IFERROR(__xludf.DUMMYFUNCTION("IF (OR( Q385 = """" , P385 =""""), """" , IF(Q385 = ""Menos de 1 mês"" , ""antes de ""&amp; TO_TEXT( EDATE(P385, 1)), EDATE(P385,Q385)))"),"")</f>
        <v/>
      </c>
      <c r="S385" s="28"/>
      <c r="T385" s="28"/>
      <c r="U385" s="28"/>
      <c r="V385" s="66"/>
      <c r="W385" s="5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</row>
    <row r="386" ht="60.0" customHeight="1">
      <c r="A386" s="14" t="str">
        <f>if(H386&lt;&gt;"",VLOOKUP(H386,ID!$A$2:$C$999,3,FALSE),"") </f>
        <v/>
      </c>
      <c r="B386" s="15" t="s">
        <v>0</v>
      </c>
      <c r="C386" s="16" t="s">
        <v>1</v>
      </c>
      <c r="D386" s="38" t="s">
        <v>33</v>
      </c>
      <c r="E386" s="15" t="s">
        <v>1590</v>
      </c>
      <c r="F386" s="30">
        <v>5967.0</v>
      </c>
      <c r="G386" s="81"/>
      <c r="H386" s="85"/>
      <c r="I386" s="54" t="s">
        <v>1576</v>
      </c>
      <c r="J386" s="30" t="s">
        <v>699</v>
      </c>
      <c r="K386" s="54" t="s">
        <v>8</v>
      </c>
      <c r="L386" s="54" t="s">
        <v>9</v>
      </c>
      <c r="M386" s="88" t="s">
        <v>622</v>
      </c>
      <c r="N386" s="66"/>
      <c r="O386" s="66"/>
      <c r="P386" s="66"/>
      <c r="Q386" s="28"/>
      <c r="R386" s="69" t="str">
        <f>IFERROR(__xludf.DUMMYFUNCTION("IF (OR( Q386 = """" , P386 =""""), """" , IF(Q386 = ""Menos de 1 mês"" , ""antes de ""&amp; TO_TEXT( EDATE(P386, 1)), EDATE(P386,Q386)))"),"")</f>
        <v/>
      </c>
      <c r="S386" s="28"/>
      <c r="T386" s="28"/>
      <c r="U386" s="28"/>
      <c r="V386" s="66"/>
      <c r="W386" s="5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</row>
    <row r="387" ht="60.0" customHeight="1">
      <c r="A387" s="14" t="str">
        <f>if(H387&lt;&gt;"",VLOOKUP(H387,ID!$A$2:$C$999,3,FALSE),"") </f>
        <v/>
      </c>
      <c r="B387" s="15" t="s">
        <v>0</v>
      </c>
      <c r="C387" s="16" t="s">
        <v>1</v>
      </c>
      <c r="D387" s="38" t="s">
        <v>33</v>
      </c>
      <c r="E387" s="15" t="s">
        <v>543</v>
      </c>
      <c r="F387" s="30">
        <v>1400.0</v>
      </c>
      <c r="G387" s="81"/>
      <c r="H387" s="85"/>
      <c r="I387" s="54" t="s">
        <v>1576</v>
      </c>
      <c r="J387" s="30" t="s">
        <v>699</v>
      </c>
      <c r="K387" s="54" t="s">
        <v>8</v>
      </c>
      <c r="L387" s="54" t="s">
        <v>9</v>
      </c>
      <c r="M387" s="88" t="s">
        <v>622</v>
      </c>
      <c r="N387" s="66"/>
      <c r="O387" s="66"/>
      <c r="P387" s="66"/>
      <c r="Q387" s="28"/>
      <c r="R387" s="69" t="str">
        <f>IFERROR(__xludf.DUMMYFUNCTION("IF (OR( Q387 = """" , P387 =""""), """" , IF(Q387 = ""Menos de 1 mês"" , ""antes de ""&amp; TO_TEXT( EDATE(P387, 1)), EDATE(P387,Q387)))"),"")</f>
        <v/>
      </c>
      <c r="S387" s="30">
        <v>1.0</v>
      </c>
      <c r="T387" s="28"/>
      <c r="U387" s="28"/>
      <c r="V387" s="66"/>
      <c r="W387" s="5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</row>
    <row r="388" ht="60.0" customHeight="1">
      <c r="A388" s="14" t="str">
        <f>if(H388&lt;&gt;"",VLOOKUP(H388,ID!$A$2:$C$999,3,FALSE),"") </f>
        <v>BT0355</v>
      </c>
      <c r="B388" s="15" t="s">
        <v>0</v>
      </c>
      <c r="C388" s="16" t="s">
        <v>1</v>
      </c>
      <c r="D388" s="38" t="s">
        <v>33</v>
      </c>
      <c r="E388" s="15" t="s">
        <v>326</v>
      </c>
      <c r="F388" s="30">
        <v>4000.0</v>
      </c>
      <c r="G388" s="81"/>
      <c r="H388" s="30" t="s">
        <v>1591</v>
      </c>
      <c r="I388" s="54" t="s">
        <v>1592</v>
      </c>
      <c r="J388" s="30" t="s">
        <v>1593</v>
      </c>
      <c r="K388" s="54" t="s">
        <v>8</v>
      </c>
      <c r="L388" s="54" t="s">
        <v>9</v>
      </c>
      <c r="M388" s="88" t="s">
        <v>622</v>
      </c>
      <c r="N388" s="66"/>
      <c r="O388" s="66"/>
      <c r="P388" s="66"/>
      <c r="Q388" s="28"/>
      <c r="R388" s="69" t="str">
        <f>IFERROR(__xludf.DUMMYFUNCTION("IF (OR( Q388 = """" , P388 =""""), """" , IF(Q388 = ""Menos de 1 mês"" , ""antes de ""&amp; TO_TEXT( EDATE(P388, 1)), EDATE(P388,Q388)))"),"")</f>
        <v/>
      </c>
      <c r="S388" s="30">
        <v>2.0</v>
      </c>
      <c r="T388" s="28"/>
      <c r="U388" s="28"/>
      <c r="V388" s="66"/>
      <c r="W388" s="5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</row>
    <row r="389" ht="60.0" customHeight="1">
      <c r="A389" s="14" t="str">
        <f>if(H389&lt;&gt;"",VLOOKUP(H389,ID!$A$2:$C$999,3,FALSE),"") </f>
        <v/>
      </c>
      <c r="B389" s="15" t="s">
        <v>0</v>
      </c>
      <c r="C389" s="16" t="s">
        <v>1</v>
      </c>
      <c r="D389" s="38" t="s">
        <v>33</v>
      </c>
      <c r="E389" s="15" t="s">
        <v>1594</v>
      </c>
      <c r="F389" s="30">
        <v>618.0</v>
      </c>
      <c r="G389" s="81"/>
      <c r="H389" s="85"/>
      <c r="I389" s="54" t="s">
        <v>1595</v>
      </c>
      <c r="J389" s="30" t="s">
        <v>1596</v>
      </c>
      <c r="K389" s="54" t="s">
        <v>8</v>
      </c>
      <c r="L389" s="54" t="s">
        <v>30</v>
      </c>
      <c r="M389" s="54" t="s">
        <v>1361</v>
      </c>
      <c r="N389" s="66"/>
      <c r="O389" s="66"/>
      <c r="P389" s="66"/>
      <c r="Q389" s="28"/>
      <c r="R389" s="69" t="str">
        <f>IFERROR(__xludf.DUMMYFUNCTION("IF (OR( Q389 = """" , P389 =""""), """" , IF(Q389 = ""Menos de 1 mês"" , ""antes de ""&amp; TO_TEXT( EDATE(P389, 1)), EDATE(P389,Q389)))"),"")</f>
        <v/>
      </c>
      <c r="S389" s="30">
        <v>1.0</v>
      </c>
      <c r="T389" s="28"/>
      <c r="U389" s="28"/>
      <c r="V389" s="66"/>
      <c r="W389" s="5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</row>
    <row r="390" ht="60.0" customHeight="1">
      <c r="A390" s="14" t="str">
        <f>if(H390&lt;&gt;"",VLOOKUP(H390,ID!$A$2:$C$999,3,FALSE),"") </f>
        <v/>
      </c>
      <c r="B390" s="15"/>
      <c r="C390" s="16"/>
      <c r="D390" s="38"/>
      <c r="E390" s="15"/>
      <c r="F390" s="85"/>
      <c r="G390" s="81"/>
      <c r="H390" s="85"/>
      <c r="I390" s="85"/>
      <c r="J390" s="85"/>
      <c r="K390" s="85"/>
      <c r="L390" s="85"/>
      <c r="M390" s="85"/>
      <c r="N390" s="66"/>
      <c r="O390" s="66"/>
      <c r="P390" s="66"/>
      <c r="Q390" s="28"/>
      <c r="R390" s="69" t="str">
        <f>IFERROR(__xludf.DUMMYFUNCTION("IF (OR( Q390 = """" , P390 =""""), """" , IF(Q390 = ""Menos de 1 mês"" , ""antes de ""&amp; TO_TEXT( EDATE(P390, 1)), EDATE(P390,Q390)))"),"")</f>
        <v/>
      </c>
      <c r="S390" s="28"/>
      <c r="T390" s="28"/>
      <c r="U390" s="28"/>
      <c r="V390" s="66"/>
      <c r="W390" s="5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</row>
    <row r="391" ht="60.0" customHeight="1">
      <c r="A391" s="14" t="str">
        <f>if(H391&lt;&gt;"",VLOOKUP(H391,ID!$A$2:$C$999,3,FALSE),"") </f>
        <v/>
      </c>
      <c r="B391" s="15"/>
      <c r="C391" s="16"/>
      <c r="D391" s="89"/>
      <c r="E391" s="89"/>
      <c r="F391" s="85"/>
      <c r="G391" s="81"/>
      <c r="H391" s="85"/>
      <c r="I391" s="85"/>
      <c r="J391" s="85"/>
      <c r="K391" s="85"/>
      <c r="L391" s="85"/>
      <c r="M391" s="85"/>
      <c r="N391" s="66"/>
      <c r="O391" s="66"/>
      <c r="P391" s="66"/>
      <c r="Q391" s="28"/>
      <c r="R391" s="69" t="str">
        <f>IFERROR(__xludf.DUMMYFUNCTION("IF (OR( Q391 = """" , P391 =""""), """" , IF(Q391 = ""Menos de 1 mês"" , ""antes de ""&amp; TO_TEXT( EDATE(P391, 1)), EDATE(P391,Q391)))"),"")</f>
        <v/>
      </c>
      <c r="S391" s="28"/>
      <c r="T391" s="28"/>
      <c r="U391" s="28"/>
      <c r="V391" s="66"/>
      <c r="W391" s="5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</row>
    <row r="392" ht="60.0" customHeight="1">
      <c r="A392" s="14" t="str">
        <f>if(H392&lt;&gt;"",VLOOKUP(H392,ID!$A$2:$C$999,3,FALSE),"") </f>
        <v/>
      </c>
      <c r="B392" s="15"/>
      <c r="C392" s="16"/>
      <c r="D392" s="89"/>
      <c r="E392" s="89"/>
      <c r="F392" s="85"/>
      <c r="G392" s="81"/>
      <c r="H392" s="85"/>
      <c r="I392" s="85"/>
      <c r="J392" s="85"/>
      <c r="K392" s="85"/>
      <c r="L392" s="85"/>
      <c r="M392" s="85"/>
      <c r="N392" s="66"/>
      <c r="O392" s="66"/>
      <c r="P392" s="66"/>
      <c r="Q392" s="28"/>
      <c r="R392" s="69" t="str">
        <f>IFERROR(__xludf.DUMMYFUNCTION("IF (OR( Q392 = """" , P392 =""""), """" , IF(Q392 = ""Menos de 1 mês"" , ""antes de ""&amp; TO_TEXT( EDATE(P392, 1)), EDATE(P392,Q392)))"),"")</f>
        <v/>
      </c>
      <c r="S392" s="28"/>
      <c r="T392" s="28"/>
      <c r="U392" s="28"/>
      <c r="V392" s="66"/>
      <c r="W392" s="5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</row>
    <row r="393" ht="60.0" customHeight="1">
      <c r="A393" s="14" t="str">
        <f>if(H393&lt;&gt;"",VLOOKUP(H393,ID!$A$2:$C$999,3,FALSE),"") </f>
        <v/>
      </c>
      <c r="B393" s="15"/>
      <c r="C393" s="16"/>
      <c r="D393" s="89"/>
      <c r="E393" s="89"/>
      <c r="F393" s="85"/>
      <c r="G393" s="81"/>
      <c r="H393" s="85"/>
      <c r="I393" s="85"/>
      <c r="J393" s="85"/>
      <c r="K393" s="85"/>
      <c r="L393" s="85"/>
      <c r="M393" s="85"/>
      <c r="N393" s="66"/>
      <c r="O393" s="66"/>
      <c r="P393" s="66"/>
      <c r="Q393" s="28"/>
      <c r="R393" s="69" t="str">
        <f>IFERROR(__xludf.DUMMYFUNCTION("IF (OR( Q393 = """" , P393 =""""), """" , IF(Q393 = ""Menos de 1 mês"" , ""antes de ""&amp; TO_TEXT( EDATE(P393, 1)), EDATE(P393,Q393)))"),"")</f>
        <v/>
      </c>
      <c r="S393" s="28"/>
      <c r="T393" s="28"/>
      <c r="U393" s="28"/>
      <c r="V393" s="66"/>
      <c r="W393" s="5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</row>
    <row r="394" ht="60.0" customHeight="1">
      <c r="A394" s="14" t="str">
        <f>if(H394&lt;&gt;"",VLOOKUP(H394,ID!$A$2:$C$999,3,FALSE),"") </f>
        <v/>
      </c>
      <c r="B394" s="15"/>
      <c r="C394" s="16"/>
      <c r="D394" s="89"/>
      <c r="E394" s="89"/>
      <c r="F394" s="85"/>
      <c r="G394" s="81"/>
      <c r="H394" s="85"/>
      <c r="I394" s="85"/>
      <c r="J394" s="85"/>
      <c r="K394" s="85"/>
      <c r="L394" s="85"/>
      <c r="M394" s="85"/>
      <c r="N394" s="66"/>
      <c r="O394" s="66"/>
      <c r="P394" s="66"/>
      <c r="Q394" s="28"/>
      <c r="R394" s="69" t="str">
        <f>IFERROR(__xludf.DUMMYFUNCTION("IF (OR( Q394 = """" , P394 =""""), """" , IF(Q394 = ""Menos de 1 mês"" , ""antes de ""&amp; TO_TEXT( EDATE(P394, 1)), EDATE(P394,Q394)))"),"")</f>
        <v/>
      </c>
      <c r="S394" s="28"/>
      <c r="T394" s="28"/>
      <c r="U394" s="28"/>
      <c r="V394" s="66"/>
      <c r="W394" s="5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</row>
    <row r="395" ht="60.0" customHeight="1">
      <c r="A395" s="14" t="str">
        <f>if(H395&lt;&gt;"",VLOOKUP(H395,ID!$A$2:$C$999,3,FALSE),"") </f>
        <v/>
      </c>
      <c r="B395" s="15"/>
      <c r="C395" s="16"/>
      <c r="D395" s="89"/>
      <c r="E395" s="89"/>
      <c r="F395" s="85"/>
      <c r="G395" s="81"/>
      <c r="H395" s="85"/>
      <c r="I395" s="85"/>
      <c r="J395" s="85"/>
      <c r="K395" s="85"/>
      <c r="L395" s="85"/>
      <c r="M395" s="85"/>
      <c r="N395" s="66"/>
      <c r="O395" s="66"/>
      <c r="P395" s="66"/>
      <c r="Q395" s="28"/>
      <c r="R395" s="69" t="str">
        <f>IFERROR(__xludf.DUMMYFUNCTION("IF (OR( Q395 = """" , P395 =""""), """" , IF(Q395 = ""Menos de 1 mês"" , ""antes de ""&amp; TO_TEXT( EDATE(P395, 1)), EDATE(P395,Q395)))"),"")</f>
        <v/>
      </c>
      <c r="S395" s="28"/>
      <c r="T395" s="28"/>
      <c r="U395" s="28"/>
      <c r="V395" s="66"/>
      <c r="W395" s="5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</row>
    <row r="396" ht="60.0" customHeight="1">
      <c r="A396" s="14" t="str">
        <f>if(H396&lt;&gt;"",VLOOKUP(H396,ID!$A$2:$C$999,3,FALSE),"") </f>
        <v/>
      </c>
      <c r="B396" s="15"/>
      <c r="C396" s="16"/>
      <c r="D396" s="89"/>
      <c r="E396" s="89"/>
      <c r="F396" s="85"/>
      <c r="G396" s="81"/>
      <c r="H396" s="85"/>
      <c r="I396" s="85"/>
      <c r="J396" s="85"/>
      <c r="K396" s="85"/>
      <c r="L396" s="85"/>
      <c r="M396" s="85"/>
      <c r="N396" s="66"/>
      <c r="O396" s="66"/>
      <c r="P396" s="66"/>
      <c r="Q396" s="28"/>
      <c r="R396" s="69" t="str">
        <f>IFERROR(__xludf.DUMMYFUNCTION("IF (OR( Q396 = """" , P396 =""""), """" , IF(Q396 = ""Menos de 1 mês"" , ""antes de ""&amp; TO_TEXT( EDATE(P396, 1)), EDATE(P396,Q396)))"),"")</f>
        <v/>
      </c>
      <c r="S396" s="28"/>
      <c r="T396" s="28"/>
      <c r="U396" s="28"/>
      <c r="V396" s="66"/>
      <c r="W396" s="5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</row>
    <row r="397" ht="60.0" customHeight="1">
      <c r="A397" s="14" t="str">
        <f>if(H397&lt;&gt;"",VLOOKUP(H397,ID!$A$2:$C$999,3,FALSE),"") </f>
        <v/>
      </c>
      <c r="B397" s="15"/>
      <c r="C397" s="16"/>
      <c r="D397" s="89"/>
      <c r="E397" s="89"/>
      <c r="F397" s="85"/>
      <c r="G397" s="81"/>
      <c r="H397" s="85"/>
      <c r="I397" s="85"/>
      <c r="J397" s="85"/>
      <c r="K397" s="85"/>
      <c r="L397" s="85"/>
      <c r="M397" s="85"/>
      <c r="N397" s="66"/>
      <c r="O397" s="66"/>
      <c r="P397" s="66"/>
      <c r="Q397" s="28"/>
      <c r="R397" s="69" t="str">
        <f>IFERROR(__xludf.DUMMYFUNCTION("IF (OR( Q397 = """" , P397 =""""), """" , IF(Q397 = ""Menos de 1 mês"" , ""antes de ""&amp; TO_TEXT( EDATE(P397, 1)), EDATE(P397,Q397)))"),"")</f>
        <v/>
      </c>
      <c r="S397" s="28"/>
      <c r="T397" s="28"/>
      <c r="U397" s="28"/>
      <c r="V397" s="66"/>
      <c r="W397" s="5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</row>
    <row r="398" ht="60.0" customHeight="1">
      <c r="A398" s="14" t="str">
        <f>if(H398&lt;&gt;"",VLOOKUP(H398,ID!$A$2:$C$999,3,FALSE),"") </f>
        <v/>
      </c>
      <c r="B398" s="15"/>
      <c r="C398" s="16"/>
      <c r="D398" s="89"/>
      <c r="E398" s="89"/>
      <c r="F398" s="85"/>
      <c r="G398" s="81"/>
      <c r="H398" s="85"/>
      <c r="I398" s="85"/>
      <c r="J398" s="85"/>
      <c r="K398" s="85"/>
      <c r="L398" s="85"/>
      <c r="M398" s="85"/>
      <c r="N398" s="66"/>
      <c r="O398" s="66"/>
      <c r="P398" s="66"/>
      <c r="Q398" s="28"/>
      <c r="R398" s="69" t="str">
        <f>IFERROR(__xludf.DUMMYFUNCTION("IF (OR( Q398 = """" , P398 =""""), """" , IF(Q398 = ""Menos de 1 mês"" , ""antes de ""&amp; TO_TEXT( EDATE(P398, 1)), EDATE(P398,Q398)))"),"")</f>
        <v/>
      </c>
      <c r="S398" s="28"/>
      <c r="T398" s="28"/>
      <c r="U398" s="28"/>
      <c r="V398" s="66"/>
      <c r="W398" s="5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</row>
    <row r="399" ht="60.0" customHeight="1">
      <c r="A399" s="14" t="str">
        <f>if(H399&lt;&gt;"",VLOOKUP(H399,ID!$A$2:$C$999,3,FALSE),"") </f>
        <v/>
      </c>
      <c r="B399" s="15"/>
      <c r="C399" s="16"/>
      <c r="D399" s="89"/>
      <c r="E399" s="89"/>
      <c r="F399" s="85"/>
      <c r="G399" s="81"/>
      <c r="H399" s="85"/>
      <c r="I399" s="85"/>
      <c r="J399" s="85"/>
      <c r="K399" s="85"/>
      <c r="L399" s="85"/>
      <c r="M399" s="85"/>
      <c r="N399" s="66"/>
      <c r="O399" s="66"/>
      <c r="P399" s="66"/>
      <c r="Q399" s="28"/>
      <c r="R399" s="69" t="str">
        <f>IFERROR(__xludf.DUMMYFUNCTION("IF (OR( Q399 = """" , P399 =""""), """" , IF(Q399 = ""Menos de 1 mês"" , ""antes de ""&amp; TO_TEXT( EDATE(P399, 1)), EDATE(P399,Q399)))"),"")</f>
        <v/>
      </c>
      <c r="S399" s="28"/>
      <c r="T399" s="28"/>
      <c r="U399" s="28"/>
      <c r="V399" s="66"/>
      <c r="W399" s="5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</row>
    <row r="400" ht="60.0" customHeight="1">
      <c r="A400" s="14" t="str">
        <f>if(H400&lt;&gt;"",VLOOKUP(H400,ID!$A$2:$C$999,3,FALSE),"") </f>
        <v/>
      </c>
      <c r="B400" s="15"/>
      <c r="C400" s="16"/>
      <c r="D400" s="89"/>
      <c r="E400" s="89"/>
      <c r="F400" s="85"/>
      <c r="G400" s="81"/>
      <c r="H400" s="85"/>
      <c r="I400" s="85"/>
      <c r="J400" s="85"/>
      <c r="K400" s="85"/>
      <c r="L400" s="85"/>
      <c r="M400" s="85"/>
      <c r="N400" s="66"/>
      <c r="O400" s="66"/>
      <c r="P400" s="66"/>
      <c r="Q400" s="28"/>
      <c r="R400" s="69" t="str">
        <f>IFERROR(__xludf.DUMMYFUNCTION("IF (OR( Q400 = """" , P400 =""""), """" , IF(Q400 = ""Menos de 1 mês"" , ""antes de ""&amp; TO_TEXT( EDATE(P400, 1)), EDATE(P400,Q400)))"),"")</f>
        <v/>
      </c>
      <c r="S400" s="28"/>
      <c r="T400" s="28"/>
      <c r="U400" s="28"/>
      <c r="V400" s="66"/>
      <c r="W400" s="5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</row>
    <row r="401" ht="60.0" customHeight="1">
      <c r="A401" s="14" t="str">
        <f>if(H401&lt;&gt;"",VLOOKUP(H401,ID!$A$2:$C$999,3,FALSE),"") </f>
        <v/>
      </c>
      <c r="B401" s="15"/>
      <c r="C401" s="16"/>
      <c r="D401" s="89"/>
      <c r="E401" s="89"/>
      <c r="F401" s="85"/>
      <c r="G401" s="81"/>
      <c r="H401" s="85"/>
      <c r="I401" s="85"/>
      <c r="J401" s="85"/>
      <c r="K401" s="85"/>
      <c r="L401" s="85"/>
      <c r="M401" s="85"/>
      <c r="N401" s="66"/>
      <c r="O401" s="66"/>
      <c r="P401" s="66"/>
      <c r="Q401" s="28"/>
      <c r="R401" s="69" t="str">
        <f>IFERROR(__xludf.DUMMYFUNCTION("IF (OR( Q401 = """" , P401 =""""), """" , IF(Q401 = ""Menos de 1 mês"" , ""antes de ""&amp; TO_TEXT( EDATE(P401, 1)), EDATE(P401,Q401)))"),"")</f>
        <v/>
      </c>
      <c r="S401" s="28"/>
      <c r="T401" s="28"/>
      <c r="U401" s="28"/>
      <c r="V401" s="66"/>
      <c r="W401" s="5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</row>
    <row r="402" ht="60.0" customHeight="1">
      <c r="A402" s="14" t="str">
        <f>if(H402&lt;&gt;"",VLOOKUP(H402,ID!$A$2:$C$999,3,FALSE),"") </f>
        <v/>
      </c>
      <c r="B402" s="15"/>
      <c r="C402" s="16"/>
      <c r="D402" s="89"/>
      <c r="E402" s="89"/>
      <c r="F402" s="85"/>
      <c r="G402" s="81"/>
      <c r="H402" s="85"/>
      <c r="I402" s="85"/>
      <c r="J402" s="85"/>
      <c r="K402" s="85"/>
      <c r="L402" s="85"/>
      <c r="M402" s="85"/>
      <c r="N402" s="66"/>
      <c r="O402" s="66"/>
      <c r="P402" s="66"/>
      <c r="Q402" s="28"/>
      <c r="R402" s="69" t="str">
        <f>IFERROR(__xludf.DUMMYFUNCTION("IF (OR( Q402 = """" , P402 =""""), """" , IF(Q402 = ""Menos de 1 mês"" , ""antes de ""&amp; TO_TEXT( EDATE(P402, 1)), EDATE(P402,Q402)))"),"")</f>
        <v/>
      </c>
      <c r="S402" s="28"/>
      <c r="T402" s="28"/>
      <c r="U402" s="28"/>
      <c r="V402" s="66"/>
      <c r="W402" s="5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</row>
    <row r="403" ht="60.0" customHeight="1">
      <c r="A403" s="14" t="str">
        <f>if(H403&lt;&gt;"",VLOOKUP(H403,ID!$A$2:$C$999,3,FALSE),"") </f>
        <v/>
      </c>
      <c r="B403" s="15"/>
      <c r="C403" s="16"/>
      <c r="D403" s="89"/>
      <c r="E403" s="89"/>
      <c r="F403" s="85"/>
      <c r="G403" s="81"/>
      <c r="H403" s="85"/>
      <c r="I403" s="85"/>
      <c r="J403" s="85"/>
      <c r="K403" s="85"/>
      <c r="L403" s="85"/>
      <c r="M403" s="85"/>
      <c r="N403" s="66"/>
      <c r="O403" s="66"/>
      <c r="P403" s="66"/>
      <c r="Q403" s="28"/>
      <c r="R403" s="69" t="str">
        <f>IFERROR(__xludf.DUMMYFUNCTION("IF (OR( Q403 = """" , P403 =""""), """" , IF(Q403 = ""Menos de 1 mês"" , ""antes de ""&amp; TO_TEXT( EDATE(P403, 1)), EDATE(P403,Q403)))"),"")</f>
        <v/>
      </c>
      <c r="S403" s="28"/>
      <c r="T403" s="28"/>
      <c r="U403" s="28"/>
      <c r="V403" s="66"/>
      <c r="W403" s="5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</row>
    <row r="404" ht="60.0" customHeight="1">
      <c r="A404" s="14" t="str">
        <f>if(H404&lt;&gt;"",VLOOKUP(H404,ID!$A$2:$C$999,3,FALSE),"") </f>
        <v/>
      </c>
      <c r="B404" s="15"/>
      <c r="C404" s="16"/>
      <c r="D404" s="89"/>
      <c r="E404" s="89"/>
      <c r="F404" s="85"/>
      <c r="G404" s="81"/>
      <c r="H404" s="85"/>
      <c r="I404" s="85"/>
      <c r="J404" s="85"/>
      <c r="K404" s="85"/>
      <c r="L404" s="85"/>
      <c r="M404" s="85"/>
      <c r="N404" s="66"/>
      <c r="O404" s="66"/>
      <c r="P404" s="66"/>
      <c r="Q404" s="28"/>
      <c r="R404" s="69" t="str">
        <f>IFERROR(__xludf.DUMMYFUNCTION("IF (OR( Q404 = """" , P404 =""""), """" , IF(Q404 = ""Menos de 1 mês"" , ""antes de ""&amp; TO_TEXT( EDATE(P404, 1)), EDATE(P404,Q404)))"),"")</f>
        <v/>
      </c>
      <c r="S404" s="28"/>
      <c r="T404" s="28"/>
      <c r="U404" s="28"/>
      <c r="V404" s="66"/>
      <c r="W404" s="5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</row>
    <row r="405" ht="60.0" customHeight="1">
      <c r="A405" s="14" t="str">
        <f>if(H405&lt;&gt;"",VLOOKUP(H405,ID!$A$2:$C$999,3,FALSE),"") </f>
        <v/>
      </c>
      <c r="B405" s="15"/>
      <c r="C405" s="16"/>
      <c r="D405" s="89"/>
      <c r="E405" s="89"/>
      <c r="F405" s="85"/>
      <c r="G405" s="81"/>
      <c r="H405" s="85"/>
      <c r="I405" s="85"/>
      <c r="J405" s="85"/>
      <c r="K405" s="85"/>
      <c r="L405" s="85"/>
      <c r="M405" s="85"/>
      <c r="N405" s="66"/>
      <c r="O405" s="66"/>
      <c r="P405" s="66"/>
      <c r="Q405" s="28"/>
      <c r="R405" s="69" t="str">
        <f>IFERROR(__xludf.DUMMYFUNCTION("IF (OR( Q405 = """" , P405 =""""), """" , IF(Q405 = ""Menos de 1 mês"" , ""antes de ""&amp; TO_TEXT( EDATE(P405, 1)), EDATE(P405,Q405)))"),"")</f>
        <v/>
      </c>
      <c r="S405" s="28"/>
      <c r="T405" s="28"/>
      <c r="U405" s="28"/>
      <c r="V405" s="66"/>
      <c r="W405" s="5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</row>
    <row r="406" ht="60.0" customHeight="1">
      <c r="A406" s="14" t="str">
        <f>if(H406&lt;&gt;"",VLOOKUP(H406,ID!$A$2:$C$999,3,FALSE),"") </f>
        <v/>
      </c>
      <c r="B406" s="15"/>
      <c r="C406" s="16"/>
      <c r="D406" s="89"/>
      <c r="E406" s="89"/>
      <c r="F406" s="85"/>
      <c r="G406" s="81"/>
      <c r="H406" s="85"/>
      <c r="I406" s="85"/>
      <c r="J406" s="85"/>
      <c r="K406" s="85"/>
      <c r="L406" s="85"/>
      <c r="M406" s="85"/>
      <c r="N406" s="66"/>
      <c r="O406" s="66"/>
      <c r="P406" s="66"/>
      <c r="Q406" s="28"/>
      <c r="R406" s="69" t="str">
        <f>IFERROR(__xludf.DUMMYFUNCTION("IF (OR( Q406 = """" , P406 =""""), """" , IF(Q406 = ""Menos de 1 mês"" , ""antes de ""&amp; TO_TEXT( EDATE(P406, 1)), EDATE(P406,Q406)))"),"")</f>
        <v/>
      </c>
      <c r="S406" s="28"/>
      <c r="T406" s="28"/>
      <c r="U406" s="28"/>
      <c r="V406" s="66"/>
      <c r="W406" s="5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</row>
    <row r="407" ht="60.0" customHeight="1">
      <c r="A407" s="14" t="str">
        <f>if(H407&lt;&gt;"",VLOOKUP(H407,ID!$A$2:$C$999,3,FALSE),"") </f>
        <v/>
      </c>
      <c r="B407" s="15"/>
      <c r="C407" s="16"/>
      <c r="D407" s="89"/>
      <c r="E407" s="89"/>
      <c r="F407" s="85"/>
      <c r="G407" s="81"/>
      <c r="H407" s="85"/>
      <c r="I407" s="85"/>
      <c r="J407" s="85"/>
      <c r="K407" s="85"/>
      <c r="L407" s="85"/>
      <c r="M407" s="85"/>
      <c r="N407" s="66"/>
      <c r="O407" s="66"/>
      <c r="P407" s="66"/>
      <c r="Q407" s="28"/>
      <c r="R407" s="69" t="str">
        <f>IFERROR(__xludf.DUMMYFUNCTION("IF (OR( Q407 = """" , P407 =""""), """" , IF(Q407 = ""Menos de 1 mês"" , ""antes de ""&amp; TO_TEXT( EDATE(P407, 1)), EDATE(P407,Q407)))"),"")</f>
        <v/>
      </c>
      <c r="S407" s="28"/>
      <c r="T407" s="28"/>
      <c r="U407" s="28"/>
      <c r="V407" s="66"/>
      <c r="W407" s="5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</row>
    <row r="408" ht="60.0" customHeight="1">
      <c r="A408" s="14" t="str">
        <f>if(H408&lt;&gt;"",VLOOKUP(H408,ID!$A$2:$C$999,3,FALSE),"") </f>
        <v/>
      </c>
      <c r="B408" s="15"/>
      <c r="C408" s="16"/>
      <c r="D408" s="89"/>
      <c r="E408" s="89"/>
      <c r="F408" s="85"/>
      <c r="G408" s="81"/>
      <c r="H408" s="85"/>
      <c r="I408" s="85"/>
      <c r="J408" s="85"/>
      <c r="K408" s="85"/>
      <c r="L408" s="85"/>
      <c r="M408" s="85"/>
      <c r="N408" s="66"/>
      <c r="O408" s="66"/>
      <c r="P408" s="66"/>
      <c r="Q408" s="28"/>
      <c r="R408" s="69" t="str">
        <f>IFERROR(__xludf.DUMMYFUNCTION("IF (OR( Q408 = """" , P408 =""""), """" , IF(Q408 = ""Menos de 1 mês"" , ""antes de ""&amp; TO_TEXT( EDATE(P408, 1)), EDATE(P408,Q408)))"),"")</f>
        <v/>
      </c>
      <c r="S408" s="28"/>
      <c r="T408" s="28"/>
      <c r="U408" s="28"/>
      <c r="V408" s="66"/>
      <c r="W408" s="5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</row>
    <row r="409" ht="60.0" customHeight="1">
      <c r="A409" s="14" t="str">
        <f>if(H409&lt;&gt;"",VLOOKUP(H409,ID!$A$2:$C$999,3,FALSE),"") </f>
        <v/>
      </c>
      <c r="B409" s="15"/>
      <c r="C409" s="16"/>
      <c r="D409" s="89"/>
      <c r="E409" s="89"/>
      <c r="F409" s="85"/>
      <c r="G409" s="81"/>
      <c r="H409" s="85"/>
      <c r="I409" s="85"/>
      <c r="J409" s="85"/>
      <c r="K409" s="85"/>
      <c r="L409" s="85"/>
      <c r="M409" s="85"/>
      <c r="N409" s="66"/>
      <c r="O409" s="66"/>
      <c r="P409" s="66"/>
      <c r="Q409" s="28"/>
      <c r="R409" s="69" t="str">
        <f>IFERROR(__xludf.DUMMYFUNCTION("IF (OR( Q409 = """" , P409 =""""), """" , IF(Q409 = ""Menos de 1 mês"" , ""antes de ""&amp; TO_TEXT( EDATE(P409, 1)), EDATE(P409,Q409)))"),"")</f>
        <v/>
      </c>
      <c r="S409" s="28"/>
      <c r="T409" s="28"/>
      <c r="U409" s="28"/>
      <c r="V409" s="66"/>
      <c r="W409" s="5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</row>
    <row r="410" ht="60.0" customHeight="1">
      <c r="A410" s="14" t="str">
        <f>if(H410&lt;&gt;"",VLOOKUP(H410,ID!$A$2:$C$999,3,FALSE),"") </f>
        <v/>
      </c>
      <c r="B410" s="15"/>
      <c r="C410" s="16"/>
      <c r="D410" s="89"/>
      <c r="E410" s="89"/>
      <c r="F410" s="85"/>
      <c r="G410" s="81"/>
      <c r="H410" s="85"/>
      <c r="I410" s="85"/>
      <c r="J410" s="85"/>
      <c r="K410" s="85"/>
      <c r="L410" s="85"/>
      <c r="M410" s="85"/>
      <c r="N410" s="66"/>
      <c r="O410" s="66"/>
      <c r="P410" s="66"/>
      <c r="Q410" s="28"/>
      <c r="R410" s="69" t="str">
        <f>IFERROR(__xludf.DUMMYFUNCTION("IF (OR( Q410 = """" , P410 =""""), """" , IF(Q410 = ""Menos de 1 mês"" , ""antes de ""&amp; TO_TEXT( EDATE(P410, 1)), EDATE(P410,Q410)))"),"")</f>
        <v/>
      </c>
      <c r="S410" s="28"/>
      <c r="T410" s="28"/>
      <c r="U410" s="28"/>
      <c r="V410" s="66"/>
      <c r="W410" s="5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</row>
    <row r="411" ht="60.0" customHeight="1">
      <c r="A411" s="14" t="str">
        <f>if(H411&lt;&gt;"",VLOOKUP(H411,ID!$A$2:$C$999,3,FALSE),"") </f>
        <v/>
      </c>
      <c r="B411" s="15"/>
      <c r="C411" s="16"/>
      <c r="D411" s="89"/>
      <c r="E411" s="89"/>
      <c r="F411" s="85"/>
      <c r="G411" s="81"/>
      <c r="H411" s="85"/>
      <c r="I411" s="85"/>
      <c r="J411" s="85"/>
      <c r="K411" s="85"/>
      <c r="L411" s="85"/>
      <c r="M411" s="85"/>
      <c r="N411" s="66"/>
      <c r="O411" s="66"/>
      <c r="P411" s="66"/>
      <c r="Q411" s="28"/>
      <c r="R411" s="69" t="str">
        <f>IFERROR(__xludf.DUMMYFUNCTION("IF (OR( Q411 = """" , P411 =""""), """" , IF(Q411 = ""Menos de 1 mês"" , ""antes de ""&amp; TO_TEXT( EDATE(P411, 1)), EDATE(P411,Q411)))"),"")</f>
        <v/>
      </c>
      <c r="S411" s="28"/>
      <c r="T411" s="28"/>
      <c r="U411" s="28"/>
      <c r="V411" s="66"/>
      <c r="W411" s="5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</row>
    <row r="412" ht="60.0" customHeight="1">
      <c r="A412" s="14" t="str">
        <f>if(H412&lt;&gt;"",VLOOKUP(H412,ID!$A$2:$C$999,3,FALSE),"") </f>
        <v/>
      </c>
      <c r="B412" s="15"/>
      <c r="C412" s="16"/>
      <c r="D412" s="89"/>
      <c r="E412" s="89"/>
      <c r="F412" s="85"/>
      <c r="G412" s="81"/>
      <c r="H412" s="85"/>
      <c r="I412" s="85"/>
      <c r="J412" s="85"/>
      <c r="K412" s="85"/>
      <c r="L412" s="85"/>
      <c r="M412" s="85"/>
      <c r="N412" s="66"/>
      <c r="O412" s="66"/>
      <c r="P412" s="66"/>
      <c r="Q412" s="28"/>
      <c r="R412" s="69" t="str">
        <f>IFERROR(__xludf.DUMMYFUNCTION("IF (OR( Q412 = """" , P412 =""""), """" , IF(Q412 = ""Menos de 1 mês"" , ""antes de ""&amp; TO_TEXT( EDATE(P412, 1)), EDATE(P412,Q412)))"),"")</f>
        <v/>
      </c>
      <c r="S412" s="28"/>
      <c r="T412" s="28"/>
      <c r="U412" s="28"/>
      <c r="V412" s="66"/>
      <c r="W412" s="5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</row>
    <row r="413" ht="60.0" customHeight="1">
      <c r="A413" s="14" t="str">
        <f>if(H413&lt;&gt;"",VLOOKUP(H413,ID!$A$2:$C$999,3,FALSE),"") </f>
        <v/>
      </c>
      <c r="B413" s="15"/>
      <c r="C413" s="16"/>
      <c r="D413" s="89"/>
      <c r="E413" s="89"/>
      <c r="F413" s="85"/>
      <c r="G413" s="81"/>
      <c r="H413" s="85"/>
      <c r="I413" s="85"/>
      <c r="J413" s="85"/>
      <c r="K413" s="85"/>
      <c r="L413" s="85"/>
      <c r="M413" s="85"/>
      <c r="N413" s="66"/>
      <c r="O413" s="66"/>
      <c r="P413" s="66"/>
      <c r="Q413" s="28"/>
      <c r="R413" s="69" t="str">
        <f>IFERROR(__xludf.DUMMYFUNCTION("IF (OR( Q413 = """" , P413 =""""), """" , IF(Q413 = ""Menos de 1 mês"" , ""antes de ""&amp; TO_TEXT( EDATE(P413, 1)), EDATE(P413,Q413)))"),"")</f>
        <v/>
      </c>
      <c r="S413" s="28"/>
      <c r="T413" s="28"/>
      <c r="U413" s="28"/>
      <c r="V413" s="66"/>
      <c r="W413" s="5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</row>
    <row r="414" ht="60.0" customHeight="1">
      <c r="A414" s="14" t="str">
        <f>if(H414&lt;&gt;"",VLOOKUP(H414,ID!$A$2:$C$999,3,FALSE),"") </f>
        <v/>
      </c>
      <c r="B414" s="15"/>
      <c r="C414" s="16"/>
      <c r="D414" s="89"/>
      <c r="E414" s="89"/>
      <c r="F414" s="85"/>
      <c r="G414" s="81"/>
      <c r="H414" s="85"/>
      <c r="I414" s="85"/>
      <c r="J414" s="85"/>
      <c r="K414" s="85"/>
      <c r="L414" s="85"/>
      <c r="M414" s="85"/>
      <c r="N414" s="66"/>
      <c r="O414" s="66"/>
      <c r="P414" s="66"/>
      <c r="Q414" s="28"/>
      <c r="R414" s="69" t="str">
        <f>IFERROR(__xludf.DUMMYFUNCTION("IF (OR( Q414 = """" , P414 =""""), """" , IF(Q414 = ""Menos de 1 mês"" , ""antes de ""&amp; TO_TEXT( EDATE(P414, 1)), EDATE(P414,Q414)))"),"")</f>
        <v/>
      </c>
      <c r="S414" s="28"/>
      <c r="T414" s="28"/>
      <c r="U414" s="28"/>
      <c r="V414" s="66"/>
      <c r="W414" s="5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</row>
    <row r="415" ht="60.0" customHeight="1">
      <c r="A415" s="14" t="str">
        <f>if(H415&lt;&gt;"",VLOOKUP(H415,ID!$A$2:$C$999,3,FALSE),"") </f>
        <v/>
      </c>
      <c r="B415" s="15"/>
      <c r="C415" s="16"/>
      <c r="D415" s="89"/>
      <c r="E415" s="89"/>
      <c r="F415" s="85"/>
      <c r="G415" s="81"/>
      <c r="H415" s="85"/>
      <c r="I415" s="85"/>
      <c r="J415" s="85"/>
      <c r="K415" s="85"/>
      <c r="L415" s="85"/>
      <c r="M415" s="85"/>
      <c r="N415" s="66"/>
      <c r="O415" s="66"/>
      <c r="P415" s="66"/>
      <c r="Q415" s="28"/>
      <c r="R415" s="69" t="str">
        <f>IFERROR(__xludf.DUMMYFUNCTION("IF (OR( Q415 = """" , P415 =""""), """" , IF(Q415 = ""Menos de 1 mês"" , ""antes de ""&amp; TO_TEXT( EDATE(P415, 1)), EDATE(P415,Q415)))"),"")</f>
        <v/>
      </c>
      <c r="S415" s="28"/>
      <c r="T415" s="28"/>
      <c r="U415" s="28"/>
      <c r="V415" s="66"/>
      <c r="W415" s="5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</row>
    <row r="416" ht="60.0" customHeight="1">
      <c r="A416" s="14" t="str">
        <f>if(H416&lt;&gt;"",VLOOKUP(H416,ID!$A$2:$C$999,3,FALSE),"") </f>
        <v/>
      </c>
      <c r="B416" s="15"/>
      <c r="C416" s="16"/>
      <c r="D416" s="89"/>
      <c r="E416" s="89"/>
      <c r="F416" s="85"/>
      <c r="G416" s="81"/>
      <c r="H416" s="85"/>
      <c r="I416" s="85"/>
      <c r="J416" s="85"/>
      <c r="K416" s="85"/>
      <c r="L416" s="85"/>
      <c r="M416" s="85"/>
      <c r="N416" s="66"/>
      <c r="O416" s="66"/>
      <c r="P416" s="66"/>
      <c r="Q416" s="28"/>
      <c r="R416" s="69" t="str">
        <f>IFERROR(__xludf.DUMMYFUNCTION("IF (OR( Q416 = """" , P416 =""""), """" , IF(Q416 = ""Menos de 1 mês"" , ""antes de ""&amp; TO_TEXT( EDATE(P416, 1)), EDATE(P416,Q416)))"),"")</f>
        <v/>
      </c>
      <c r="S416" s="28"/>
      <c r="T416" s="28"/>
      <c r="U416" s="28"/>
      <c r="V416" s="66"/>
      <c r="W416" s="5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</row>
    <row r="417" ht="60.0" customHeight="1">
      <c r="A417" s="14" t="str">
        <f>if(H417&lt;&gt;"",VLOOKUP(H417,ID!$A$2:$C$999,3,FALSE),"") </f>
        <v/>
      </c>
      <c r="B417" s="15"/>
      <c r="C417" s="16"/>
      <c r="D417" s="89"/>
      <c r="E417" s="89"/>
      <c r="F417" s="85"/>
      <c r="G417" s="81"/>
      <c r="H417" s="85"/>
      <c r="I417" s="85"/>
      <c r="J417" s="85"/>
      <c r="K417" s="85"/>
      <c r="L417" s="85"/>
      <c r="M417" s="85"/>
      <c r="N417" s="66"/>
      <c r="O417" s="66"/>
      <c r="P417" s="66"/>
      <c r="Q417" s="28"/>
      <c r="R417" s="69" t="str">
        <f>IFERROR(__xludf.DUMMYFUNCTION("IF (OR( Q417 = """" , P417 =""""), """" , IF(Q417 = ""Menos de 1 mês"" , ""antes de ""&amp; TO_TEXT( EDATE(P417, 1)), EDATE(P417,Q417)))"),"")</f>
        <v/>
      </c>
      <c r="S417" s="28"/>
      <c r="T417" s="28"/>
      <c r="U417" s="28"/>
      <c r="V417" s="66"/>
      <c r="W417" s="5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</row>
    <row r="418" ht="60.0" customHeight="1">
      <c r="A418" s="14" t="str">
        <f>if(H418&lt;&gt;"",VLOOKUP(H418,ID!$A$2:$C$999,3,FALSE),"") </f>
        <v/>
      </c>
      <c r="B418" s="15"/>
      <c r="C418" s="16"/>
      <c r="D418" s="89"/>
      <c r="E418" s="89"/>
      <c r="F418" s="85"/>
      <c r="G418" s="81"/>
      <c r="H418" s="85"/>
      <c r="I418" s="85"/>
      <c r="J418" s="85"/>
      <c r="K418" s="85"/>
      <c r="L418" s="85"/>
      <c r="M418" s="85"/>
      <c r="N418" s="66"/>
      <c r="O418" s="66"/>
      <c r="P418" s="66"/>
      <c r="Q418" s="28"/>
      <c r="R418" s="69" t="str">
        <f>IFERROR(__xludf.DUMMYFUNCTION("IF (OR( Q418 = """" , P418 =""""), """" , IF(Q418 = ""Menos de 1 mês"" , ""antes de ""&amp; TO_TEXT( EDATE(P418, 1)), EDATE(P418,Q418)))"),"")</f>
        <v/>
      </c>
      <c r="S418" s="28"/>
      <c r="T418" s="28"/>
      <c r="U418" s="28"/>
      <c r="V418" s="66"/>
      <c r="W418" s="5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</row>
    <row r="419" ht="60.0" customHeight="1">
      <c r="A419" s="14" t="str">
        <f>if(H419&lt;&gt;"",VLOOKUP(H419,ID!$A$2:$C$999,3,FALSE),"") </f>
        <v/>
      </c>
      <c r="B419" s="15"/>
      <c r="C419" s="16"/>
      <c r="D419" s="89"/>
      <c r="E419" s="89"/>
      <c r="F419" s="85"/>
      <c r="G419" s="81"/>
      <c r="H419" s="85"/>
      <c r="I419" s="85"/>
      <c r="J419" s="85"/>
      <c r="K419" s="85"/>
      <c r="L419" s="85"/>
      <c r="M419" s="85"/>
      <c r="N419" s="66"/>
      <c r="O419" s="66"/>
      <c r="P419" s="66"/>
      <c r="Q419" s="28"/>
      <c r="R419" s="69" t="str">
        <f>IFERROR(__xludf.DUMMYFUNCTION("IF (OR( Q419 = """" , P419 =""""), """" , IF(Q419 = ""Menos de 1 mês"" , ""antes de ""&amp; TO_TEXT( EDATE(P419, 1)), EDATE(P419,Q419)))"),"")</f>
        <v/>
      </c>
      <c r="S419" s="28"/>
      <c r="T419" s="28"/>
      <c r="U419" s="28"/>
      <c r="V419" s="66"/>
      <c r="W419" s="5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</row>
    <row r="420" ht="60.0" customHeight="1">
      <c r="A420" s="14" t="str">
        <f>if(H420&lt;&gt;"",VLOOKUP(H420,ID!$A$2:$C$999,3,FALSE),"") </f>
        <v/>
      </c>
      <c r="B420" s="15"/>
      <c r="C420" s="16"/>
      <c r="D420" s="89"/>
      <c r="E420" s="89"/>
      <c r="F420" s="85"/>
      <c r="G420" s="81"/>
      <c r="H420" s="85"/>
      <c r="I420" s="85"/>
      <c r="J420" s="85"/>
      <c r="K420" s="85"/>
      <c r="L420" s="85"/>
      <c r="M420" s="85"/>
      <c r="N420" s="66"/>
      <c r="O420" s="66"/>
      <c r="P420" s="66"/>
      <c r="Q420" s="28"/>
      <c r="R420" s="69" t="str">
        <f>IFERROR(__xludf.DUMMYFUNCTION("IF (OR( Q420 = """" , P420 =""""), """" , IF(Q420 = ""Menos de 1 mês"" , ""antes de ""&amp; TO_TEXT( EDATE(P420, 1)), EDATE(P420,Q420)))"),"")</f>
        <v/>
      </c>
      <c r="S420" s="28"/>
      <c r="T420" s="28"/>
      <c r="U420" s="28"/>
      <c r="V420" s="66"/>
      <c r="W420" s="5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</row>
    <row r="421" ht="60.0" customHeight="1">
      <c r="A421" s="14" t="str">
        <f>if(H421&lt;&gt;"",VLOOKUP(H421,ID!$A$2:$C$999,3,FALSE),"") </f>
        <v/>
      </c>
      <c r="B421" s="15"/>
      <c r="C421" s="16"/>
      <c r="D421" s="89"/>
      <c r="E421" s="89"/>
      <c r="F421" s="85"/>
      <c r="G421" s="81"/>
      <c r="H421" s="85"/>
      <c r="I421" s="85"/>
      <c r="J421" s="85"/>
      <c r="K421" s="85"/>
      <c r="L421" s="85"/>
      <c r="M421" s="85"/>
      <c r="N421" s="66"/>
      <c r="O421" s="66"/>
      <c r="P421" s="66"/>
      <c r="Q421" s="28"/>
      <c r="R421" s="69" t="str">
        <f>IFERROR(__xludf.DUMMYFUNCTION("IF (OR( Q421 = """" , P421 =""""), """" , IF(Q421 = ""Menos de 1 mês"" , ""antes de ""&amp; TO_TEXT( EDATE(P421, 1)), EDATE(P421,Q421)))"),"")</f>
        <v/>
      </c>
      <c r="S421" s="28"/>
      <c r="T421" s="28"/>
      <c r="U421" s="28"/>
      <c r="V421" s="66"/>
      <c r="W421" s="5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</row>
    <row r="422" ht="60.0" customHeight="1">
      <c r="A422" s="14" t="str">
        <f>if(H422&lt;&gt;"",VLOOKUP(H422,ID!$A$2:$C$999,3,FALSE),"") </f>
        <v/>
      </c>
      <c r="B422" s="15"/>
      <c r="C422" s="16"/>
      <c r="D422" s="89"/>
      <c r="E422" s="89"/>
      <c r="F422" s="85"/>
      <c r="G422" s="81"/>
      <c r="H422" s="85"/>
      <c r="I422" s="85"/>
      <c r="J422" s="85"/>
      <c r="K422" s="85"/>
      <c r="L422" s="85"/>
      <c r="M422" s="85"/>
      <c r="N422" s="66"/>
      <c r="O422" s="66"/>
      <c r="P422" s="66"/>
      <c r="Q422" s="28"/>
      <c r="R422" s="69" t="str">
        <f>IFERROR(__xludf.DUMMYFUNCTION("IF (OR( Q422 = """" , P422 =""""), """" , IF(Q422 = ""Menos de 1 mês"" , ""antes de ""&amp; TO_TEXT( EDATE(P422, 1)), EDATE(P422,Q422)))"),"")</f>
        <v/>
      </c>
      <c r="S422" s="28"/>
      <c r="T422" s="28"/>
      <c r="U422" s="28"/>
      <c r="V422" s="66"/>
      <c r="W422" s="5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</row>
    <row r="423" ht="60.0" customHeight="1">
      <c r="A423" s="14" t="str">
        <f>if(H423&lt;&gt;"",VLOOKUP(H423,ID!$A$2:$C$999,3,FALSE),"") </f>
        <v/>
      </c>
      <c r="B423" s="15"/>
      <c r="C423" s="16"/>
      <c r="D423" s="89"/>
      <c r="E423" s="89"/>
      <c r="F423" s="85"/>
      <c r="G423" s="81"/>
      <c r="H423" s="85"/>
      <c r="I423" s="85"/>
      <c r="J423" s="85"/>
      <c r="K423" s="85"/>
      <c r="L423" s="85"/>
      <c r="M423" s="85"/>
      <c r="N423" s="66"/>
      <c r="O423" s="66"/>
      <c r="P423" s="66"/>
      <c r="Q423" s="28"/>
      <c r="R423" s="69" t="str">
        <f>IFERROR(__xludf.DUMMYFUNCTION("IF (OR( Q423 = """" , P423 =""""), """" , IF(Q423 = ""Menos de 1 mês"" , ""antes de ""&amp; TO_TEXT( EDATE(P423, 1)), EDATE(P423,Q423)))"),"")</f>
        <v/>
      </c>
      <c r="S423" s="28"/>
      <c r="T423" s="28"/>
      <c r="U423" s="28"/>
      <c r="V423" s="66"/>
      <c r="W423" s="5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</row>
    <row r="424" ht="60.0" customHeight="1">
      <c r="A424" s="14" t="str">
        <f>if(H424&lt;&gt;"",VLOOKUP(H424,ID!$A$2:$C$999,3,FALSE),"") </f>
        <v/>
      </c>
      <c r="B424" s="15"/>
      <c r="C424" s="16"/>
      <c r="D424" s="89"/>
      <c r="E424" s="89"/>
      <c r="F424" s="85"/>
      <c r="G424" s="81"/>
      <c r="H424" s="85"/>
      <c r="I424" s="85"/>
      <c r="J424" s="85"/>
      <c r="K424" s="85"/>
      <c r="L424" s="85"/>
      <c r="M424" s="85"/>
      <c r="N424" s="66"/>
      <c r="O424" s="66"/>
      <c r="P424" s="66"/>
      <c r="Q424" s="28"/>
      <c r="R424" s="69" t="str">
        <f>IFERROR(__xludf.DUMMYFUNCTION("IF (OR( Q424 = """" , P424 =""""), """" , IF(Q424 = ""Menos de 1 mês"" , ""antes de ""&amp; TO_TEXT( EDATE(P424, 1)), EDATE(P424,Q424)))"),"")</f>
        <v/>
      </c>
      <c r="S424" s="28"/>
      <c r="T424" s="28"/>
      <c r="U424" s="28"/>
      <c r="V424" s="66"/>
      <c r="W424" s="5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</row>
    <row r="425" ht="60.0" customHeight="1">
      <c r="A425" s="14" t="str">
        <f>if(H425&lt;&gt;"",VLOOKUP(H425,ID!$A$2:$C$999,3,FALSE),"") </f>
        <v/>
      </c>
      <c r="B425" s="15"/>
      <c r="C425" s="16"/>
      <c r="D425" s="89"/>
      <c r="E425" s="89"/>
      <c r="F425" s="85"/>
      <c r="G425" s="81"/>
      <c r="H425" s="85"/>
      <c r="I425" s="85"/>
      <c r="J425" s="85"/>
      <c r="K425" s="85"/>
      <c r="L425" s="85"/>
      <c r="M425" s="85"/>
      <c r="N425" s="66"/>
      <c r="O425" s="66"/>
      <c r="P425" s="66"/>
      <c r="Q425" s="28"/>
      <c r="R425" s="69" t="str">
        <f>IFERROR(__xludf.DUMMYFUNCTION("IF (OR( Q425 = """" , P425 =""""), """" , IF(Q425 = ""Menos de 1 mês"" , ""antes de ""&amp; TO_TEXT( EDATE(P425, 1)), EDATE(P425,Q425)))"),"")</f>
        <v/>
      </c>
      <c r="S425" s="28"/>
      <c r="T425" s="28"/>
      <c r="U425" s="28"/>
      <c r="V425" s="66"/>
      <c r="W425" s="5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</row>
    <row r="426" ht="60.0" customHeight="1">
      <c r="A426" s="14" t="str">
        <f>if(H426&lt;&gt;"",VLOOKUP(H426,ID!$A$2:$C$999,3,FALSE),"") </f>
        <v/>
      </c>
      <c r="B426" s="15"/>
      <c r="C426" s="16"/>
      <c r="D426" s="89"/>
      <c r="E426" s="89"/>
      <c r="F426" s="85"/>
      <c r="G426" s="81"/>
      <c r="H426" s="85"/>
      <c r="I426" s="85"/>
      <c r="J426" s="85"/>
      <c r="K426" s="85"/>
      <c r="L426" s="85"/>
      <c r="M426" s="85"/>
      <c r="N426" s="66"/>
      <c r="O426" s="66"/>
      <c r="P426" s="66"/>
      <c r="Q426" s="28"/>
      <c r="R426" s="69" t="str">
        <f>IFERROR(__xludf.DUMMYFUNCTION("IF (OR( Q426 = """" , P426 =""""), """" , IF(Q426 = ""Menos de 1 mês"" , ""antes de ""&amp; TO_TEXT( EDATE(P426, 1)), EDATE(P426,Q426)))"),"")</f>
        <v/>
      </c>
      <c r="S426" s="28"/>
      <c r="T426" s="28"/>
      <c r="U426" s="28"/>
      <c r="V426" s="66"/>
      <c r="W426" s="5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</row>
    <row r="427" ht="60.0" customHeight="1">
      <c r="A427" s="14" t="str">
        <f>if(H427&lt;&gt;"",VLOOKUP(H427,ID!$A$2:$C$999,3,FALSE),"") </f>
        <v/>
      </c>
      <c r="B427" s="15"/>
      <c r="C427" s="16"/>
      <c r="D427" s="89"/>
      <c r="E427" s="89"/>
      <c r="F427" s="85"/>
      <c r="G427" s="81"/>
      <c r="H427" s="85"/>
      <c r="I427" s="85"/>
      <c r="J427" s="85"/>
      <c r="K427" s="85"/>
      <c r="L427" s="85"/>
      <c r="M427" s="85"/>
      <c r="N427" s="66"/>
      <c r="O427" s="66"/>
      <c r="P427" s="66"/>
      <c r="Q427" s="28"/>
      <c r="R427" s="69" t="str">
        <f>IFERROR(__xludf.DUMMYFUNCTION("IF (OR( Q427 = """" , P427 =""""), """" , IF(Q427 = ""Menos de 1 mês"" , ""antes de ""&amp; TO_TEXT( EDATE(P427, 1)), EDATE(P427,Q427)))"),"")</f>
        <v/>
      </c>
      <c r="S427" s="28"/>
      <c r="T427" s="28"/>
      <c r="U427" s="28"/>
      <c r="V427" s="66"/>
      <c r="W427" s="5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</row>
    <row r="428" ht="60.0" customHeight="1">
      <c r="A428" s="14" t="str">
        <f>if(H428&lt;&gt;"",VLOOKUP(H428,ID!$A$2:$C$999,3,FALSE),"") </f>
        <v/>
      </c>
      <c r="B428" s="15"/>
      <c r="C428" s="16"/>
      <c r="D428" s="89"/>
      <c r="E428" s="89"/>
      <c r="F428" s="85"/>
      <c r="G428" s="81"/>
      <c r="H428" s="85"/>
      <c r="I428" s="85"/>
      <c r="J428" s="85"/>
      <c r="K428" s="85"/>
      <c r="L428" s="85"/>
      <c r="M428" s="85"/>
      <c r="N428" s="66"/>
      <c r="O428" s="66"/>
      <c r="P428" s="66"/>
      <c r="Q428" s="28"/>
      <c r="R428" s="69" t="str">
        <f>IFERROR(__xludf.DUMMYFUNCTION("IF (OR( Q428 = """" , P428 =""""), """" , IF(Q428 = ""Menos de 1 mês"" , ""antes de ""&amp; TO_TEXT( EDATE(P428, 1)), EDATE(P428,Q428)))"),"")</f>
        <v/>
      </c>
      <c r="S428" s="28"/>
      <c r="T428" s="28"/>
      <c r="U428" s="28"/>
      <c r="V428" s="66"/>
      <c r="W428" s="5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</row>
    <row r="429" ht="60.0" customHeight="1">
      <c r="A429" s="14" t="str">
        <f>if(H429&lt;&gt;"",VLOOKUP(H429,ID!$A$2:$C$999,3,FALSE),"") </f>
        <v/>
      </c>
      <c r="B429" s="15"/>
      <c r="C429" s="16"/>
      <c r="D429" s="89"/>
      <c r="E429" s="89"/>
      <c r="F429" s="85"/>
      <c r="G429" s="81"/>
      <c r="H429" s="85"/>
      <c r="I429" s="85"/>
      <c r="J429" s="85"/>
      <c r="K429" s="85"/>
      <c r="L429" s="85"/>
      <c r="M429" s="85"/>
      <c r="N429" s="66"/>
      <c r="O429" s="66"/>
      <c r="P429" s="66"/>
      <c r="Q429" s="28"/>
      <c r="R429" s="69" t="str">
        <f>IFERROR(__xludf.DUMMYFUNCTION("IF (OR( Q429 = """" , P429 =""""), """" , IF(Q429 = ""Menos de 1 mês"" , ""antes de ""&amp; TO_TEXT( EDATE(P429, 1)), EDATE(P429,Q429)))"),"")</f>
        <v/>
      </c>
      <c r="S429" s="28"/>
      <c r="T429" s="28"/>
      <c r="U429" s="28"/>
      <c r="V429" s="66"/>
      <c r="W429" s="5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</row>
    <row r="430" ht="60.0" customHeight="1">
      <c r="A430" s="14" t="str">
        <f>if(H430&lt;&gt;"",VLOOKUP(H430,ID!$A$2:$C$999,3,FALSE),"") </f>
        <v/>
      </c>
      <c r="B430" s="15"/>
      <c r="C430" s="16"/>
      <c r="D430" s="89"/>
      <c r="E430" s="89"/>
      <c r="F430" s="85"/>
      <c r="G430" s="81"/>
      <c r="H430" s="85"/>
      <c r="I430" s="85"/>
      <c r="J430" s="85"/>
      <c r="K430" s="85"/>
      <c r="L430" s="85"/>
      <c r="M430" s="85"/>
      <c r="N430" s="66"/>
      <c r="O430" s="66"/>
      <c r="P430" s="66"/>
      <c r="Q430" s="28"/>
      <c r="R430" s="69" t="str">
        <f>IFERROR(__xludf.DUMMYFUNCTION("IF (OR( Q430 = """" , P430 =""""), """" , IF(Q430 = ""Menos de 1 mês"" , ""antes de ""&amp; TO_TEXT( EDATE(P430, 1)), EDATE(P430,Q430)))"),"")</f>
        <v/>
      </c>
      <c r="S430" s="28"/>
      <c r="T430" s="28"/>
      <c r="U430" s="28"/>
      <c r="V430" s="66"/>
      <c r="W430" s="5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</row>
    <row r="431" ht="60.0" customHeight="1">
      <c r="A431" s="14" t="str">
        <f>if(H431&lt;&gt;"",VLOOKUP(H431,ID!$A$2:$C$999,3,FALSE),"") </f>
        <v/>
      </c>
      <c r="B431" s="15"/>
      <c r="C431" s="16"/>
      <c r="D431" s="89"/>
      <c r="E431" s="89"/>
      <c r="F431" s="85"/>
      <c r="G431" s="81"/>
      <c r="H431" s="85"/>
      <c r="I431" s="85"/>
      <c r="J431" s="85"/>
      <c r="K431" s="85"/>
      <c r="L431" s="85"/>
      <c r="M431" s="85"/>
      <c r="N431" s="66"/>
      <c r="O431" s="66"/>
      <c r="P431" s="66"/>
      <c r="Q431" s="28"/>
      <c r="R431" s="69" t="str">
        <f>IFERROR(__xludf.DUMMYFUNCTION("IF (OR( Q431 = """" , P431 =""""), """" , IF(Q431 = ""Menos de 1 mês"" , ""antes de ""&amp; TO_TEXT( EDATE(P431, 1)), EDATE(P431,Q431)))"),"")</f>
        <v/>
      </c>
      <c r="S431" s="28"/>
      <c r="T431" s="28"/>
      <c r="U431" s="28"/>
      <c r="V431" s="66"/>
      <c r="W431" s="5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</row>
    <row r="432" ht="60.0" customHeight="1">
      <c r="A432" s="14" t="str">
        <f>if(H432&lt;&gt;"",VLOOKUP(H432,ID!$A$2:$C$999,3,FALSE),"") </f>
        <v/>
      </c>
      <c r="B432" s="15"/>
      <c r="C432" s="16"/>
      <c r="D432" s="89"/>
      <c r="E432" s="89"/>
      <c r="F432" s="85"/>
      <c r="G432" s="81"/>
      <c r="H432" s="85"/>
      <c r="I432" s="85"/>
      <c r="J432" s="85"/>
      <c r="K432" s="85"/>
      <c r="L432" s="85"/>
      <c r="M432" s="85"/>
      <c r="N432" s="66"/>
      <c r="O432" s="66"/>
      <c r="P432" s="66"/>
      <c r="Q432" s="28"/>
      <c r="R432" s="69" t="str">
        <f>IFERROR(__xludf.DUMMYFUNCTION("IF (OR( Q432 = """" , P432 =""""), """" , IF(Q432 = ""Menos de 1 mês"" , ""antes de ""&amp; TO_TEXT( EDATE(P432, 1)), EDATE(P432,Q432)))"),"")</f>
        <v/>
      </c>
      <c r="S432" s="28"/>
      <c r="T432" s="28"/>
      <c r="U432" s="28"/>
      <c r="V432" s="66"/>
      <c r="W432" s="5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</row>
    <row r="433" ht="60.0" customHeight="1">
      <c r="A433" s="14" t="str">
        <f>if(H433&lt;&gt;"",VLOOKUP(H433,ID!$A$2:$C$999,3,FALSE),"") </f>
        <v/>
      </c>
      <c r="B433" s="15"/>
      <c r="C433" s="16"/>
      <c r="D433" s="89"/>
      <c r="E433" s="89"/>
      <c r="F433" s="85"/>
      <c r="G433" s="81"/>
      <c r="H433" s="85"/>
      <c r="I433" s="85"/>
      <c r="J433" s="85"/>
      <c r="K433" s="85"/>
      <c r="L433" s="85"/>
      <c r="M433" s="85"/>
      <c r="N433" s="66"/>
      <c r="O433" s="66"/>
      <c r="P433" s="66"/>
      <c r="Q433" s="28"/>
      <c r="R433" s="69" t="str">
        <f>IFERROR(__xludf.DUMMYFUNCTION("IF (OR( Q433 = """" , P433 =""""), """" , IF(Q433 = ""Menos de 1 mês"" , ""antes de ""&amp; TO_TEXT( EDATE(P433, 1)), EDATE(P433,Q433)))"),"")</f>
        <v/>
      </c>
      <c r="S433" s="28"/>
      <c r="T433" s="28"/>
      <c r="U433" s="28"/>
      <c r="V433" s="66"/>
      <c r="W433" s="5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</row>
    <row r="434" ht="60.0" customHeight="1">
      <c r="A434" s="14" t="str">
        <f>if(H434&lt;&gt;"",VLOOKUP(H434,ID!$A$2:$C$999,3,FALSE),"") </f>
        <v/>
      </c>
      <c r="B434" s="15"/>
      <c r="C434" s="16"/>
      <c r="D434" s="89"/>
      <c r="E434" s="89"/>
      <c r="F434" s="85"/>
      <c r="G434" s="81"/>
      <c r="H434" s="85"/>
      <c r="I434" s="85"/>
      <c r="J434" s="85"/>
      <c r="K434" s="85"/>
      <c r="L434" s="85"/>
      <c r="M434" s="85"/>
      <c r="N434" s="66"/>
      <c r="O434" s="66"/>
      <c r="P434" s="66"/>
      <c r="Q434" s="28"/>
      <c r="R434" s="69" t="str">
        <f>IFERROR(__xludf.DUMMYFUNCTION("IF (OR( Q434 = """" , P434 =""""), """" , IF(Q434 = ""Menos de 1 mês"" , ""antes de ""&amp; TO_TEXT( EDATE(P434, 1)), EDATE(P434,Q434)))"),"")</f>
        <v/>
      </c>
      <c r="S434" s="28"/>
      <c r="T434" s="28"/>
      <c r="U434" s="28"/>
      <c r="V434" s="66"/>
      <c r="W434" s="5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</row>
    <row r="435" ht="60.0" customHeight="1">
      <c r="A435" s="14" t="str">
        <f>if(H435&lt;&gt;"",VLOOKUP(H435,ID!$A$2:$C$999,3,FALSE),"") </f>
        <v/>
      </c>
      <c r="B435" s="15"/>
      <c r="C435" s="16"/>
      <c r="D435" s="89"/>
      <c r="E435" s="89"/>
      <c r="F435" s="85"/>
      <c r="G435" s="81"/>
      <c r="H435" s="85"/>
      <c r="I435" s="85"/>
      <c r="J435" s="85"/>
      <c r="K435" s="85"/>
      <c r="L435" s="85"/>
      <c r="M435" s="85"/>
      <c r="N435" s="66"/>
      <c r="O435" s="66"/>
      <c r="P435" s="66"/>
      <c r="Q435" s="28"/>
      <c r="R435" s="69" t="str">
        <f>IFERROR(__xludf.DUMMYFUNCTION("IF (OR( Q435 = """" , P435 =""""), """" , IF(Q435 = ""Menos de 1 mês"" , ""antes de ""&amp; TO_TEXT( EDATE(P435, 1)), EDATE(P435,Q435)))"),"")</f>
        <v/>
      </c>
      <c r="S435" s="28"/>
      <c r="T435" s="28"/>
      <c r="U435" s="28"/>
      <c r="V435" s="66"/>
      <c r="W435" s="5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</row>
    <row r="436" ht="60.0" customHeight="1">
      <c r="A436" s="14" t="str">
        <f>if(H436&lt;&gt;"",VLOOKUP(H436,ID!$A$2:$C$999,3,FALSE),"") </f>
        <v/>
      </c>
      <c r="B436" s="15"/>
      <c r="C436" s="16"/>
      <c r="D436" s="89"/>
      <c r="E436" s="89"/>
      <c r="F436" s="85"/>
      <c r="G436" s="81"/>
      <c r="H436" s="85"/>
      <c r="I436" s="85"/>
      <c r="J436" s="85"/>
      <c r="K436" s="85"/>
      <c r="L436" s="85"/>
      <c r="M436" s="85"/>
      <c r="N436" s="66"/>
      <c r="O436" s="66"/>
      <c r="P436" s="66"/>
      <c r="Q436" s="28"/>
      <c r="R436" s="69" t="str">
        <f>IFERROR(__xludf.DUMMYFUNCTION("IF (OR( Q436 = """" , P436 =""""), """" , IF(Q436 = ""Menos de 1 mês"" , ""antes de ""&amp; TO_TEXT( EDATE(P436, 1)), EDATE(P436,Q436)))"),"")</f>
        <v/>
      </c>
      <c r="S436" s="28"/>
      <c r="T436" s="28"/>
      <c r="U436" s="28"/>
      <c r="V436" s="66"/>
      <c r="W436" s="5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</row>
    <row r="437" ht="60.0" customHeight="1">
      <c r="A437" s="14" t="str">
        <f>if(H437&lt;&gt;"",VLOOKUP(H437,ID!$A$2:$C$999,3,FALSE),"") </f>
        <v/>
      </c>
      <c r="B437" s="15"/>
      <c r="C437" s="16"/>
      <c r="D437" s="89"/>
      <c r="E437" s="89"/>
      <c r="F437" s="85"/>
      <c r="G437" s="81"/>
      <c r="H437" s="85"/>
      <c r="I437" s="85"/>
      <c r="J437" s="85"/>
      <c r="K437" s="85"/>
      <c r="L437" s="85"/>
      <c r="M437" s="85"/>
      <c r="N437" s="66"/>
      <c r="O437" s="66"/>
      <c r="P437" s="66"/>
      <c r="Q437" s="28"/>
      <c r="R437" s="69" t="str">
        <f>IFERROR(__xludf.DUMMYFUNCTION("IF (OR( Q437 = """" , P437 =""""), """" , IF(Q437 = ""Menos de 1 mês"" , ""antes de ""&amp; TO_TEXT( EDATE(P437, 1)), EDATE(P437,Q437)))"),"")</f>
        <v/>
      </c>
      <c r="S437" s="28"/>
      <c r="T437" s="28"/>
      <c r="U437" s="28"/>
      <c r="V437" s="66"/>
      <c r="W437" s="5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</row>
    <row r="438" ht="60.0" customHeight="1">
      <c r="A438" s="14" t="str">
        <f>if(H438&lt;&gt;"",VLOOKUP(H438,ID!$A$2:$C$999,3,FALSE),"") </f>
        <v/>
      </c>
      <c r="B438" s="15"/>
      <c r="C438" s="16"/>
      <c r="D438" s="89"/>
      <c r="E438" s="89"/>
      <c r="F438" s="85"/>
      <c r="G438" s="81"/>
      <c r="H438" s="85"/>
      <c r="I438" s="85"/>
      <c r="J438" s="85"/>
      <c r="K438" s="85"/>
      <c r="L438" s="85"/>
      <c r="M438" s="85"/>
      <c r="N438" s="66"/>
      <c r="O438" s="66"/>
      <c r="P438" s="66"/>
      <c r="Q438" s="28"/>
      <c r="R438" s="69" t="str">
        <f>IFERROR(__xludf.DUMMYFUNCTION("IF (OR( Q438 = """" , P438 =""""), """" , IF(Q438 = ""Menos de 1 mês"" , ""antes de ""&amp; TO_TEXT( EDATE(P438, 1)), EDATE(P438,Q438)))"),"")</f>
        <v/>
      </c>
      <c r="S438" s="28"/>
      <c r="T438" s="28"/>
      <c r="U438" s="28"/>
      <c r="V438" s="66"/>
      <c r="W438" s="5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</row>
    <row r="439" ht="60.0" customHeight="1">
      <c r="A439" s="14" t="str">
        <f>if(H439&lt;&gt;"",VLOOKUP(H439,ID!$A$2:$C$999,3,FALSE),"") </f>
        <v/>
      </c>
      <c r="B439" s="15"/>
      <c r="C439" s="16"/>
      <c r="D439" s="89"/>
      <c r="E439" s="89"/>
      <c r="F439" s="85"/>
      <c r="G439" s="81"/>
      <c r="H439" s="85"/>
      <c r="I439" s="85"/>
      <c r="J439" s="85"/>
      <c r="K439" s="85"/>
      <c r="L439" s="85"/>
      <c r="M439" s="85"/>
      <c r="N439" s="66"/>
      <c r="O439" s="66"/>
      <c r="P439" s="66"/>
      <c r="Q439" s="28"/>
      <c r="R439" s="69" t="str">
        <f>IFERROR(__xludf.DUMMYFUNCTION("IF (OR( Q439 = """" , P439 =""""), """" , IF(Q439 = ""Menos de 1 mês"" , ""antes de ""&amp; TO_TEXT( EDATE(P439, 1)), EDATE(P439,Q439)))"),"")</f>
        <v/>
      </c>
      <c r="S439" s="28"/>
      <c r="T439" s="28"/>
      <c r="U439" s="28"/>
      <c r="V439" s="66"/>
      <c r="W439" s="5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</row>
    <row r="440" ht="60.0" customHeight="1">
      <c r="A440" s="14" t="str">
        <f>if(H440&lt;&gt;"",VLOOKUP(H440,ID!$A$2:$C$999,3,FALSE),"") </f>
        <v/>
      </c>
      <c r="B440" s="15"/>
      <c r="C440" s="16"/>
      <c r="D440" s="89"/>
      <c r="E440" s="89"/>
      <c r="F440" s="85"/>
      <c r="G440" s="81"/>
      <c r="H440" s="85"/>
      <c r="I440" s="85"/>
      <c r="J440" s="85"/>
      <c r="K440" s="85"/>
      <c r="L440" s="85"/>
      <c r="M440" s="85"/>
      <c r="N440" s="66"/>
      <c r="O440" s="66"/>
      <c r="P440" s="66"/>
      <c r="Q440" s="28"/>
      <c r="R440" s="69" t="str">
        <f>IFERROR(__xludf.DUMMYFUNCTION("IF (OR( Q440 = """" , P440 =""""), """" , IF(Q440 = ""Menos de 1 mês"" , ""antes de ""&amp; TO_TEXT( EDATE(P440, 1)), EDATE(P440,Q440)))"),"")</f>
        <v/>
      </c>
      <c r="S440" s="28"/>
      <c r="T440" s="28"/>
      <c r="U440" s="28"/>
      <c r="V440" s="66"/>
      <c r="W440" s="5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</row>
    <row r="441" ht="60.0" customHeight="1">
      <c r="A441" s="14" t="str">
        <f>if(H441&lt;&gt;"",VLOOKUP(H441,ID!$A$2:$C$999,3,FALSE),"") </f>
        <v/>
      </c>
      <c r="B441" s="15"/>
      <c r="C441" s="16"/>
      <c r="D441" s="89"/>
      <c r="E441" s="89"/>
      <c r="F441" s="85"/>
      <c r="G441" s="81"/>
      <c r="H441" s="85"/>
      <c r="I441" s="85"/>
      <c r="J441" s="85"/>
      <c r="K441" s="85"/>
      <c r="L441" s="85"/>
      <c r="M441" s="85"/>
      <c r="N441" s="66"/>
      <c r="O441" s="66"/>
      <c r="P441" s="66"/>
      <c r="Q441" s="28"/>
      <c r="R441" s="69" t="str">
        <f>IFERROR(__xludf.DUMMYFUNCTION("IF (OR( Q441 = """" , P441 =""""), """" , IF(Q441 = ""Menos de 1 mês"" , ""antes de ""&amp; TO_TEXT( EDATE(P441, 1)), EDATE(P441,Q441)))"),"")</f>
        <v/>
      </c>
      <c r="S441" s="28"/>
      <c r="T441" s="28"/>
      <c r="U441" s="28"/>
      <c r="V441" s="66"/>
      <c r="W441" s="5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</row>
    <row r="442" ht="60.0" customHeight="1">
      <c r="A442" s="14" t="str">
        <f>if(H442&lt;&gt;"",VLOOKUP(H442,ID!$A$2:$C$999,3,FALSE),"") </f>
        <v/>
      </c>
      <c r="B442" s="15"/>
      <c r="C442" s="16"/>
      <c r="D442" s="89"/>
      <c r="E442" s="89"/>
      <c r="F442" s="85"/>
      <c r="G442" s="81"/>
      <c r="H442" s="85"/>
      <c r="I442" s="85"/>
      <c r="J442" s="85"/>
      <c r="K442" s="85"/>
      <c r="L442" s="85"/>
      <c r="M442" s="85"/>
      <c r="N442" s="66"/>
      <c r="O442" s="66"/>
      <c r="P442" s="66"/>
      <c r="Q442" s="28"/>
      <c r="R442" s="69" t="str">
        <f>IFERROR(__xludf.DUMMYFUNCTION("IF (OR( Q442 = """" , P442 =""""), """" , IF(Q442 = ""Menos de 1 mês"" , ""antes de ""&amp; TO_TEXT( EDATE(P442, 1)), EDATE(P442,Q442)))"),"")</f>
        <v/>
      </c>
      <c r="S442" s="28"/>
      <c r="T442" s="28"/>
      <c r="U442" s="28"/>
      <c r="V442" s="66"/>
      <c r="W442" s="5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</row>
    <row r="443" ht="60.0" customHeight="1">
      <c r="A443" s="14" t="str">
        <f>if(H443&lt;&gt;"",VLOOKUP(H443,ID!$A$2:$C$999,3,FALSE),"") </f>
        <v/>
      </c>
      <c r="B443" s="15"/>
      <c r="C443" s="16"/>
      <c r="D443" s="89"/>
      <c r="E443" s="89"/>
      <c r="F443" s="85"/>
      <c r="G443" s="81"/>
      <c r="H443" s="85"/>
      <c r="I443" s="85"/>
      <c r="J443" s="85"/>
      <c r="K443" s="85"/>
      <c r="L443" s="85"/>
      <c r="M443" s="85"/>
      <c r="N443" s="66"/>
      <c r="O443" s="66"/>
      <c r="P443" s="66"/>
      <c r="Q443" s="28"/>
      <c r="R443" s="69" t="str">
        <f>IFERROR(__xludf.DUMMYFUNCTION("IF (OR( Q443 = """" , P443 =""""), """" , IF(Q443 = ""Menos de 1 mês"" , ""antes de ""&amp; TO_TEXT( EDATE(P443, 1)), EDATE(P443,Q443)))"),"")</f>
        <v/>
      </c>
      <c r="S443" s="28"/>
      <c r="T443" s="28"/>
      <c r="U443" s="28"/>
      <c r="V443" s="66"/>
      <c r="W443" s="5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</row>
    <row r="444" ht="60.0" customHeight="1">
      <c r="A444" s="14" t="str">
        <f>if(H444&lt;&gt;"",VLOOKUP(H444,ID!$A$2:$C$999,3,FALSE),"") </f>
        <v/>
      </c>
      <c r="B444" s="15"/>
      <c r="C444" s="16"/>
      <c r="D444" s="89"/>
      <c r="E444" s="89"/>
      <c r="F444" s="85"/>
      <c r="G444" s="81"/>
      <c r="H444" s="85"/>
      <c r="I444" s="85"/>
      <c r="J444" s="85"/>
      <c r="K444" s="85"/>
      <c r="L444" s="85"/>
      <c r="M444" s="85"/>
      <c r="N444" s="66"/>
      <c r="O444" s="66"/>
      <c r="P444" s="66"/>
      <c r="Q444" s="28"/>
      <c r="R444" s="69" t="str">
        <f>IFERROR(__xludf.DUMMYFUNCTION("IF (OR( Q444 = """" , P444 =""""), """" , IF(Q444 = ""Menos de 1 mês"" , ""antes de ""&amp; TO_TEXT( EDATE(P444, 1)), EDATE(P444,Q444)))"),"")</f>
        <v/>
      </c>
      <c r="S444" s="28"/>
      <c r="T444" s="28"/>
      <c r="U444" s="28"/>
      <c r="V444" s="66"/>
      <c r="W444" s="5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</row>
    <row r="445" ht="60.0" customHeight="1">
      <c r="A445" s="14" t="str">
        <f>if(H445&lt;&gt;"",VLOOKUP(H445,ID!$A$2:$C$999,3,FALSE),"") </f>
        <v/>
      </c>
      <c r="B445" s="15"/>
      <c r="C445" s="16"/>
      <c r="D445" s="89"/>
      <c r="E445" s="89"/>
      <c r="F445" s="85"/>
      <c r="G445" s="81"/>
      <c r="H445" s="85"/>
      <c r="I445" s="85"/>
      <c r="J445" s="85"/>
      <c r="K445" s="85"/>
      <c r="L445" s="85"/>
      <c r="M445" s="85"/>
      <c r="N445" s="66"/>
      <c r="O445" s="66"/>
      <c r="P445" s="66"/>
      <c r="Q445" s="28"/>
      <c r="R445" s="69" t="str">
        <f>IFERROR(__xludf.DUMMYFUNCTION("IF (OR( Q445 = """" , P445 =""""), """" , IF(Q445 = ""Menos de 1 mês"" , ""antes de ""&amp; TO_TEXT( EDATE(P445, 1)), EDATE(P445,Q445)))"),"")</f>
        <v/>
      </c>
      <c r="S445" s="28"/>
      <c r="T445" s="28"/>
      <c r="U445" s="28"/>
      <c r="V445" s="66"/>
      <c r="W445" s="5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</row>
    <row r="446" ht="60.0" customHeight="1">
      <c r="A446" s="14" t="str">
        <f>if(H446&lt;&gt;"",VLOOKUP(H446,ID!$A$2:$C$999,3,FALSE),"") </f>
        <v/>
      </c>
      <c r="B446" s="15"/>
      <c r="C446" s="16"/>
      <c r="D446" s="89"/>
      <c r="E446" s="89"/>
      <c r="F446" s="85"/>
      <c r="G446" s="81"/>
      <c r="H446" s="85"/>
      <c r="I446" s="85"/>
      <c r="J446" s="85"/>
      <c r="K446" s="85"/>
      <c r="L446" s="85"/>
      <c r="M446" s="85"/>
      <c r="N446" s="66"/>
      <c r="O446" s="66"/>
      <c r="P446" s="66"/>
      <c r="Q446" s="28"/>
      <c r="R446" s="69" t="str">
        <f>IFERROR(__xludf.DUMMYFUNCTION("IF (OR( Q446 = """" , P446 =""""), """" , IF(Q446 = ""Menos de 1 mês"" , ""antes de ""&amp; TO_TEXT( EDATE(P446, 1)), EDATE(P446,Q446)))"),"")</f>
        <v/>
      </c>
      <c r="S446" s="28"/>
      <c r="T446" s="28"/>
      <c r="U446" s="28"/>
      <c r="V446" s="66"/>
      <c r="W446" s="5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</row>
    <row r="447" ht="60.0" customHeight="1">
      <c r="A447" s="14" t="str">
        <f>if(H447&lt;&gt;"",VLOOKUP(H447,ID!$A$2:$C$999,3,FALSE),"") </f>
        <v/>
      </c>
      <c r="B447" s="15"/>
      <c r="C447" s="16"/>
      <c r="D447" s="89"/>
      <c r="E447" s="89"/>
      <c r="F447" s="85"/>
      <c r="G447" s="81"/>
      <c r="H447" s="85"/>
      <c r="I447" s="85"/>
      <c r="J447" s="85"/>
      <c r="K447" s="85"/>
      <c r="L447" s="85"/>
      <c r="M447" s="85"/>
      <c r="N447" s="66"/>
      <c r="O447" s="66"/>
      <c r="P447" s="66"/>
      <c r="Q447" s="28"/>
      <c r="R447" s="69" t="str">
        <f>IFERROR(__xludf.DUMMYFUNCTION("IF (OR( Q447 = """" , P447 =""""), """" , IF(Q447 = ""Menos de 1 mês"" , ""antes de ""&amp; TO_TEXT( EDATE(P447, 1)), EDATE(P447,Q447)))"),"")</f>
        <v/>
      </c>
      <c r="S447" s="28"/>
      <c r="T447" s="28"/>
      <c r="U447" s="28"/>
      <c r="V447" s="66"/>
      <c r="W447" s="5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</row>
    <row r="448" ht="60.0" customHeight="1">
      <c r="A448" s="14" t="str">
        <f>if(H448&lt;&gt;"",VLOOKUP(H448,ID!$A$2:$C$999,3,FALSE),"") </f>
        <v/>
      </c>
      <c r="B448" s="15"/>
      <c r="C448" s="16"/>
      <c r="D448" s="89"/>
      <c r="E448" s="89"/>
      <c r="F448" s="85"/>
      <c r="G448" s="81"/>
      <c r="H448" s="85"/>
      <c r="I448" s="85"/>
      <c r="J448" s="85"/>
      <c r="K448" s="85"/>
      <c r="L448" s="85"/>
      <c r="M448" s="85"/>
      <c r="N448" s="66"/>
      <c r="O448" s="66"/>
      <c r="P448" s="66"/>
      <c r="Q448" s="28"/>
      <c r="R448" s="69" t="str">
        <f>IFERROR(__xludf.DUMMYFUNCTION("IF (OR( Q448 = """" , P448 =""""), """" , IF(Q448 = ""Menos de 1 mês"" , ""antes de ""&amp; TO_TEXT( EDATE(P448, 1)), EDATE(P448,Q448)))"),"")</f>
        <v/>
      </c>
      <c r="S448" s="28"/>
      <c r="T448" s="28"/>
      <c r="U448" s="28"/>
      <c r="V448" s="66"/>
      <c r="W448" s="5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</row>
    <row r="449" ht="60.0" customHeight="1">
      <c r="A449" s="14" t="str">
        <f>if(H449&lt;&gt;"",VLOOKUP(H449,ID!$A$2:$C$999,3,FALSE),"") </f>
        <v/>
      </c>
      <c r="B449" s="15"/>
      <c r="C449" s="16"/>
      <c r="D449" s="89"/>
      <c r="E449" s="89"/>
      <c r="F449" s="85"/>
      <c r="G449" s="81"/>
      <c r="H449" s="85"/>
      <c r="I449" s="85"/>
      <c r="J449" s="85"/>
      <c r="K449" s="85"/>
      <c r="L449" s="85"/>
      <c r="M449" s="85"/>
      <c r="N449" s="66"/>
      <c r="O449" s="66"/>
      <c r="P449" s="66"/>
      <c r="Q449" s="28"/>
      <c r="R449" s="69" t="str">
        <f>IFERROR(__xludf.DUMMYFUNCTION("IF (OR( Q449 = """" , P449 =""""), """" , IF(Q449 = ""Menos de 1 mês"" , ""antes de ""&amp; TO_TEXT( EDATE(P449, 1)), EDATE(P449,Q449)))"),"")</f>
        <v/>
      </c>
      <c r="S449" s="28"/>
      <c r="T449" s="28"/>
      <c r="U449" s="28"/>
      <c r="V449" s="66"/>
      <c r="W449" s="5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</row>
    <row r="450" ht="60.0" customHeight="1">
      <c r="A450" s="14" t="str">
        <f>if(H450&lt;&gt;"",VLOOKUP(H450,ID!$A$2:$C$999,3,FALSE),"") </f>
        <v/>
      </c>
      <c r="B450" s="15"/>
      <c r="C450" s="16"/>
      <c r="D450" s="89"/>
      <c r="E450" s="89"/>
      <c r="F450" s="85"/>
      <c r="G450" s="81"/>
      <c r="H450" s="85"/>
      <c r="I450" s="85"/>
      <c r="J450" s="85"/>
      <c r="K450" s="85"/>
      <c r="L450" s="85"/>
      <c r="M450" s="85"/>
      <c r="N450" s="66"/>
      <c r="O450" s="66"/>
      <c r="P450" s="66"/>
      <c r="Q450" s="28"/>
      <c r="R450" s="69" t="str">
        <f>IFERROR(__xludf.DUMMYFUNCTION("IF (OR( Q450 = """" , P450 =""""), """" , IF(Q450 = ""Menos de 1 mês"" , ""antes de ""&amp; TO_TEXT( EDATE(P450, 1)), EDATE(P450,Q450)))"),"")</f>
        <v/>
      </c>
      <c r="S450" s="28"/>
      <c r="T450" s="28"/>
      <c r="U450" s="28"/>
      <c r="V450" s="66"/>
      <c r="W450" s="5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</row>
    <row r="451" ht="60.0" customHeight="1">
      <c r="A451" s="14" t="str">
        <f>if(H451&lt;&gt;"",VLOOKUP(H451,ID!$A$2:$C$999,3,FALSE),"") </f>
        <v/>
      </c>
      <c r="B451" s="15"/>
      <c r="C451" s="16"/>
      <c r="D451" s="89"/>
      <c r="E451" s="89"/>
      <c r="F451" s="85"/>
      <c r="G451" s="81"/>
      <c r="H451" s="85"/>
      <c r="I451" s="85"/>
      <c r="J451" s="85"/>
      <c r="K451" s="85"/>
      <c r="L451" s="85"/>
      <c r="M451" s="85"/>
      <c r="N451" s="66"/>
      <c r="O451" s="66"/>
      <c r="P451" s="66"/>
      <c r="Q451" s="28"/>
      <c r="R451" s="69" t="str">
        <f>IFERROR(__xludf.DUMMYFUNCTION("IF (OR( Q451 = """" , P451 =""""), """" , IF(Q451 = ""Menos de 1 mês"" , ""antes de ""&amp; TO_TEXT( EDATE(P451, 1)), EDATE(P451,Q451)))"),"")</f>
        <v/>
      </c>
      <c r="S451" s="28"/>
      <c r="T451" s="28"/>
      <c r="U451" s="28"/>
      <c r="V451" s="66"/>
      <c r="W451" s="5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</row>
    <row r="452" ht="60.0" customHeight="1">
      <c r="A452" s="14" t="str">
        <f>if(H452&lt;&gt;"",VLOOKUP(H452,ID!$A$2:$C$999,3,FALSE),"") </f>
        <v/>
      </c>
      <c r="B452" s="15"/>
      <c r="C452" s="16"/>
      <c r="D452" s="89"/>
      <c r="E452" s="89"/>
      <c r="F452" s="85"/>
      <c r="G452" s="81"/>
      <c r="H452" s="85"/>
      <c r="I452" s="85"/>
      <c r="J452" s="85"/>
      <c r="K452" s="85"/>
      <c r="L452" s="85"/>
      <c r="M452" s="85"/>
      <c r="N452" s="66"/>
      <c r="O452" s="66"/>
      <c r="P452" s="66"/>
      <c r="Q452" s="28"/>
      <c r="R452" s="69" t="str">
        <f>IFERROR(__xludf.DUMMYFUNCTION("IF (OR( Q452 = """" , P452 =""""), """" , IF(Q452 = ""Menos de 1 mês"" , ""antes de ""&amp; TO_TEXT( EDATE(P452, 1)), EDATE(P452,Q452)))"),"")</f>
        <v/>
      </c>
      <c r="S452" s="28"/>
      <c r="T452" s="28"/>
      <c r="U452" s="28"/>
      <c r="V452" s="66"/>
      <c r="W452" s="5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</row>
    <row r="453" ht="60.0" customHeight="1">
      <c r="A453" s="14" t="str">
        <f>if(H453&lt;&gt;"",VLOOKUP(H453,ID!$A$2:$C$999,3,FALSE),"") </f>
        <v/>
      </c>
      <c r="B453" s="15"/>
      <c r="C453" s="16"/>
      <c r="D453" s="89"/>
      <c r="E453" s="89"/>
      <c r="F453" s="85"/>
      <c r="G453" s="81"/>
      <c r="H453" s="85"/>
      <c r="I453" s="85"/>
      <c r="J453" s="85"/>
      <c r="K453" s="85"/>
      <c r="L453" s="85"/>
      <c r="M453" s="85"/>
      <c r="N453" s="66"/>
      <c r="O453" s="66"/>
      <c r="P453" s="66"/>
      <c r="Q453" s="28"/>
      <c r="R453" s="69" t="str">
        <f>IFERROR(__xludf.DUMMYFUNCTION("IF (OR( Q453 = """" , P453 =""""), """" , IF(Q453 = ""Menos de 1 mês"" , ""antes de ""&amp; TO_TEXT( EDATE(P453, 1)), EDATE(P453,Q453)))"),"")</f>
        <v/>
      </c>
      <c r="S453" s="28"/>
      <c r="T453" s="28"/>
      <c r="U453" s="28"/>
      <c r="V453" s="66"/>
      <c r="W453" s="5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</row>
    <row r="454" ht="60.0" customHeight="1">
      <c r="A454" s="14" t="str">
        <f>if(H454&lt;&gt;"",VLOOKUP(H454,ID!$A$2:$C$999,3,FALSE),"") </f>
        <v/>
      </c>
      <c r="B454" s="15"/>
      <c r="C454" s="16"/>
      <c r="D454" s="89"/>
      <c r="E454" s="89"/>
      <c r="F454" s="85"/>
      <c r="G454" s="81"/>
      <c r="H454" s="85"/>
      <c r="I454" s="85"/>
      <c r="J454" s="85"/>
      <c r="K454" s="85"/>
      <c r="L454" s="85"/>
      <c r="M454" s="85"/>
      <c r="N454" s="66"/>
      <c r="O454" s="66"/>
      <c r="P454" s="66"/>
      <c r="Q454" s="28"/>
      <c r="R454" s="69" t="str">
        <f>IFERROR(__xludf.DUMMYFUNCTION("IF (OR( Q454 = """" , P454 =""""), """" , IF(Q454 = ""Menos de 1 mês"" , ""antes de ""&amp; TO_TEXT( EDATE(P454, 1)), EDATE(P454,Q454)))"),"")</f>
        <v/>
      </c>
      <c r="S454" s="28"/>
      <c r="T454" s="28"/>
      <c r="U454" s="28"/>
      <c r="V454" s="66"/>
      <c r="W454" s="5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</row>
    <row r="455" ht="60.0" customHeight="1">
      <c r="A455" s="14" t="str">
        <f>if(H455&lt;&gt;"",VLOOKUP(H455,ID!$A$2:$C$999,3,FALSE),"") </f>
        <v/>
      </c>
      <c r="B455" s="15"/>
      <c r="C455" s="16"/>
      <c r="D455" s="89"/>
      <c r="E455" s="89"/>
      <c r="F455" s="85"/>
      <c r="G455" s="81"/>
      <c r="H455" s="85"/>
      <c r="I455" s="85"/>
      <c r="J455" s="85"/>
      <c r="K455" s="85"/>
      <c r="L455" s="85"/>
      <c r="M455" s="85"/>
      <c r="N455" s="66"/>
      <c r="O455" s="66"/>
      <c r="P455" s="66"/>
      <c r="Q455" s="28"/>
      <c r="R455" s="69" t="str">
        <f>IFERROR(__xludf.DUMMYFUNCTION("IF (OR( Q455 = """" , P455 =""""), """" , IF(Q455 = ""Menos de 1 mês"" , ""antes de ""&amp; TO_TEXT( EDATE(P455, 1)), EDATE(P455,Q455)))"),"")</f>
        <v/>
      </c>
      <c r="S455" s="28"/>
      <c r="T455" s="28"/>
      <c r="U455" s="28"/>
      <c r="V455" s="66"/>
      <c r="W455" s="5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</row>
    <row r="456" ht="60.0" customHeight="1">
      <c r="A456" s="14" t="str">
        <f>if(H456&lt;&gt;"",VLOOKUP(H456,ID!$A$2:$C$999,3,FALSE),"") </f>
        <v/>
      </c>
      <c r="B456" s="15"/>
      <c r="C456" s="16"/>
      <c r="D456" s="89"/>
      <c r="E456" s="89"/>
      <c r="F456" s="85"/>
      <c r="G456" s="81"/>
      <c r="H456" s="85"/>
      <c r="I456" s="85"/>
      <c r="J456" s="85"/>
      <c r="K456" s="85"/>
      <c r="L456" s="85"/>
      <c r="M456" s="85"/>
      <c r="N456" s="66"/>
      <c r="O456" s="66"/>
      <c r="P456" s="66"/>
      <c r="Q456" s="28"/>
      <c r="R456" s="69" t="str">
        <f>IFERROR(__xludf.DUMMYFUNCTION("IF (OR( Q456 = """" , P456 =""""), """" , IF(Q456 = ""Menos de 1 mês"" , ""antes de ""&amp; TO_TEXT( EDATE(P456, 1)), EDATE(P456,Q456)))"),"")</f>
        <v/>
      </c>
      <c r="S456" s="28"/>
      <c r="T456" s="28"/>
      <c r="U456" s="28"/>
      <c r="V456" s="66"/>
      <c r="W456" s="5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</row>
    <row r="457" ht="60.0" customHeight="1">
      <c r="A457" s="14" t="str">
        <f>if(H457&lt;&gt;"",VLOOKUP(H457,ID!$A$2:$C$999,3,FALSE),"") </f>
        <v/>
      </c>
      <c r="B457" s="15"/>
      <c r="C457" s="16"/>
      <c r="D457" s="89"/>
      <c r="E457" s="89"/>
      <c r="F457" s="85"/>
      <c r="G457" s="81"/>
      <c r="H457" s="85"/>
      <c r="I457" s="85"/>
      <c r="J457" s="85"/>
      <c r="K457" s="85"/>
      <c r="L457" s="85"/>
      <c r="M457" s="85"/>
      <c r="N457" s="66"/>
      <c r="O457" s="66"/>
      <c r="P457" s="66"/>
      <c r="Q457" s="28"/>
      <c r="R457" s="69" t="str">
        <f>IFERROR(__xludf.DUMMYFUNCTION("IF (OR( Q457 = """" , P457 =""""), """" , IF(Q457 = ""Menos de 1 mês"" , ""antes de ""&amp; TO_TEXT( EDATE(P457, 1)), EDATE(P457,Q457)))"),"")</f>
        <v/>
      </c>
      <c r="S457" s="28"/>
      <c r="T457" s="28"/>
      <c r="U457" s="28"/>
      <c r="V457" s="66"/>
      <c r="W457" s="5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</row>
    <row r="458" ht="60.0" customHeight="1">
      <c r="A458" s="14" t="str">
        <f>if(H458&lt;&gt;"",VLOOKUP(H458,ID!$A$2:$C$999,3,FALSE),"") </f>
        <v/>
      </c>
      <c r="B458" s="15"/>
      <c r="C458" s="16"/>
      <c r="D458" s="89"/>
      <c r="E458" s="89"/>
      <c r="F458" s="85"/>
      <c r="G458" s="81"/>
      <c r="H458" s="85"/>
      <c r="I458" s="85"/>
      <c r="J458" s="85"/>
      <c r="K458" s="85"/>
      <c r="L458" s="85"/>
      <c r="M458" s="85"/>
      <c r="N458" s="66"/>
      <c r="O458" s="66"/>
      <c r="P458" s="66"/>
      <c r="Q458" s="28"/>
      <c r="R458" s="69" t="str">
        <f>IFERROR(__xludf.DUMMYFUNCTION("IF (OR( Q458 = """" , P458 =""""), """" , IF(Q458 = ""Menos de 1 mês"" , ""antes de ""&amp; TO_TEXT( EDATE(P458, 1)), EDATE(P458,Q458)))"),"")</f>
        <v/>
      </c>
      <c r="S458" s="28"/>
      <c r="T458" s="28"/>
      <c r="U458" s="28"/>
      <c r="V458" s="66"/>
      <c r="W458" s="5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</row>
    <row r="459" ht="60.0" customHeight="1">
      <c r="A459" s="14" t="str">
        <f>if(H459&lt;&gt;"",VLOOKUP(H459,ID!$A$2:$C$999,3,FALSE),"") </f>
        <v/>
      </c>
      <c r="B459" s="15"/>
      <c r="C459" s="16"/>
      <c r="D459" s="89"/>
      <c r="E459" s="89"/>
      <c r="F459" s="85"/>
      <c r="G459" s="81"/>
      <c r="H459" s="85"/>
      <c r="I459" s="85"/>
      <c r="J459" s="85"/>
      <c r="K459" s="85"/>
      <c r="L459" s="85"/>
      <c r="M459" s="85"/>
      <c r="N459" s="66"/>
      <c r="O459" s="66"/>
      <c r="P459" s="66"/>
      <c r="Q459" s="28"/>
      <c r="R459" s="69" t="str">
        <f>IFERROR(__xludf.DUMMYFUNCTION("IF (OR( Q459 = """" , P459 =""""), """" , IF(Q459 = ""Menos de 1 mês"" , ""antes de ""&amp; TO_TEXT( EDATE(P459, 1)), EDATE(P459,Q459)))"),"")</f>
        <v/>
      </c>
      <c r="S459" s="28"/>
      <c r="T459" s="28"/>
      <c r="U459" s="28"/>
      <c r="V459" s="66"/>
      <c r="W459" s="5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</row>
    <row r="460" ht="60.0" customHeight="1">
      <c r="A460" s="14" t="str">
        <f>if(H460&lt;&gt;"",VLOOKUP(H460,ID!$A$2:$C$999,3,FALSE),"") </f>
        <v/>
      </c>
      <c r="B460" s="15"/>
      <c r="C460" s="16"/>
      <c r="D460" s="89"/>
      <c r="E460" s="89"/>
      <c r="F460" s="85"/>
      <c r="G460" s="81"/>
      <c r="H460" s="85"/>
      <c r="I460" s="85"/>
      <c r="J460" s="85"/>
      <c r="K460" s="85"/>
      <c r="L460" s="85"/>
      <c r="M460" s="85"/>
      <c r="N460" s="66"/>
      <c r="O460" s="66"/>
      <c r="P460" s="66"/>
      <c r="Q460" s="28"/>
      <c r="R460" s="69" t="str">
        <f>IFERROR(__xludf.DUMMYFUNCTION("IF (OR( Q460 = """" , P460 =""""), """" , IF(Q460 = ""Menos de 1 mês"" , ""antes de ""&amp; TO_TEXT( EDATE(P460, 1)), EDATE(P460,Q460)))"),"")</f>
        <v/>
      </c>
      <c r="S460" s="28"/>
      <c r="T460" s="28"/>
      <c r="U460" s="28"/>
      <c r="V460" s="66"/>
      <c r="W460" s="5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</row>
    <row r="461" ht="60.0" customHeight="1">
      <c r="A461" s="14" t="str">
        <f>if(H461&lt;&gt;"",VLOOKUP(H461,ID!$A$2:$C$999,3,FALSE),"") </f>
        <v/>
      </c>
      <c r="B461" s="15"/>
      <c r="C461" s="16"/>
      <c r="D461" s="89"/>
      <c r="E461" s="89"/>
      <c r="F461" s="85"/>
      <c r="G461" s="81"/>
      <c r="H461" s="85"/>
      <c r="I461" s="85"/>
      <c r="J461" s="85"/>
      <c r="K461" s="85"/>
      <c r="L461" s="85"/>
      <c r="M461" s="85"/>
      <c r="N461" s="66"/>
      <c r="O461" s="66"/>
      <c r="P461" s="66"/>
      <c r="Q461" s="28"/>
      <c r="R461" s="69" t="str">
        <f>IFERROR(__xludf.DUMMYFUNCTION("IF (OR( Q461 = """" , P461 =""""), """" , IF(Q461 = ""Menos de 1 mês"" , ""antes de ""&amp; TO_TEXT( EDATE(P461, 1)), EDATE(P461,Q461)))"),"")</f>
        <v/>
      </c>
      <c r="S461" s="28"/>
      <c r="T461" s="28"/>
      <c r="U461" s="28"/>
      <c r="V461" s="66"/>
      <c r="W461" s="5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</row>
    <row r="462" ht="60.0" customHeight="1">
      <c r="A462" s="14" t="str">
        <f>if(H462&lt;&gt;"",VLOOKUP(H462,ID!$A$2:$C$999,3,FALSE),"") </f>
        <v/>
      </c>
      <c r="B462" s="15"/>
      <c r="C462" s="16"/>
      <c r="D462" s="89"/>
      <c r="E462" s="89"/>
      <c r="F462" s="85"/>
      <c r="G462" s="81"/>
      <c r="H462" s="85"/>
      <c r="I462" s="85"/>
      <c r="J462" s="85"/>
      <c r="K462" s="85"/>
      <c r="L462" s="85"/>
      <c r="M462" s="85"/>
      <c r="N462" s="66"/>
      <c r="O462" s="66"/>
      <c r="P462" s="66"/>
      <c r="Q462" s="28"/>
      <c r="R462" s="69" t="str">
        <f>IFERROR(__xludf.DUMMYFUNCTION("IF (OR( Q462 = """" , P462 =""""), """" , IF(Q462 = ""Menos de 1 mês"" , ""antes de ""&amp; TO_TEXT( EDATE(P462, 1)), EDATE(P462,Q462)))"),"")</f>
        <v/>
      </c>
      <c r="S462" s="28"/>
      <c r="T462" s="28"/>
      <c r="U462" s="28"/>
      <c r="V462" s="66"/>
      <c r="W462" s="5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</row>
    <row r="463" ht="60.0" customHeight="1">
      <c r="A463" s="14" t="str">
        <f>if(H463&lt;&gt;"",VLOOKUP(H463,ID!$A$2:$C$999,3,FALSE),"") </f>
        <v/>
      </c>
      <c r="B463" s="15"/>
      <c r="C463" s="16"/>
      <c r="D463" s="89"/>
      <c r="E463" s="89"/>
      <c r="F463" s="85"/>
      <c r="G463" s="81"/>
      <c r="H463" s="85"/>
      <c r="I463" s="85"/>
      <c r="J463" s="85"/>
      <c r="K463" s="85"/>
      <c r="L463" s="85"/>
      <c r="M463" s="85"/>
      <c r="N463" s="66"/>
      <c r="O463" s="66"/>
      <c r="P463" s="66"/>
      <c r="Q463" s="28"/>
      <c r="R463" s="69" t="str">
        <f>IFERROR(__xludf.DUMMYFUNCTION("IF (OR( Q463 = """" , P463 =""""), """" , IF(Q463 = ""Menos de 1 mês"" , ""antes de ""&amp; TO_TEXT( EDATE(P463, 1)), EDATE(P463,Q463)))"),"")</f>
        <v/>
      </c>
      <c r="S463" s="28"/>
      <c r="T463" s="28"/>
      <c r="U463" s="28"/>
      <c r="V463" s="66"/>
      <c r="W463" s="5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</row>
    <row r="464" ht="60.0" customHeight="1">
      <c r="A464" s="14" t="str">
        <f>if(H464&lt;&gt;"",VLOOKUP(H464,ID!$A$2:$C$999,3,FALSE),"") </f>
        <v/>
      </c>
      <c r="B464" s="15"/>
      <c r="C464" s="16"/>
      <c r="D464" s="89"/>
      <c r="E464" s="89"/>
      <c r="F464" s="85"/>
      <c r="G464" s="81"/>
      <c r="H464" s="85"/>
      <c r="I464" s="85"/>
      <c r="J464" s="85"/>
      <c r="K464" s="85"/>
      <c r="L464" s="85"/>
      <c r="M464" s="85"/>
      <c r="N464" s="66"/>
      <c r="O464" s="66"/>
      <c r="P464" s="66"/>
      <c r="Q464" s="28"/>
      <c r="R464" s="69" t="str">
        <f>IFERROR(__xludf.DUMMYFUNCTION("IF (OR( Q464 = """" , P464 =""""), """" , IF(Q464 = ""Menos de 1 mês"" , ""antes de ""&amp; TO_TEXT( EDATE(P464, 1)), EDATE(P464,Q464)))"),"")</f>
        <v/>
      </c>
      <c r="S464" s="28"/>
      <c r="T464" s="28"/>
      <c r="U464" s="28"/>
      <c r="V464" s="66"/>
      <c r="W464" s="5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</row>
    <row r="465" ht="60.0" customHeight="1">
      <c r="A465" s="14" t="str">
        <f>if(H465&lt;&gt;"",VLOOKUP(H465,ID!$A$2:$C$999,3,FALSE),"") </f>
        <v/>
      </c>
      <c r="B465" s="15"/>
      <c r="C465" s="16"/>
      <c r="D465" s="89"/>
      <c r="E465" s="89"/>
      <c r="F465" s="85"/>
      <c r="G465" s="81"/>
      <c r="H465" s="85"/>
      <c r="I465" s="85"/>
      <c r="J465" s="85"/>
      <c r="K465" s="85"/>
      <c r="L465" s="85"/>
      <c r="M465" s="85"/>
      <c r="N465" s="66"/>
      <c r="O465" s="66"/>
      <c r="P465" s="66"/>
      <c r="Q465" s="28"/>
      <c r="R465" s="69" t="str">
        <f>IFERROR(__xludf.DUMMYFUNCTION("IF (OR( Q465 = """" , P465 =""""), """" , IF(Q465 = ""Menos de 1 mês"" , ""antes de ""&amp; TO_TEXT( EDATE(P465, 1)), EDATE(P465,Q465)))"),"")</f>
        <v/>
      </c>
      <c r="S465" s="28"/>
      <c r="T465" s="28"/>
      <c r="U465" s="28"/>
      <c r="V465" s="66"/>
      <c r="W465" s="5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</row>
    <row r="466" ht="60.0" customHeight="1">
      <c r="A466" s="14" t="str">
        <f>if(H466&lt;&gt;"",VLOOKUP(H466,ID!$A$2:$C$999,3,FALSE),"") </f>
        <v/>
      </c>
      <c r="B466" s="15"/>
      <c r="C466" s="16"/>
      <c r="D466" s="89"/>
      <c r="E466" s="89"/>
      <c r="F466" s="85"/>
      <c r="G466" s="81"/>
      <c r="H466" s="85"/>
      <c r="I466" s="85"/>
      <c r="J466" s="85"/>
      <c r="K466" s="85"/>
      <c r="L466" s="85"/>
      <c r="M466" s="85"/>
      <c r="N466" s="66"/>
      <c r="O466" s="66"/>
      <c r="P466" s="66"/>
      <c r="Q466" s="28"/>
      <c r="R466" s="69" t="str">
        <f>IFERROR(__xludf.DUMMYFUNCTION("IF (OR( Q466 = """" , P466 =""""), """" , IF(Q466 = ""Menos de 1 mês"" , ""antes de ""&amp; TO_TEXT( EDATE(P466, 1)), EDATE(P466,Q466)))"),"")</f>
        <v/>
      </c>
      <c r="S466" s="28"/>
      <c r="T466" s="28"/>
      <c r="U466" s="28"/>
      <c r="V466" s="66"/>
      <c r="W466" s="5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</row>
    <row r="467" ht="60.0" customHeight="1">
      <c r="A467" s="14" t="str">
        <f>if(H467&lt;&gt;"",VLOOKUP(H467,ID!$A$2:$C$999,3,FALSE),"") </f>
        <v/>
      </c>
      <c r="B467" s="15"/>
      <c r="C467" s="16"/>
      <c r="D467" s="89"/>
      <c r="E467" s="89"/>
      <c r="F467" s="85"/>
      <c r="G467" s="81"/>
      <c r="H467" s="85"/>
      <c r="I467" s="85"/>
      <c r="J467" s="85"/>
      <c r="K467" s="85"/>
      <c r="L467" s="85"/>
      <c r="M467" s="85"/>
      <c r="N467" s="66"/>
      <c r="O467" s="66"/>
      <c r="P467" s="66"/>
      <c r="Q467" s="28"/>
      <c r="R467" s="69" t="str">
        <f>IFERROR(__xludf.DUMMYFUNCTION("IF (OR( Q467 = """" , P467 =""""), """" , IF(Q467 = ""Menos de 1 mês"" , ""antes de ""&amp; TO_TEXT( EDATE(P467, 1)), EDATE(P467,Q467)))"),"")</f>
        <v/>
      </c>
      <c r="S467" s="28"/>
      <c r="T467" s="28"/>
      <c r="U467" s="28"/>
      <c r="V467" s="66"/>
      <c r="W467" s="5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</row>
    <row r="468" ht="60.0" customHeight="1">
      <c r="A468" s="14" t="str">
        <f>if(H468&lt;&gt;"",VLOOKUP(H468,ID!$A$2:$C$999,3,FALSE),"") </f>
        <v/>
      </c>
      <c r="B468" s="15"/>
      <c r="C468" s="16"/>
      <c r="D468" s="89"/>
      <c r="E468" s="89"/>
      <c r="F468" s="85"/>
      <c r="G468" s="81"/>
      <c r="H468" s="85"/>
      <c r="I468" s="85"/>
      <c r="J468" s="85"/>
      <c r="K468" s="85"/>
      <c r="L468" s="85"/>
      <c r="M468" s="85"/>
      <c r="N468" s="66"/>
      <c r="O468" s="66"/>
      <c r="P468" s="66"/>
      <c r="Q468" s="28"/>
      <c r="R468" s="69" t="str">
        <f>IFERROR(__xludf.DUMMYFUNCTION("IF (OR( Q468 = """" , P468 =""""), """" , IF(Q468 = ""Menos de 1 mês"" , ""antes de ""&amp; TO_TEXT( EDATE(P468, 1)), EDATE(P468,Q468)))"),"")</f>
        <v/>
      </c>
      <c r="S468" s="28"/>
      <c r="T468" s="28"/>
      <c r="U468" s="28"/>
      <c r="V468" s="66"/>
      <c r="W468" s="5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</row>
    <row r="469" ht="60.0" customHeight="1">
      <c r="A469" s="14" t="str">
        <f>if(H469&lt;&gt;"",VLOOKUP(H469,ID!$A$2:$C$999,3,FALSE),"") </f>
        <v/>
      </c>
      <c r="B469" s="15"/>
      <c r="C469" s="16"/>
      <c r="D469" s="89"/>
      <c r="E469" s="89"/>
      <c r="F469" s="85"/>
      <c r="G469" s="81"/>
      <c r="H469" s="85"/>
      <c r="I469" s="85"/>
      <c r="J469" s="85"/>
      <c r="K469" s="85"/>
      <c r="L469" s="85"/>
      <c r="M469" s="85"/>
      <c r="N469" s="66"/>
      <c r="O469" s="66"/>
      <c r="P469" s="66"/>
      <c r="Q469" s="28"/>
      <c r="R469" s="69" t="str">
        <f>IFERROR(__xludf.DUMMYFUNCTION("IF (OR( Q469 = """" , P469 =""""), """" , IF(Q469 = ""Menos de 1 mês"" , ""antes de ""&amp; TO_TEXT( EDATE(P469, 1)), EDATE(P469,Q469)))"),"")</f>
        <v/>
      </c>
      <c r="S469" s="28"/>
      <c r="T469" s="28"/>
      <c r="U469" s="28"/>
      <c r="V469" s="66"/>
      <c r="W469" s="5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</row>
    <row r="470" ht="60.0" customHeight="1">
      <c r="A470" s="14" t="str">
        <f>if(H470&lt;&gt;"",VLOOKUP(H470,ID!$A$2:$C$999,3,FALSE),"") </f>
        <v/>
      </c>
      <c r="B470" s="15"/>
      <c r="C470" s="16"/>
      <c r="D470" s="89"/>
      <c r="E470" s="89"/>
      <c r="F470" s="85"/>
      <c r="G470" s="81"/>
      <c r="H470" s="85"/>
      <c r="I470" s="85"/>
      <c r="J470" s="85"/>
      <c r="K470" s="85"/>
      <c r="L470" s="85"/>
      <c r="M470" s="85"/>
      <c r="N470" s="66"/>
      <c r="O470" s="66"/>
      <c r="P470" s="66"/>
      <c r="Q470" s="28"/>
      <c r="R470" s="69" t="str">
        <f>IFERROR(__xludf.DUMMYFUNCTION("IF (OR( Q470 = """" , P470 =""""), """" , IF(Q470 = ""Menos de 1 mês"" , ""antes de ""&amp; TO_TEXT( EDATE(P470, 1)), EDATE(P470,Q470)))"),"")</f>
        <v/>
      </c>
      <c r="S470" s="28"/>
      <c r="T470" s="28"/>
      <c r="U470" s="28"/>
      <c r="V470" s="66"/>
      <c r="W470" s="5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</row>
    <row r="471" ht="60.0" customHeight="1">
      <c r="A471" s="14" t="str">
        <f>if(H471&lt;&gt;"",VLOOKUP(H471,ID!$A$2:$C$999,3,FALSE),"") </f>
        <v/>
      </c>
      <c r="B471" s="15"/>
      <c r="C471" s="16"/>
      <c r="D471" s="89"/>
      <c r="E471" s="89"/>
      <c r="F471" s="85"/>
      <c r="G471" s="81"/>
      <c r="H471" s="85"/>
      <c r="I471" s="85"/>
      <c r="J471" s="85"/>
      <c r="K471" s="85"/>
      <c r="L471" s="85"/>
      <c r="M471" s="85"/>
      <c r="N471" s="66"/>
      <c r="O471" s="66"/>
      <c r="P471" s="66"/>
      <c r="Q471" s="28"/>
      <c r="R471" s="69" t="str">
        <f>IFERROR(__xludf.DUMMYFUNCTION("IF (OR( Q471 = """" , P471 =""""), """" , IF(Q471 = ""Menos de 1 mês"" , ""antes de ""&amp; TO_TEXT( EDATE(P471, 1)), EDATE(P471,Q471)))"),"")</f>
        <v/>
      </c>
      <c r="S471" s="28"/>
      <c r="T471" s="28"/>
      <c r="U471" s="28"/>
      <c r="V471" s="66"/>
      <c r="W471" s="5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</row>
    <row r="472" ht="60.0" customHeight="1">
      <c r="A472" s="14" t="str">
        <f>if(H472&lt;&gt;"",VLOOKUP(H472,ID!$A$2:$C$999,3,FALSE),"") </f>
        <v/>
      </c>
      <c r="B472" s="15"/>
      <c r="C472" s="16"/>
      <c r="D472" s="89"/>
      <c r="E472" s="89"/>
      <c r="F472" s="85"/>
      <c r="G472" s="81"/>
      <c r="H472" s="85"/>
      <c r="I472" s="85"/>
      <c r="J472" s="85"/>
      <c r="K472" s="85"/>
      <c r="L472" s="85"/>
      <c r="M472" s="85"/>
      <c r="N472" s="66"/>
      <c r="O472" s="66"/>
      <c r="P472" s="66"/>
      <c r="Q472" s="28"/>
      <c r="R472" s="69" t="str">
        <f>IFERROR(__xludf.DUMMYFUNCTION("IF (OR( Q472 = """" , P472 =""""), """" , IF(Q472 = ""Menos de 1 mês"" , ""antes de ""&amp; TO_TEXT( EDATE(P472, 1)), EDATE(P472,Q472)))"),"")</f>
        <v/>
      </c>
      <c r="S472" s="28"/>
      <c r="T472" s="28"/>
      <c r="U472" s="28"/>
      <c r="V472" s="66"/>
      <c r="W472" s="5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</row>
    <row r="473" ht="60.0" customHeight="1">
      <c r="A473" s="14" t="str">
        <f>if(H473&lt;&gt;"",VLOOKUP(H473,ID!$A$2:$C$999,3,FALSE),"") </f>
        <v/>
      </c>
      <c r="B473" s="15"/>
      <c r="C473" s="16"/>
      <c r="D473" s="89"/>
      <c r="E473" s="89"/>
      <c r="F473" s="85"/>
      <c r="G473" s="81"/>
      <c r="H473" s="85"/>
      <c r="I473" s="85"/>
      <c r="J473" s="85"/>
      <c r="K473" s="85"/>
      <c r="L473" s="85"/>
      <c r="M473" s="85"/>
      <c r="N473" s="66"/>
      <c r="O473" s="66"/>
      <c r="P473" s="66"/>
      <c r="Q473" s="28"/>
      <c r="R473" s="69" t="str">
        <f>IFERROR(__xludf.DUMMYFUNCTION("IF (OR( Q473 = """" , P473 =""""), """" , IF(Q473 = ""Menos de 1 mês"" , ""antes de ""&amp; TO_TEXT( EDATE(P473, 1)), EDATE(P473,Q473)))"),"")</f>
        <v/>
      </c>
      <c r="S473" s="28"/>
      <c r="T473" s="28"/>
      <c r="U473" s="28"/>
      <c r="V473" s="66"/>
      <c r="W473" s="5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</row>
    <row r="474" ht="60.0" customHeight="1">
      <c r="A474" s="14" t="str">
        <f>if(H474&lt;&gt;"",VLOOKUP(H474,ID!$A$2:$C$999,3,FALSE),"") </f>
        <v/>
      </c>
      <c r="B474" s="15"/>
      <c r="C474" s="16"/>
      <c r="D474" s="89"/>
      <c r="E474" s="89"/>
      <c r="F474" s="85"/>
      <c r="G474" s="81"/>
      <c r="H474" s="85"/>
      <c r="I474" s="85"/>
      <c r="J474" s="85"/>
      <c r="K474" s="85"/>
      <c r="L474" s="85"/>
      <c r="M474" s="85"/>
      <c r="N474" s="66"/>
      <c r="O474" s="66"/>
      <c r="P474" s="66"/>
      <c r="Q474" s="28"/>
      <c r="R474" s="69" t="str">
        <f>IFERROR(__xludf.DUMMYFUNCTION("IF (OR( Q474 = """" , P474 =""""), """" , IF(Q474 = ""Menos de 1 mês"" , ""antes de ""&amp; TO_TEXT( EDATE(P474, 1)), EDATE(P474,Q474)))"),"")</f>
        <v/>
      </c>
      <c r="S474" s="28"/>
      <c r="T474" s="28"/>
      <c r="U474" s="28"/>
      <c r="V474" s="66"/>
      <c r="W474" s="5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</row>
    <row r="475" ht="60.0" customHeight="1">
      <c r="A475" s="14" t="str">
        <f>if(H475&lt;&gt;"",VLOOKUP(H475,ID!$A$2:$C$999,3,FALSE),"") </f>
        <v/>
      </c>
      <c r="B475" s="15"/>
      <c r="C475" s="16"/>
      <c r="D475" s="89"/>
      <c r="E475" s="89"/>
      <c r="F475" s="85"/>
      <c r="G475" s="81"/>
      <c r="H475" s="85"/>
      <c r="I475" s="85"/>
      <c r="J475" s="85"/>
      <c r="K475" s="85"/>
      <c r="L475" s="85"/>
      <c r="M475" s="85"/>
      <c r="N475" s="66"/>
      <c r="O475" s="66"/>
      <c r="P475" s="66"/>
      <c r="Q475" s="28"/>
      <c r="R475" s="69" t="str">
        <f>IFERROR(__xludf.DUMMYFUNCTION("IF (OR( Q475 = """" , P475 =""""), """" , IF(Q475 = ""Menos de 1 mês"" , ""antes de ""&amp; TO_TEXT( EDATE(P475, 1)), EDATE(P475,Q475)))"),"")</f>
        <v/>
      </c>
      <c r="S475" s="28"/>
      <c r="T475" s="28"/>
      <c r="U475" s="28"/>
      <c r="V475" s="66"/>
      <c r="W475" s="5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</row>
    <row r="476" ht="60.0" customHeight="1">
      <c r="A476" s="14" t="str">
        <f>if(H476&lt;&gt;"",VLOOKUP(H476,ID!$A$2:$C$999,3,FALSE),"") </f>
        <v/>
      </c>
      <c r="B476" s="15"/>
      <c r="C476" s="16"/>
      <c r="D476" s="89"/>
      <c r="E476" s="89"/>
      <c r="F476" s="85"/>
      <c r="G476" s="81"/>
      <c r="H476" s="85"/>
      <c r="I476" s="85"/>
      <c r="J476" s="85"/>
      <c r="K476" s="85"/>
      <c r="L476" s="85"/>
      <c r="M476" s="85"/>
      <c r="N476" s="66"/>
      <c r="O476" s="66"/>
      <c r="P476" s="66"/>
      <c r="Q476" s="28"/>
      <c r="R476" s="69" t="str">
        <f>IFERROR(__xludf.DUMMYFUNCTION("IF (OR( Q476 = """" , P476 =""""), """" , IF(Q476 = ""Menos de 1 mês"" , ""antes de ""&amp; TO_TEXT( EDATE(P476, 1)), EDATE(P476,Q476)))"),"")</f>
        <v/>
      </c>
      <c r="S476" s="28"/>
      <c r="T476" s="28"/>
      <c r="U476" s="28"/>
      <c r="V476" s="66"/>
      <c r="W476" s="5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</row>
    <row r="477" ht="60.0" customHeight="1">
      <c r="A477" s="14" t="str">
        <f>if(H477&lt;&gt;"",VLOOKUP(H477,ID!$A$2:$C$999,3,FALSE),"") </f>
        <v/>
      </c>
      <c r="B477" s="15"/>
      <c r="C477" s="16"/>
      <c r="D477" s="89"/>
      <c r="E477" s="89"/>
      <c r="F477" s="85"/>
      <c r="G477" s="81"/>
      <c r="H477" s="85"/>
      <c r="I477" s="85"/>
      <c r="J477" s="85"/>
      <c r="K477" s="85"/>
      <c r="L477" s="85"/>
      <c r="M477" s="85"/>
      <c r="N477" s="66"/>
      <c r="O477" s="66"/>
      <c r="P477" s="66"/>
      <c r="Q477" s="28"/>
      <c r="R477" s="69" t="str">
        <f>IFERROR(__xludf.DUMMYFUNCTION("IF (OR( Q477 = """" , P477 =""""), """" , IF(Q477 = ""Menos de 1 mês"" , ""antes de ""&amp; TO_TEXT( EDATE(P477, 1)), EDATE(P477,Q477)))"),"")</f>
        <v/>
      </c>
      <c r="S477" s="28"/>
      <c r="T477" s="28"/>
      <c r="U477" s="28"/>
      <c r="V477" s="66"/>
      <c r="W477" s="5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</row>
    <row r="478" ht="60.0" customHeight="1">
      <c r="A478" s="14" t="str">
        <f>if(H478&lt;&gt;"",VLOOKUP(H478,ID!$A$2:$C$999,3,FALSE),"") </f>
        <v/>
      </c>
      <c r="B478" s="15"/>
      <c r="C478" s="16"/>
      <c r="D478" s="89"/>
      <c r="E478" s="89"/>
      <c r="F478" s="85"/>
      <c r="G478" s="81"/>
      <c r="H478" s="85"/>
      <c r="I478" s="85"/>
      <c r="J478" s="85"/>
      <c r="K478" s="85"/>
      <c r="L478" s="85"/>
      <c r="M478" s="85"/>
      <c r="N478" s="66"/>
      <c r="O478" s="66"/>
      <c r="P478" s="66"/>
      <c r="Q478" s="28"/>
      <c r="R478" s="69" t="str">
        <f>IFERROR(__xludf.DUMMYFUNCTION("IF (OR( Q478 = """" , P478 =""""), """" , IF(Q478 = ""Menos de 1 mês"" , ""antes de ""&amp; TO_TEXT( EDATE(P478, 1)), EDATE(P478,Q478)))"),"")</f>
        <v/>
      </c>
      <c r="S478" s="28"/>
      <c r="T478" s="28"/>
      <c r="U478" s="28"/>
      <c r="V478" s="66"/>
      <c r="W478" s="5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</row>
    <row r="479" ht="60.0" customHeight="1">
      <c r="A479" s="14" t="str">
        <f>if(H479&lt;&gt;"",VLOOKUP(H479,ID!$A$2:$C$999,3,FALSE),"") </f>
        <v/>
      </c>
      <c r="B479" s="15"/>
      <c r="C479" s="16"/>
      <c r="D479" s="89"/>
      <c r="E479" s="89"/>
      <c r="F479" s="85"/>
      <c r="G479" s="81"/>
      <c r="H479" s="85"/>
      <c r="I479" s="85"/>
      <c r="J479" s="85"/>
      <c r="K479" s="85"/>
      <c r="L479" s="85"/>
      <c r="M479" s="85"/>
      <c r="N479" s="66"/>
      <c r="O479" s="66"/>
      <c r="P479" s="66"/>
      <c r="Q479" s="28"/>
      <c r="R479" s="69" t="str">
        <f>IFERROR(__xludf.DUMMYFUNCTION("IF (OR( Q479 = """" , P479 =""""), """" , IF(Q479 = ""Menos de 1 mês"" , ""antes de ""&amp; TO_TEXT( EDATE(P479, 1)), EDATE(P479,Q479)))"),"")</f>
        <v/>
      </c>
      <c r="S479" s="28"/>
      <c r="T479" s="28"/>
      <c r="U479" s="28"/>
      <c r="V479" s="66"/>
      <c r="W479" s="5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</row>
    <row r="480" ht="60.0" customHeight="1">
      <c r="A480" s="14" t="str">
        <f>if(H480&lt;&gt;"",VLOOKUP(H480,ID!$A$2:$C$999,3,FALSE),"") </f>
        <v/>
      </c>
      <c r="B480" s="15"/>
      <c r="C480" s="16"/>
      <c r="D480" s="89"/>
      <c r="E480" s="89"/>
      <c r="F480" s="85"/>
      <c r="G480" s="81"/>
      <c r="H480" s="85"/>
      <c r="I480" s="85"/>
      <c r="J480" s="85"/>
      <c r="K480" s="85"/>
      <c r="L480" s="85"/>
      <c r="M480" s="85"/>
      <c r="N480" s="66"/>
      <c r="O480" s="66"/>
      <c r="P480" s="66"/>
      <c r="Q480" s="28"/>
      <c r="R480" s="69" t="str">
        <f>IFERROR(__xludf.DUMMYFUNCTION("IF (OR( Q480 = """" , P480 =""""), """" , IF(Q480 = ""Menos de 1 mês"" , ""antes de ""&amp; TO_TEXT( EDATE(P480, 1)), EDATE(P480,Q480)))"),"")</f>
        <v/>
      </c>
      <c r="S480" s="28"/>
      <c r="T480" s="28"/>
      <c r="U480" s="28"/>
      <c r="V480" s="66"/>
      <c r="W480" s="5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</row>
    <row r="481" ht="60.0" customHeight="1">
      <c r="A481" s="14" t="str">
        <f>if(H481&lt;&gt;"",VLOOKUP(H481,ID!$A$2:$C$999,3,FALSE),"") </f>
        <v/>
      </c>
      <c r="B481" s="15"/>
      <c r="C481" s="16"/>
      <c r="D481" s="89"/>
      <c r="E481" s="89"/>
      <c r="F481" s="85"/>
      <c r="G481" s="81"/>
      <c r="H481" s="85"/>
      <c r="I481" s="85"/>
      <c r="J481" s="85"/>
      <c r="K481" s="85"/>
      <c r="L481" s="85"/>
      <c r="M481" s="85"/>
      <c r="N481" s="66"/>
      <c r="O481" s="66"/>
      <c r="P481" s="66"/>
      <c r="Q481" s="28"/>
      <c r="R481" s="69" t="str">
        <f>IFERROR(__xludf.DUMMYFUNCTION("IF (OR( Q481 = """" , P481 =""""), """" , IF(Q481 = ""Menos de 1 mês"" , ""antes de ""&amp; TO_TEXT( EDATE(P481, 1)), EDATE(P481,Q481)))"),"")</f>
        <v/>
      </c>
      <c r="S481" s="28"/>
      <c r="T481" s="28"/>
      <c r="U481" s="28"/>
      <c r="V481" s="66"/>
      <c r="W481" s="5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</row>
    <row r="482" ht="60.0" customHeight="1">
      <c r="A482" s="14" t="str">
        <f>if(H482&lt;&gt;"",VLOOKUP(H482,ID!$A$2:$C$999,3,FALSE),"") </f>
        <v/>
      </c>
      <c r="B482" s="15"/>
      <c r="C482" s="16"/>
      <c r="D482" s="89"/>
      <c r="E482" s="89"/>
      <c r="F482" s="85"/>
      <c r="G482" s="81"/>
      <c r="H482" s="85"/>
      <c r="I482" s="85"/>
      <c r="J482" s="85"/>
      <c r="K482" s="85"/>
      <c r="L482" s="85"/>
      <c r="M482" s="85"/>
      <c r="N482" s="66"/>
      <c r="O482" s="66"/>
      <c r="P482" s="66"/>
      <c r="Q482" s="28"/>
      <c r="R482" s="69" t="str">
        <f>IFERROR(__xludf.DUMMYFUNCTION("IF (OR( Q482 = """" , P482 =""""), """" , IF(Q482 = ""Menos de 1 mês"" , ""antes de ""&amp; TO_TEXT( EDATE(P482, 1)), EDATE(P482,Q482)))"),"")</f>
        <v/>
      </c>
      <c r="S482" s="28"/>
      <c r="T482" s="28"/>
      <c r="U482" s="28"/>
      <c r="V482" s="66"/>
      <c r="W482" s="5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</row>
    <row r="483" ht="60.0" customHeight="1">
      <c r="A483" s="14" t="str">
        <f>if(H483&lt;&gt;"",VLOOKUP(H483,ID!$A$2:$C$999,3,FALSE),"") </f>
        <v/>
      </c>
      <c r="B483" s="15"/>
      <c r="C483" s="16"/>
      <c r="D483" s="89"/>
      <c r="E483" s="89"/>
      <c r="F483" s="85"/>
      <c r="G483" s="81"/>
      <c r="H483" s="85"/>
      <c r="I483" s="85"/>
      <c r="J483" s="85"/>
      <c r="K483" s="85"/>
      <c r="L483" s="85"/>
      <c r="M483" s="85"/>
      <c r="N483" s="66"/>
      <c r="O483" s="66"/>
      <c r="P483" s="66"/>
      <c r="Q483" s="28"/>
      <c r="R483" s="69" t="str">
        <f>IFERROR(__xludf.DUMMYFUNCTION("IF (OR( Q483 = """" , P483 =""""), """" , IF(Q483 = ""Menos de 1 mês"" , ""antes de ""&amp; TO_TEXT( EDATE(P483, 1)), EDATE(P483,Q483)))"),"")</f>
        <v/>
      </c>
      <c r="S483" s="28"/>
      <c r="T483" s="28"/>
      <c r="U483" s="28"/>
      <c r="V483" s="66"/>
      <c r="W483" s="5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</row>
    <row r="484" ht="60.0" customHeight="1">
      <c r="A484" s="14" t="str">
        <f>if(H484&lt;&gt;"",VLOOKUP(H484,ID!$A$2:$C$999,3,FALSE),"") </f>
        <v/>
      </c>
      <c r="B484" s="15"/>
      <c r="C484" s="16"/>
      <c r="D484" s="89"/>
      <c r="E484" s="89"/>
      <c r="F484" s="85"/>
      <c r="G484" s="81"/>
      <c r="H484" s="85"/>
      <c r="I484" s="85"/>
      <c r="J484" s="85"/>
      <c r="K484" s="85"/>
      <c r="L484" s="85"/>
      <c r="M484" s="85"/>
      <c r="N484" s="66"/>
      <c r="O484" s="66"/>
      <c r="P484" s="66"/>
      <c r="Q484" s="28"/>
      <c r="R484" s="69" t="str">
        <f>IFERROR(__xludf.DUMMYFUNCTION("IF (OR( Q484 = """" , P484 =""""), """" , IF(Q484 = ""Menos de 1 mês"" , ""antes de ""&amp; TO_TEXT( EDATE(P484, 1)), EDATE(P484,Q484)))"),"")</f>
        <v/>
      </c>
      <c r="S484" s="28"/>
      <c r="T484" s="28"/>
      <c r="U484" s="28"/>
      <c r="V484" s="66"/>
      <c r="W484" s="5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</row>
    <row r="485" ht="60.0" customHeight="1">
      <c r="A485" s="14" t="str">
        <f>if(H485&lt;&gt;"",VLOOKUP(H485,ID!$A$2:$C$999,3,FALSE),"") </f>
        <v/>
      </c>
      <c r="B485" s="15"/>
      <c r="C485" s="16"/>
      <c r="D485" s="89"/>
      <c r="E485" s="89"/>
      <c r="F485" s="85"/>
      <c r="G485" s="81"/>
      <c r="H485" s="85"/>
      <c r="I485" s="85"/>
      <c r="J485" s="85"/>
      <c r="K485" s="85"/>
      <c r="L485" s="85"/>
      <c r="M485" s="85"/>
      <c r="N485" s="66"/>
      <c r="O485" s="66"/>
      <c r="P485" s="66"/>
      <c r="Q485" s="28"/>
      <c r="R485" s="69" t="str">
        <f>IFERROR(__xludf.DUMMYFUNCTION("IF (OR( Q485 = """" , P485 =""""), """" , IF(Q485 = ""Menos de 1 mês"" , ""antes de ""&amp; TO_TEXT( EDATE(P485, 1)), EDATE(P485,Q485)))"),"")</f>
        <v/>
      </c>
      <c r="S485" s="28"/>
      <c r="T485" s="28"/>
      <c r="U485" s="28"/>
      <c r="V485" s="66"/>
      <c r="W485" s="5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</row>
    <row r="486" ht="60.0" customHeight="1">
      <c r="A486" s="14" t="str">
        <f>if(H486&lt;&gt;"",VLOOKUP(H486,ID!$A$2:$C$999,3,FALSE),"") </f>
        <v/>
      </c>
      <c r="B486" s="15"/>
      <c r="C486" s="16"/>
      <c r="D486" s="89"/>
      <c r="E486" s="89"/>
      <c r="F486" s="85"/>
      <c r="G486" s="81"/>
      <c r="H486" s="85"/>
      <c r="I486" s="85"/>
      <c r="J486" s="85"/>
      <c r="K486" s="85"/>
      <c r="L486" s="85"/>
      <c r="M486" s="85"/>
      <c r="N486" s="66"/>
      <c r="O486" s="66"/>
      <c r="P486" s="66"/>
      <c r="Q486" s="28"/>
      <c r="R486" s="69" t="str">
        <f>IFERROR(__xludf.DUMMYFUNCTION("IF (OR( Q486 = """" , P486 =""""), """" , IF(Q486 = ""Menos de 1 mês"" , ""antes de ""&amp; TO_TEXT( EDATE(P486, 1)), EDATE(P486,Q486)))"),"")</f>
        <v/>
      </c>
      <c r="S486" s="28"/>
      <c r="T486" s="28"/>
      <c r="U486" s="28"/>
      <c r="V486" s="66"/>
      <c r="W486" s="5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</row>
    <row r="487" ht="60.0" customHeight="1">
      <c r="A487" s="14" t="str">
        <f>if(H487&lt;&gt;"",VLOOKUP(H487,ID!$A$2:$C$999,3,FALSE),"") </f>
        <v/>
      </c>
      <c r="B487" s="15"/>
      <c r="C487" s="16"/>
      <c r="D487" s="89"/>
      <c r="E487" s="89"/>
      <c r="F487" s="85"/>
      <c r="G487" s="81"/>
      <c r="H487" s="85"/>
      <c r="I487" s="85"/>
      <c r="J487" s="85"/>
      <c r="K487" s="85"/>
      <c r="L487" s="85"/>
      <c r="M487" s="85"/>
      <c r="N487" s="66"/>
      <c r="O487" s="66"/>
      <c r="P487" s="66"/>
      <c r="Q487" s="28"/>
      <c r="R487" s="69" t="str">
        <f>IFERROR(__xludf.DUMMYFUNCTION("IF (OR( Q487 = """" , P487 =""""), """" , IF(Q487 = ""Menos de 1 mês"" , ""antes de ""&amp; TO_TEXT( EDATE(P487, 1)), EDATE(P487,Q487)))"),"")</f>
        <v/>
      </c>
      <c r="S487" s="28"/>
      <c r="T487" s="28"/>
      <c r="U487" s="28"/>
      <c r="V487" s="66"/>
      <c r="W487" s="5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</row>
    <row r="488" ht="60.0" customHeight="1">
      <c r="A488" s="14" t="str">
        <f>if(H488&lt;&gt;"",VLOOKUP(H488,ID!$A$2:$C$999,3,FALSE),"") </f>
        <v/>
      </c>
      <c r="B488" s="15"/>
      <c r="C488" s="16"/>
      <c r="D488" s="89"/>
      <c r="E488" s="89"/>
      <c r="F488" s="85"/>
      <c r="G488" s="81"/>
      <c r="H488" s="85"/>
      <c r="I488" s="85"/>
      <c r="J488" s="85"/>
      <c r="K488" s="85"/>
      <c r="L488" s="85"/>
      <c r="M488" s="85"/>
      <c r="N488" s="66"/>
      <c r="O488" s="66"/>
      <c r="P488" s="66"/>
      <c r="Q488" s="28"/>
      <c r="R488" s="69" t="str">
        <f>IFERROR(__xludf.DUMMYFUNCTION("IF (OR( Q488 = """" , P488 =""""), """" , IF(Q488 = ""Menos de 1 mês"" , ""antes de ""&amp; TO_TEXT( EDATE(P488, 1)), EDATE(P488,Q488)))"),"")</f>
        <v/>
      </c>
      <c r="S488" s="28"/>
      <c r="T488" s="28"/>
      <c r="U488" s="28"/>
      <c r="V488" s="66"/>
      <c r="W488" s="5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</row>
    <row r="489" ht="60.0" customHeight="1">
      <c r="A489" s="14" t="str">
        <f>if(H489&lt;&gt;"",VLOOKUP(H489,ID!$A$2:$C$999,3,FALSE),"") </f>
        <v/>
      </c>
      <c r="B489" s="15"/>
      <c r="C489" s="16"/>
      <c r="D489" s="89"/>
      <c r="E489" s="89"/>
      <c r="F489" s="85"/>
      <c r="G489" s="81"/>
      <c r="H489" s="85"/>
      <c r="I489" s="85"/>
      <c r="J489" s="85"/>
      <c r="K489" s="85"/>
      <c r="L489" s="85"/>
      <c r="M489" s="85"/>
      <c r="N489" s="66"/>
      <c r="O489" s="66"/>
      <c r="P489" s="66"/>
      <c r="Q489" s="28"/>
      <c r="R489" s="69" t="str">
        <f>IFERROR(__xludf.DUMMYFUNCTION("IF (OR( Q489 = """" , P489 =""""), """" , IF(Q489 = ""Menos de 1 mês"" , ""antes de ""&amp; TO_TEXT( EDATE(P489, 1)), EDATE(P489,Q489)))"),"")</f>
        <v/>
      </c>
      <c r="S489" s="28"/>
      <c r="T489" s="28"/>
      <c r="U489" s="28"/>
      <c r="V489" s="66"/>
      <c r="W489" s="5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</row>
    <row r="490" ht="60.0" customHeight="1">
      <c r="A490" s="14" t="str">
        <f>if(H490&lt;&gt;"",VLOOKUP(H490,ID!$A$2:$C$999,3,FALSE),"") </f>
        <v/>
      </c>
      <c r="B490" s="15"/>
      <c r="C490" s="16"/>
      <c r="D490" s="89"/>
      <c r="E490" s="89"/>
      <c r="F490" s="85"/>
      <c r="G490" s="81"/>
      <c r="H490" s="85"/>
      <c r="I490" s="85"/>
      <c r="J490" s="85"/>
      <c r="K490" s="85"/>
      <c r="L490" s="85"/>
      <c r="M490" s="85"/>
      <c r="N490" s="66"/>
      <c r="O490" s="66"/>
      <c r="P490" s="66"/>
      <c r="Q490" s="28"/>
      <c r="R490" s="69" t="str">
        <f>IFERROR(__xludf.DUMMYFUNCTION("IF (OR( Q490 = """" , P490 =""""), """" , IF(Q490 = ""Menos de 1 mês"" , ""antes de ""&amp; TO_TEXT( EDATE(P490, 1)), EDATE(P490,Q490)))"),"")</f>
        <v/>
      </c>
      <c r="S490" s="28"/>
      <c r="T490" s="28"/>
      <c r="U490" s="28"/>
      <c r="V490" s="66"/>
      <c r="W490" s="5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</row>
    <row r="491" ht="60.0" customHeight="1">
      <c r="A491" s="14" t="str">
        <f>if(H491&lt;&gt;"",VLOOKUP(H491,ID!$A$2:$C$999,3,FALSE),"") </f>
        <v/>
      </c>
      <c r="B491" s="15"/>
      <c r="C491" s="16"/>
      <c r="D491" s="89"/>
      <c r="E491" s="89"/>
      <c r="F491" s="85"/>
      <c r="G491" s="81"/>
      <c r="H491" s="85"/>
      <c r="I491" s="85"/>
      <c r="J491" s="85"/>
      <c r="K491" s="85"/>
      <c r="L491" s="85"/>
      <c r="M491" s="85"/>
      <c r="N491" s="66"/>
      <c r="O491" s="66"/>
      <c r="P491" s="66"/>
      <c r="Q491" s="28"/>
      <c r="R491" s="69" t="str">
        <f>IFERROR(__xludf.DUMMYFUNCTION("IF (OR( Q491 = """" , P491 =""""), """" , IF(Q491 = ""Menos de 1 mês"" , ""antes de ""&amp; TO_TEXT( EDATE(P491, 1)), EDATE(P491,Q491)))"),"")</f>
        <v/>
      </c>
      <c r="S491" s="28"/>
      <c r="T491" s="28"/>
      <c r="U491" s="28"/>
      <c r="V491" s="66"/>
      <c r="W491" s="5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</row>
    <row r="492" ht="60.0" customHeight="1">
      <c r="A492" s="14" t="str">
        <f>if(H492&lt;&gt;"",VLOOKUP(H492,ID!$A$2:$C$999,3,FALSE),"") </f>
        <v/>
      </c>
      <c r="B492" s="15"/>
      <c r="C492" s="16"/>
      <c r="D492" s="89"/>
      <c r="E492" s="89"/>
      <c r="F492" s="85"/>
      <c r="G492" s="81"/>
      <c r="H492" s="85"/>
      <c r="I492" s="85"/>
      <c r="J492" s="85"/>
      <c r="K492" s="85"/>
      <c r="L492" s="85"/>
      <c r="M492" s="85"/>
      <c r="N492" s="66"/>
      <c r="O492" s="66"/>
      <c r="P492" s="66"/>
      <c r="Q492" s="28"/>
      <c r="R492" s="69" t="str">
        <f>IFERROR(__xludf.DUMMYFUNCTION("IF (OR( Q492 = """" , P492 =""""), """" , IF(Q492 = ""Menos de 1 mês"" , ""antes de ""&amp; TO_TEXT( EDATE(P492, 1)), EDATE(P492,Q492)))"),"")</f>
        <v/>
      </c>
      <c r="S492" s="28"/>
      <c r="T492" s="28"/>
      <c r="U492" s="28"/>
      <c r="V492" s="66"/>
      <c r="W492" s="5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</row>
    <row r="493" ht="60.0" customHeight="1">
      <c r="A493" s="14" t="str">
        <f>if(H493&lt;&gt;"",VLOOKUP(H493,ID!$A$2:$C$999,3,FALSE),"") </f>
        <v/>
      </c>
      <c r="B493" s="15"/>
      <c r="C493" s="16"/>
      <c r="D493" s="89"/>
      <c r="E493" s="89"/>
      <c r="F493" s="85"/>
      <c r="G493" s="81"/>
      <c r="H493" s="85"/>
      <c r="I493" s="85"/>
      <c r="J493" s="85"/>
      <c r="K493" s="85"/>
      <c r="L493" s="85"/>
      <c r="M493" s="85"/>
      <c r="N493" s="66"/>
      <c r="O493" s="66"/>
      <c r="P493" s="66"/>
      <c r="Q493" s="28"/>
      <c r="R493" s="69" t="str">
        <f>IFERROR(__xludf.DUMMYFUNCTION("IF (OR( Q493 = """" , P493 =""""), """" , IF(Q493 = ""Menos de 1 mês"" , ""antes de ""&amp; TO_TEXT( EDATE(P493, 1)), EDATE(P493,Q493)))"),"")</f>
        <v/>
      </c>
      <c r="S493" s="28"/>
      <c r="T493" s="28"/>
      <c r="U493" s="28"/>
      <c r="V493" s="66"/>
      <c r="W493" s="5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</row>
    <row r="494" ht="60.0" customHeight="1">
      <c r="A494" s="14" t="str">
        <f>if(H494&lt;&gt;"",VLOOKUP(H494,ID!$A$2:$C$999,3,FALSE),"") </f>
        <v/>
      </c>
      <c r="B494" s="15"/>
      <c r="C494" s="16"/>
      <c r="D494" s="89"/>
      <c r="E494" s="89"/>
      <c r="F494" s="85"/>
      <c r="G494" s="81"/>
      <c r="H494" s="85"/>
      <c r="I494" s="85"/>
      <c r="J494" s="85"/>
      <c r="K494" s="85"/>
      <c r="L494" s="85"/>
      <c r="M494" s="85"/>
      <c r="N494" s="66"/>
      <c r="O494" s="66"/>
      <c r="P494" s="66"/>
      <c r="Q494" s="28"/>
      <c r="R494" s="69" t="str">
        <f>IFERROR(__xludf.DUMMYFUNCTION("IF (OR( Q494 = """" , P494 =""""), """" , IF(Q494 = ""Menos de 1 mês"" , ""antes de ""&amp; TO_TEXT( EDATE(P494, 1)), EDATE(P494,Q494)))"),"")</f>
        <v/>
      </c>
      <c r="S494" s="28"/>
      <c r="T494" s="28"/>
      <c r="U494" s="28"/>
      <c r="V494" s="66"/>
      <c r="W494" s="5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</row>
    <row r="495" ht="60.0" customHeight="1">
      <c r="A495" s="14" t="str">
        <f>if(H495&lt;&gt;"",VLOOKUP(H495,ID!$A$2:$C$999,3,FALSE),"") </f>
        <v/>
      </c>
      <c r="B495" s="15"/>
      <c r="C495" s="16"/>
      <c r="D495" s="89"/>
      <c r="E495" s="89"/>
      <c r="F495" s="85"/>
      <c r="G495" s="81"/>
      <c r="H495" s="85"/>
      <c r="I495" s="85"/>
      <c r="J495" s="85"/>
      <c r="K495" s="85"/>
      <c r="L495" s="85"/>
      <c r="M495" s="85"/>
      <c r="N495" s="66"/>
      <c r="O495" s="66"/>
      <c r="P495" s="66"/>
      <c r="Q495" s="28"/>
      <c r="R495" s="69" t="str">
        <f>IFERROR(__xludf.DUMMYFUNCTION("IF (OR( Q495 = """" , P495 =""""), """" , IF(Q495 = ""Menos de 1 mês"" , ""antes de ""&amp; TO_TEXT( EDATE(P495, 1)), EDATE(P495,Q495)))"),"")</f>
        <v/>
      </c>
      <c r="S495" s="28"/>
      <c r="T495" s="28"/>
      <c r="U495" s="28"/>
      <c r="V495" s="66"/>
      <c r="W495" s="5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</row>
    <row r="496" ht="60.0" customHeight="1">
      <c r="A496" s="14" t="str">
        <f>if(H496&lt;&gt;"",VLOOKUP(H496,ID!$A$2:$C$999,3,FALSE),"") </f>
        <v/>
      </c>
      <c r="B496" s="15"/>
      <c r="C496" s="16"/>
      <c r="D496" s="89"/>
      <c r="E496" s="89"/>
      <c r="F496" s="85"/>
      <c r="G496" s="81"/>
      <c r="H496" s="85"/>
      <c r="I496" s="85"/>
      <c r="J496" s="85"/>
      <c r="K496" s="85"/>
      <c r="L496" s="85"/>
      <c r="M496" s="85"/>
      <c r="N496" s="66"/>
      <c r="O496" s="66"/>
      <c r="P496" s="66"/>
      <c r="Q496" s="28"/>
      <c r="R496" s="69" t="str">
        <f>IFERROR(__xludf.DUMMYFUNCTION("IF (OR( Q496 = """" , P496 =""""), """" , IF(Q496 = ""Menos de 1 mês"" , ""antes de ""&amp; TO_TEXT( EDATE(P496, 1)), EDATE(P496,Q496)))"),"")</f>
        <v/>
      </c>
      <c r="S496" s="28"/>
      <c r="T496" s="28"/>
      <c r="U496" s="28"/>
      <c r="V496" s="66"/>
      <c r="W496" s="5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</row>
    <row r="497" ht="60.0" customHeight="1">
      <c r="A497" s="14" t="str">
        <f>if(H497&lt;&gt;"",VLOOKUP(H497,ID!$A$2:$C$999,3,FALSE),"") </f>
        <v/>
      </c>
      <c r="B497" s="15"/>
      <c r="C497" s="16"/>
      <c r="D497" s="89"/>
      <c r="E497" s="89"/>
      <c r="F497" s="85"/>
      <c r="G497" s="81"/>
      <c r="H497" s="85"/>
      <c r="I497" s="85"/>
      <c r="J497" s="85"/>
      <c r="K497" s="85"/>
      <c r="L497" s="85"/>
      <c r="M497" s="85"/>
      <c r="N497" s="66"/>
      <c r="O497" s="66"/>
      <c r="P497" s="66"/>
      <c r="Q497" s="28"/>
      <c r="R497" s="69" t="str">
        <f>IFERROR(__xludf.DUMMYFUNCTION("IF (OR( Q497 = """" , P497 =""""), """" , IF(Q497 = ""Menos de 1 mês"" , ""antes de ""&amp; TO_TEXT( EDATE(P497, 1)), EDATE(P497,Q497)))"),"")</f>
        <v/>
      </c>
      <c r="S497" s="28"/>
      <c r="T497" s="28"/>
      <c r="U497" s="28"/>
      <c r="V497" s="66"/>
      <c r="W497" s="5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</row>
    <row r="498" ht="60.0" customHeight="1">
      <c r="A498" s="14" t="str">
        <f>if(H498&lt;&gt;"",VLOOKUP(H498,ID!$A$2:$C$999,3,FALSE),"") </f>
        <v/>
      </c>
      <c r="B498" s="15"/>
      <c r="C498" s="16"/>
      <c r="D498" s="89"/>
      <c r="E498" s="89"/>
      <c r="F498" s="85"/>
      <c r="G498" s="81"/>
      <c r="H498" s="85"/>
      <c r="I498" s="85"/>
      <c r="J498" s="85"/>
      <c r="K498" s="85"/>
      <c r="L498" s="85"/>
      <c r="M498" s="85"/>
      <c r="N498" s="66"/>
      <c r="O498" s="66"/>
      <c r="P498" s="66"/>
      <c r="Q498" s="28"/>
      <c r="R498" s="69" t="str">
        <f>IFERROR(__xludf.DUMMYFUNCTION("IF (OR( Q498 = """" , P498 =""""), """" , IF(Q498 = ""Menos de 1 mês"" , ""antes de ""&amp; TO_TEXT( EDATE(P498, 1)), EDATE(P498,Q498)))"),"")</f>
        <v/>
      </c>
      <c r="S498" s="28"/>
      <c r="T498" s="28"/>
      <c r="U498" s="28"/>
      <c r="V498" s="66"/>
      <c r="W498" s="5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</row>
    <row r="499" ht="60.0" customHeight="1">
      <c r="A499" s="14" t="str">
        <f>if(H499&lt;&gt;"",VLOOKUP(H499,ID!$A$2:$C$999,3,FALSE),"") </f>
        <v/>
      </c>
      <c r="B499" s="15"/>
      <c r="C499" s="16"/>
      <c r="D499" s="89"/>
      <c r="E499" s="89"/>
      <c r="F499" s="85"/>
      <c r="G499" s="81"/>
      <c r="H499" s="85"/>
      <c r="I499" s="85"/>
      <c r="J499" s="85"/>
      <c r="K499" s="85"/>
      <c r="L499" s="85"/>
      <c r="M499" s="85"/>
      <c r="N499" s="66"/>
      <c r="O499" s="66"/>
      <c r="P499" s="66"/>
      <c r="Q499" s="28"/>
      <c r="R499" s="69" t="str">
        <f>IFERROR(__xludf.DUMMYFUNCTION("IF (OR( Q499 = """" , P499 =""""), """" , IF(Q499 = ""Menos de 1 mês"" , ""antes de ""&amp; TO_TEXT( EDATE(P499, 1)), EDATE(P499,Q499)))"),"")</f>
        <v/>
      </c>
      <c r="S499" s="28"/>
      <c r="T499" s="28"/>
      <c r="U499" s="28"/>
      <c r="V499" s="66"/>
      <c r="W499" s="5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</row>
    <row r="500" ht="60.0" customHeight="1">
      <c r="A500" s="14" t="str">
        <f>if(H500&lt;&gt;"",VLOOKUP(H500,ID!$A$2:$C$999,3,FALSE),"") </f>
        <v/>
      </c>
      <c r="B500" s="15"/>
      <c r="C500" s="16"/>
      <c r="D500" s="89"/>
      <c r="E500" s="89"/>
      <c r="F500" s="85"/>
      <c r="G500" s="81"/>
      <c r="H500" s="85"/>
      <c r="I500" s="85"/>
      <c r="J500" s="85"/>
      <c r="K500" s="85"/>
      <c r="L500" s="85"/>
      <c r="M500" s="85"/>
      <c r="N500" s="66"/>
      <c r="O500" s="66"/>
      <c r="P500" s="66"/>
      <c r="Q500" s="28"/>
      <c r="R500" s="69" t="str">
        <f>IFERROR(__xludf.DUMMYFUNCTION("IF (OR( Q500 = """" , P500 =""""), """" , IF(Q500 = ""Menos de 1 mês"" , ""antes de ""&amp; TO_TEXT( EDATE(P500, 1)), EDATE(P500,Q500)))"),"")</f>
        <v/>
      </c>
      <c r="S500" s="28"/>
      <c r="T500" s="28"/>
      <c r="U500" s="28"/>
      <c r="V500" s="66"/>
      <c r="W500" s="5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</row>
    <row r="501" ht="60.0" customHeight="1">
      <c r="A501" s="14" t="str">
        <f>if(H501&lt;&gt;"",VLOOKUP(H501,ID!$A$2:$C$999,3,FALSE),"") </f>
        <v/>
      </c>
      <c r="B501" s="15"/>
      <c r="C501" s="16"/>
      <c r="D501" s="89"/>
      <c r="E501" s="89"/>
      <c r="F501" s="85"/>
      <c r="G501" s="81"/>
      <c r="H501" s="85"/>
      <c r="I501" s="85"/>
      <c r="J501" s="85"/>
      <c r="K501" s="85"/>
      <c r="L501" s="85"/>
      <c r="M501" s="85"/>
      <c r="N501" s="66"/>
      <c r="O501" s="66"/>
      <c r="P501" s="66"/>
      <c r="Q501" s="28"/>
      <c r="R501" s="69" t="str">
        <f>IFERROR(__xludf.DUMMYFUNCTION("IF (OR( Q501 = """" , P501 =""""), """" , IF(Q501 = ""Menos de 1 mês"" , ""antes de ""&amp; TO_TEXT( EDATE(P501, 1)), EDATE(P501,Q501)))"),"")</f>
        <v/>
      </c>
      <c r="S501" s="28"/>
      <c r="T501" s="28"/>
      <c r="U501" s="28"/>
      <c r="V501" s="66"/>
      <c r="W501" s="5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</row>
    <row r="502" ht="60.0" customHeight="1">
      <c r="A502" s="14" t="str">
        <f>if(H502&lt;&gt;"",VLOOKUP(H502,ID!$A$2:$C$999,3,FALSE),"") </f>
        <v/>
      </c>
      <c r="B502" s="15"/>
      <c r="C502" s="16"/>
      <c r="D502" s="89"/>
      <c r="E502" s="89"/>
      <c r="F502" s="85"/>
      <c r="G502" s="81"/>
      <c r="H502" s="85"/>
      <c r="I502" s="85"/>
      <c r="J502" s="85"/>
      <c r="K502" s="85"/>
      <c r="L502" s="85"/>
      <c r="M502" s="85"/>
      <c r="N502" s="66"/>
      <c r="O502" s="66"/>
      <c r="P502" s="66"/>
      <c r="Q502" s="28"/>
      <c r="R502" s="69" t="str">
        <f>IFERROR(__xludf.DUMMYFUNCTION("IF (OR( Q502 = """" , P502 =""""), """" , IF(Q502 = ""Menos de 1 mês"" , ""antes de ""&amp; TO_TEXT( EDATE(P502, 1)), EDATE(P502,Q502)))"),"")</f>
        <v/>
      </c>
      <c r="S502" s="28"/>
      <c r="T502" s="28"/>
      <c r="U502" s="28"/>
      <c r="V502" s="66"/>
      <c r="W502" s="5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</row>
    <row r="503" ht="60.0" customHeight="1">
      <c r="A503" s="14" t="str">
        <f>if(H503&lt;&gt;"",VLOOKUP(H503,ID!$A$2:$C$999,3,FALSE),"") </f>
        <v/>
      </c>
      <c r="B503" s="15"/>
      <c r="C503" s="16"/>
      <c r="D503" s="89"/>
      <c r="E503" s="89"/>
      <c r="F503" s="85"/>
      <c r="G503" s="81"/>
      <c r="H503" s="85"/>
      <c r="I503" s="85"/>
      <c r="J503" s="85"/>
      <c r="K503" s="85"/>
      <c r="L503" s="85"/>
      <c r="M503" s="85"/>
      <c r="N503" s="66"/>
      <c r="O503" s="66"/>
      <c r="P503" s="66"/>
      <c r="Q503" s="28"/>
      <c r="R503" s="69" t="str">
        <f>IFERROR(__xludf.DUMMYFUNCTION("IF (OR( Q503 = """" , P503 =""""), """" , IF(Q503 = ""Menos de 1 mês"" , ""antes de ""&amp; TO_TEXT( EDATE(P503, 1)), EDATE(P503,Q503)))"),"")</f>
        <v/>
      </c>
      <c r="S503" s="28"/>
      <c r="T503" s="28"/>
      <c r="U503" s="28"/>
      <c r="V503" s="66"/>
      <c r="W503" s="5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</row>
    <row r="504" ht="60.0" customHeight="1">
      <c r="A504" s="14" t="str">
        <f>if(H504&lt;&gt;"",VLOOKUP(H504,ID!$A$2:$C$999,3,FALSE),"") </f>
        <v/>
      </c>
      <c r="B504" s="15"/>
      <c r="C504" s="16"/>
      <c r="D504" s="89"/>
      <c r="E504" s="89"/>
      <c r="F504" s="85"/>
      <c r="G504" s="81"/>
      <c r="H504" s="85"/>
      <c r="I504" s="85"/>
      <c r="J504" s="85"/>
      <c r="K504" s="85"/>
      <c r="L504" s="85"/>
      <c r="M504" s="85"/>
      <c r="N504" s="66"/>
      <c r="O504" s="66"/>
      <c r="P504" s="66"/>
      <c r="Q504" s="28"/>
      <c r="R504" s="69" t="str">
        <f>IFERROR(__xludf.DUMMYFUNCTION("IF (OR( Q504 = """" , P504 =""""), """" , IF(Q504 = ""Menos de 1 mês"" , ""antes de ""&amp; TO_TEXT( EDATE(P504, 1)), EDATE(P504,Q504)))"),"")</f>
        <v/>
      </c>
      <c r="S504" s="28"/>
      <c r="T504" s="28"/>
      <c r="U504" s="28"/>
      <c r="V504" s="66"/>
      <c r="W504" s="5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</row>
    <row r="505" ht="60.0" customHeight="1">
      <c r="A505" s="14" t="str">
        <f>if(H505&lt;&gt;"",VLOOKUP(H505,ID!$A$2:$C$999,3,FALSE),"") </f>
        <v/>
      </c>
      <c r="B505" s="15"/>
      <c r="C505" s="16"/>
      <c r="D505" s="89"/>
      <c r="E505" s="89"/>
      <c r="F505" s="85"/>
      <c r="G505" s="81"/>
      <c r="H505" s="85"/>
      <c r="I505" s="85"/>
      <c r="J505" s="85"/>
      <c r="K505" s="85"/>
      <c r="L505" s="85"/>
      <c r="M505" s="85"/>
      <c r="N505" s="66"/>
      <c r="O505" s="66"/>
      <c r="P505" s="66"/>
      <c r="Q505" s="28"/>
      <c r="R505" s="69" t="str">
        <f>IFERROR(__xludf.DUMMYFUNCTION("IF (OR( Q505 = """" , P505 =""""), """" , IF(Q505 = ""Menos de 1 mês"" , ""antes de ""&amp; TO_TEXT( EDATE(P505, 1)), EDATE(P505,Q505)))"),"")</f>
        <v/>
      </c>
      <c r="S505" s="28"/>
      <c r="T505" s="28"/>
      <c r="U505" s="28"/>
      <c r="V505" s="66"/>
      <c r="W505" s="5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</row>
    <row r="506" ht="60.0" customHeight="1">
      <c r="A506" s="14" t="str">
        <f>if(H506&lt;&gt;"",VLOOKUP(H506,ID!$A$2:$C$999,3,FALSE),"") </f>
        <v/>
      </c>
      <c r="B506" s="15"/>
      <c r="C506" s="16"/>
      <c r="D506" s="89"/>
      <c r="E506" s="89"/>
      <c r="F506" s="85"/>
      <c r="G506" s="81"/>
      <c r="H506" s="85"/>
      <c r="I506" s="85"/>
      <c r="J506" s="85"/>
      <c r="K506" s="85"/>
      <c r="L506" s="85"/>
      <c r="M506" s="85"/>
      <c r="N506" s="66"/>
      <c r="O506" s="66"/>
      <c r="P506" s="66"/>
      <c r="Q506" s="28"/>
      <c r="R506" s="69" t="str">
        <f>IFERROR(__xludf.DUMMYFUNCTION("IF (OR( Q506 = """" , P506 =""""), """" , IF(Q506 = ""Menos de 1 mês"" , ""antes de ""&amp; TO_TEXT( EDATE(P506, 1)), EDATE(P506,Q506)))"),"")</f>
        <v/>
      </c>
      <c r="S506" s="28"/>
      <c r="T506" s="28"/>
      <c r="U506" s="28"/>
      <c r="V506" s="66"/>
      <c r="W506" s="5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</row>
    <row r="507" ht="60.0" customHeight="1">
      <c r="A507" s="14" t="str">
        <f>if(H507&lt;&gt;"",VLOOKUP(H507,ID!$A$2:$C$999,3,FALSE),"") </f>
        <v/>
      </c>
      <c r="B507" s="15"/>
      <c r="C507" s="16"/>
      <c r="D507" s="89"/>
      <c r="E507" s="89"/>
      <c r="F507" s="85"/>
      <c r="G507" s="81"/>
      <c r="H507" s="85"/>
      <c r="I507" s="85"/>
      <c r="J507" s="85"/>
      <c r="K507" s="85"/>
      <c r="L507" s="85"/>
      <c r="M507" s="85"/>
      <c r="N507" s="66"/>
      <c r="O507" s="66"/>
      <c r="P507" s="66"/>
      <c r="Q507" s="28"/>
      <c r="R507" s="69" t="str">
        <f>IFERROR(__xludf.DUMMYFUNCTION("IF (OR( Q507 = """" , P507 =""""), """" , IF(Q507 = ""Menos de 1 mês"" , ""antes de ""&amp; TO_TEXT( EDATE(P507, 1)), EDATE(P507,Q507)))"),"")</f>
        <v/>
      </c>
      <c r="S507" s="28"/>
      <c r="T507" s="28"/>
      <c r="U507" s="28"/>
      <c r="V507" s="66"/>
      <c r="W507" s="5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</row>
    <row r="508" ht="60.0" customHeight="1">
      <c r="A508" s="14" t="str">
        <f>if(H508&lt;&gt;"",VLOOKUP(H508,ID!$A$2:$C$999,3,FALSE),"") </f>
        <v/>
      </c>
      <c r="B508" s="15"/>
      <c r="C508" s="16"/>
      <c r="D508" s="89"/>
      <c r="E508" s="89"/>
      <c r="F508" s="85"/>
      <c r="G508" s="81"/>
      <c r="H508" s="85"/>
      <c r="I508" s="85"/>
      <c r="J508" s="85"/>
      <c r="K508" s="85"/>
      <c r="L508" s="85"/>
      <c r="M508" s="85"/>
      <c r="N508" s="66"/>
      <c r="O508" s="66"/>
      <c r="P508" s="66"/>
      <c r="Q508" s="28"/>
      <c r="R508" s="69" t="str">
        <f>IFERROR(__xludf.DUMMYFUNCTION("IF (OR( Q508 = """" , P508 =""""), """" , IF(Q508 = ""Menos de 1 mês"" , ""antes de ""&amp; TO_TEXT( EDATE(P508, 1)), EDATE(P508,Q508)))"),"")</f>
        <v/>
      </c>
      <c r="S508" s="28"/>
      <c r="T508" s="28"/>
      <c r="U508" s="28"/>
      <c r="V508" s="66"/>
      <c r="W508" s="5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</row>
    <row r="509" ht="60.0" customHeight="1">
      <c r="A509" s="14" t="str">
        <f>if(H509&lt;&gt;"",VLOOKUP(H509,ID!$A$2:$C$999,3,FALSE),"") </f>
        <v/>
      </c>
      <c r="B509" s="15"/>
      <c r="C509" s="16"/>
      <c r="D509" s="89"/>
      <c r="E509" s="89"/>
      <c r="F509" s="85"/>
      <c r="G509" s="81"/>
      <c r="H509" s="85"/>
      <c r="I509" s="85"/>
      <c r="J509" s="85"/>
      <c r="K509" s="85"/>
      <c r="L509" s="85"/>
      <c r="M509" s="85"/>
      <c r="N509" s="66"/>
      <c r="O509" s="66"/>
      <c r="P509" s="66"/>
      <c r="Q509" s="28"/>
      <c r="R509" s="69" t="str">
        <f>IFERROR(__xludf.DUMMYFUNCTION("IF (OR( Q509 = """" , P509 =""""), """" , IF(Q509 = ""Menos de 1 mês"" , ""antes de ""&amp; TO_TEXT( EDATE(P509, 1)), EDATE(P509,Q509)))"),"")</f>
        <v/>
      </c>
      <c r="S509" s="28"/>
      <c r="T509" s="28"/>
      <c r="U509" s="28"/>
      <c r="V509" s="66"/>
      <c r="W509" s="5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</row>
    <row r="510" ht="60.0" customHeight="1">
      <c r="A510" s="14" t="str">
        <f>if(H510&lt;&gt;"",VLOOKUP(H510,ID!$A$2:$C$999,3,FALSE),"") </f>
        <v/>
      </c>
      <c r="B510" s="15"/>
      <c r="C510" s="16"/>
      <c r="D510" s="89"/>
      <c r="E510" s="89"/>
      <c r="F510" s="85"/>
      <c r="G510" s="81"/>
      <c r="H510" s="85"/>
      <c r="I510" s="85"/>
      <c r="J510" s="85"/>
      <c r="K510" s="85"/>
      <c r="L510" s="85"/>
      <c r="M510" s="85"/>
      <c r="N510" s="66"/>
      <c r="O510" s="66"/>
      <c r="P510" s="66"/>
      <c r="Q510" s="28"/>
      <c r="R510" s="69" t="str">
        <f>IFERROR(__xludf.DUMMYFUNCTION("IF (OR( Q510 = """" , P510 =""""), """" , IF(Q510 = ""Menos de 1 mês"" , ""antes de ""&amp; TO_TEXT( EDATE(P510, 1)), EDATE(P510,Q510)))"),"")</f>
        <v/>
      </c>
      <c r="S510" s="28"/>
      <c r="T510" s="28"/>
      <c r="U510" s="28"/>
      <c r="V510" s="66"/>
      <c r="W510" s="5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</row>
    <row r="511" ht="60.0" customHeight="1">
      <c r="A511" s="14" t="str">
        <f>if(H511&lt;&gt;"",VLOOKUP(H511,ID!$A$2:$C$999,3,FALSE),"") </f>
        <v/>
      </c>
      <c r="B511" s="15"/>
      <c r="C511" s="16"/>
      <c r="D511" s="89"/>
      <c r="E511" s="89"/>
      <c r="F511" s="85"/>
      <c r="G511" s="81"/>
      <c r="H511" s="85"/>
      <c r="I511" s="85"/>
      <c r="J511" s="85"/>
      <c r="K511" s="85"/>
      <c r="L511" s="85"/>
      <c r="M511" s="85"/>
      <c r="N511" s="66"/>
      <c r="O511" s="66"/>
      <c r="P511" s="66"/>
      <c r="Q511" s="28"/>
      <c r="R511" s="69" t="str">
        <f>IFERROR(__xludf.DUMMYFUNCTION("IF (OR( Q511 = """" , P511 =""""), """" , IF(Q511 = ""Menos de 1 mês"" , ""antes de ""&amp; TO_TEXT( EDATE(P511, 1)), EDATE(P511,Q511)))"),"")</f>
        <v/>
      </c>
      <c r="S511" s="28"/>
      <c r="T511" s="28"/>
      <c r="U511" s="28"/>
      <c r="V511" s="66"/>
      <c r="W511" s="5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</row>
    <row r="512" ht="60.0" customHeight="1">
      <c r="A512" s="14" t="str">
        <f>if(H512&lt;&gt;"",VLOOKUP(H512,ID!$A$2:$C$999,3,FALSE),"") </f>
        <v/>
      </c>
      <c r="B512" s="15"/>
      <c r="C512" s="16"/>
      <c r="D512" s="89"/>
      <c r="E512" s="89"/>
      <c r="F512" s="85"/>
      <c r="G512" s="81"/>
      <c r="H512" s="85"/>
      <c r="I512" s="85"/>
      <c r="J512" s="85"/>
      <c r="K512" s="85"/>
      <c r="L512" s="85"/>
      <c r="M512" s="85"/>
      <c r="N512" s="66"/>
      <c r="O512" s="66"/>
      <c r="P512" s="66"/>
      <c r="Q512" s="28"/>
      <c r="R512" s="69" t="str">
        <f>IFERROR(__xludf.DUMMYFUNCTION("IF (OR( Q512 = """" , P512 =""""), """" , IF(Q512 = ""Menos de 1 mês"" , ""antes de ""&amp; TO_TEXT( EDATE(P512, 1)), EDATE(P512,Q512)))"),"")</f>
        <v/>
      </c>
      <c r="S512" s="28"/>
      <c r="T512" s="28"/>
      <c r="U512" s="28"/>
      <c r="V512" s="66"/>
      <c r="W512" s="5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</row>
    <row r="513" ht="60.0" customHeight="1">
      <c r="A513" s="14" t="str">
        <f>if(H513&lt;&gt;"",VLOOKUP(H513,ID!$A$2:$C$999,3,FALSE),"") </f>
        <v/>
      </c>
      <c r="B513" s="15"/>
      <c r="C513" s="16"/>
      <c r="D513" s="89"/>
      <c r="E513" s="89"/>
      <c r="F513" s="85"/>
      <c r="G513" s="81"/>
      <c r="H513" s="85"/>
      <c r="I513" s="85"/>
      <c r="J513" s="85"/>
      <c r="K513" s="85"/>
      <c r="L513" s="85"/>
      <c r="M513" s="85"/>
      <c r="N513" s="66"/>
      <c r="O513" s="66"/>
      <c r="P513" s="66"/>
      <c r="Q513" s="28"/>
      <c r="R513" s="69" t="str">
        <f>IFERROR(__xludf.DUMMYFUNCTION("IF (OR( Q513 = """" , P513 =""""), """" , IF(Q513 = ""Menos de 1 mês"" , ""antes de ""&amp; TO_TEXT( EDATE(P513, 1)), EDATE(P513,Q513)))"),"")</f>
        <v/>
      </c>
      <c r="S513" s="28"/>
      <c r="T513" s="28"/>
      <c r="U513" s="28"/>
      <c r="V513" s="66"/>
      <c r="W513" s="5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</row>
    <row r="514" ht="60.0" customHeight="1">
      <c r="A514" s="14" t="str">
        <f>if(H514&lt;&gt;"",VLOOKUP(H514,ID!$A$2:$C$999,3,FALSE),"") </f>
        <v/>
      </c>
      <c r="B514" s="15"/>
      <c r="C514" s="16"/>
      <c r="D514" s="89"/>
      <c r="E514" s="89"/>
      <c r="F514" s="85"/>
      <c r="G514" s="81"/>
      <c r="H514" s="85"/>
      <c r="I514" s="85"/>
      <c r="J514" s="85"/>
      <c r="K514" s="85"/>
      <c r="L514" s="85"/>
      <c r="M514" s="85"/>
      <c r="N514" s="66"/>
      <c r="O514" s="66"/>
      <c r="P514" s="66"/>
      <c r="Q514" s="28"/>
      <c r="R514" s="69" t="str">
        <f>IFERROR(__xludf.DUMMYFUNCTION("IF (OR( Q514 = """" , P514 =""""), """" , IF(Q514 = ""Menos de 1 mês"" , ""antes de ""&amp; TO_TEXT( EDATE(P514, 1)), EDATE(P514,Q514)))"),"")</f>
        <v/>
      </c>
      <c r="S514" s="28"/>
      <c r="T514" s="28"/>
      <c r="U514" s="28"/>
      <c r="V514" s="66"/>
      <c r="W514" s="5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</row>
    <row r="515" ht="60.0" customHeight="1">
      <c r="A515" s="14" t="str">
        <f>if(H515&lt;&gt;"",VLOOKUP(H515,ID!$A$2:$C$999,3,FALSE),"") </f>
        <v/>
      </c>
      <c r="B515" s="15"/>
      <c r="C515" s="16"/>
      <c r="D515" s="89"/>
      <c r="E515" s="89"/>
      <c r="F515" s="85"/>
      <c r="G515" s="81"/>
      <c r="H515" s="85"/>
      <c r="I515" s="85"/>
      <c r="J515" s="85"/>
      <c r="K515" s="85"/>
      <c r="L515" s="85"/>
      <c r="M515" s="85"/>
      <c r="N515" s="66"/>
      <c r="O515" s="66"/>
      <c r="P515" s="66"/>
      <c r="Q515" s="28"/>
      <c r="R515" s="69" t="str">
        <f>IFERROR(__xludf.DUMMYFUNCTION("IF (OR( Q515 = """" , P515 =""""), """" , IF(Q515 = ""Menos de 1 mês"" , ""antes de ""&amp; TO_TEXT( EDATE(P515, 1)), EDATE(P515,Q515)))"),"")</f>
        <v/>
      </c>
      <c r="S515" s="28"/>
      <c r="T515" s="28"/>
      <c r="U515" s="28"/>
      <c r="V515" s="66"/>
      <c r="W515" s="5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</row>
    <row r="516" ht="60.0" customHeight="1">
      <c r="A516" s="14" t="str">
        <f>if(H516&lt;&gt;"",VLOOKUP(H516,ID!$A$2:$C$999,3,FALSE),"") </f>
        <v/>
      </c>
      <c r="B516" s="15"/>
      <c r="C516" s="16"/>
      <c r="D516" s="89"/>
      <c r="E516" s="89"/>
      <c r="F516" s="85"/>
      <c r="G516" s="81"/>
      <c r="H516" s="85"/>
      <c r="I516" s="85"/>
      <c r="J516" s="85"/>
      <c r="K516" s="85"/>
      <c r="L516" s="85"/>
      <c r="M516" s="85"/>
      <c r="N516" s="66"/>
      <c r="O516" s="66"/>
      <c r="P516" s="66"/>
      <c r="Q516" s="28"/>
      <c r="R516" s="69" t="str">
        <f>IFERROR(__xludf.DUMMYFUNCTION("IF (OR( Q516 = """" , P516 =""""), """" , IF(Q516 = ""Menos de 1 mês"" , ""antes de ""&amp; TO_TEXT( EDATE(P516, 1)), EDATE(P516,Q516)))"),"")</f>
        <v/>
      </c>
      <c r="S516" s="28"/>
      <c r="T516" s="28"/>
      <c r="U516" s="28"/>
      <c r="V516" s="66"/>
      <c r="W516" s="5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</row>
    <row r="517" ht="60.0" customHeight="1">
      <c r="A517" s="14" t="str">
        <f>if(H517&lt;&gt;"",VLOOKUP(H517,ID!$A$2:$C$999,3,FALSE),"") </f>
        <v/>
      </c>
      <c r="B517" s="15"/>
      <c r="C517" s="16"/>
      <c r="D517" s="89"/>
      <c r="E517" s="89"/>
      <c r="F517" s="85"/>
      <c r="G517" s="81"/>
      <c r="H517" s="85"/>
      <c r="I517" s="85"/>
      <c r="J517" s="85"/>
      <c r="K517" s="85"/>
      <c r="L517" s="85"/>
      <c r="M517" s="85"/>
      <c r="N517" s="66"/>
      <c r="O517" s="66"/>
      <c r="P517" s="66"/>
      <c r="Q517" s="28"/>
      <c r="R517" s="69" t="str">
        <f>IFERROR(__xludf.DUMMYFUNCTION("IF (OR( Q517 = """" , P517 =""""), """" , IF(Q517 = ""Menos de 1 mês"" , ""antes de ""&amp; TO_TEXT( EDATE(P517, 1)), EDATE(P517,Q517)))"),"")</f>
        <v/>
      </c>
      <c r="S517" s="28"/>
      <c r="T517" s="28"/>
      <c r="U517" s="28"/>
      <c r="V517" s="66"/>
      <c r="W517" s="5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</row>
    <row r="518" ht="60.0" customHeight="1">
      <c r="A518" s="14" t="str">
        <f>if(H518&lt;&gt;"",VLOOKUP(H518,ID!$A$2:$C$999,3,FALSE),"") </f>
        <v/>
      </c>
      <c r="B518" s="15"/>
      <c r="C518" s="16"/>
      <c r="D518" s="89"/>
      <c r="E518" s="89"/>
      <c r="F518" s="85"/>
      <c r="G518" s="81"/>
      <c r="H518" s="85"/>
      <c r="I518" s="85"/>
      <c r="J518" s="85"/>
      <c r="K518" s="85"/>
      <c r="L518" s="85"/>
      <c r="M518" s="85"/>
      <c r="N518" s="66"/>
      <c r="O518" s="66"/>
      <c r="P518" s="66"/>
      <c r="Q518" s="28"/>
      <c r="R518" s="69" t="str">
        <f>IFERROR(__xludf.DUMMYFUNCTION("IF (OR( Q518 = """" , P518 =""""), """" , IF(Q518 = ""Menos de 1 mês"" , ""antes de ""&amp; TO_TEXT( EDATE(P518, 1)), EDATE(P518,Q518)))"),"")</f>
        <v/>
      </c>
      <c r="S518" s="28"/>
      <c r="T518" s="28"/>
      <c r="U518" s="28"/>
      <c r="V518" s="66"/>
      <c r="W518" s="5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</row>
    <row r="519" ht="60.0" customHeight="1">
      <c r="A519" s="14" t="str">
        <f>if(H519&lt;&gt;"",VLOOKUP(H519,ID!$A$2:$C$999,3,FALSE),"") </f>
        <v/>
      </c>
      <c r="B519" s="15"/>
      <c r="C519" s="16"/>
      <c r="D519" s="89"/>
      <c r="E519" s="89"/>
      <c r="F519" s="85"/>
      <c r="G519" s="81"/>
      <c r="H519" s="85"/>
      <c r="I519" s="85"/>
      <c r="J519" s="85"/>
      <c r="K519" s="85"/>
      <c r="L519" s="85"/>
      <c r="M519" s="85"/>
      <c r="N519" s="66"/>
      <c r="O519" s="66"/>
      <c r="P519" s="66"/>
      <c r="Q519" s="28"/>
      <c r="R519" s="69" t="str">
        <f>IFERROR(__xludf.DUMMYFUNCTION("IF (OR( Q519 = """" , P519 =""""), """" , IF(Q519 = ""Menos de 1 mês"" , ""antes de ""&amp; TO_TEXT( EDATE(P519, 1)), EDATE(P519,Q519)))"),"")</f>
        <v/>
      </c>
      <c r="S519" s="28"/>
      <c r="T519" s="28"/>
      <c r="U519" s="28"/>
      <c r="V519" s="66"/>
      <c r="W519" s="5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</row>
    <row r="520" ht="60.0" customHeight="1">
      <c r="A520" s="14" t="str">
        <f>if(H520&lt;&gt;"",VLOOKUP(H520,ID!$A$2:$C$999,3,FALSE),"") </f>
        <v/>
      </c>
      <c r="B520" s="15"/>
      <c r="C520" s="16"/>
      <c r="D520" s="89"/>
      <c r="E520" s="89"/>
      <c r="F520" s="85"/>
      <c r="G520" s="81"/>
      <c r="H520" s="85"/>
      <c r="I520" s="85"/>
      <c r="J520" s="85"/>
      <c r="K520" s="85"/>
      <c r="L520" s="85"/>
      <c r="M520" s="85"/>
      <c r="N520" s="66"/>
      <c r="O520" s="66"/>
      <c r="P520" s="66"/>
      <c r="Q520" s="28"/>
      <c r="R520" s="69" t="str">
        <f>IFERROR(__xludf.DUMMYFUNCTION("IF (OR( Q520 = """" , P520 =""""), """" , IF(Q520 = ""Menos de 1 mês"" , ""antes de ""&amp; TO_TEXT( EDATE(P520, 1)), EDATE(P520,Q520)))"),"")</f>
        <v/>
      </c>
      <c r="S520" s="28"/>
      <c r="T520" s="28"/>
      <c r="U520" s="28"/>
      <c r="V520" s="66"/>
      <c r="W520" s="5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</row>
    <row r="521" ht="60.0" customHeight="1">
      <c r="A521" s="14" t="str">
        <f>if(H521&lt;&gt;"",VLOOKUP(H521,ID!$A$2:$C$999,3,FALSE),"") </f>
        <v/>
      </c>
      <c r="B521" s="15"/>
      <c r="C521" s="16"/>
      <c r="D521" s="89"/>
      <c r="E521" s="89"/>
      <c r="F521" s="85"/>
      <c r="G521" s="81"/>
      <c r="H521" s="85"/>
      <c r="I521" s="85"/>
      <c r="J521" s="85"/>
      <c r="K521" s="85"/>
      <c r="L521" s="85"/>
      <c r="M521" s="85"/>
      <c r="N521" s="66"/>
      <c r="O521" s="66"/>
      <c r="P521" s="66"/>
      <c r="Q521" s="28"/>
      <c r="R521" s="69" t="str">
        <f>IFERROR(__xludf.DUMMYFUNCTION("IF (OR( Q521 = """" , P521 =""""), """" , IF(Q521 = ""Menos de 1 mês"" , ""antes de ""&amp; TO_TEXT( EDATE(P521, 1)), EDATE(P521,Q521)))"),"")</f>
        <v/>
      </c>
      <c r="S521" s="28"/>
      <c r="T521" s="28"/>
      <c r="U521" s="28"/>
      <c r="V521" s="66"/>
      <c r="W521" s="5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</row>
    <row r="522" ht="60.0" customHeight="1">
      <c r="A522" s="14" t="str">
        <f>if(H522&lt;&gt;"",VLOOKUP(H522,ID!$A$2:$C$999,3,FALSE),"") </f>
        <v/>
      </c>
      <c r="B522" s="15"/>
      <c r="C522" s="16"/>
      <c r="D522" s="89"/>
      <c r="E522" s="89"/>
      <c r="F522" s="85"/>
      <c r="G522" s="81"/>
      <c r="H522" s="85"/>
      <c r="I522" s="85"/>
      <c r="J522" s="85"/>
      <c r="K522" s="85"/>
      <c r="L522" s="85"/>
      <c r="M522" s="85"/>
      <c r="N522" s="66"/>
      <c r="O522" s="66"/>
      <c r="P522" s="66"/>
      <c r="Q522" s="28"/>
      <c r="R522" s="69" t="str">
        <f>IFERROR(__xludf.DUMMYFUNCTION("IF (OR( Q522 = """" , P522 =""""), """" , IF(Q522 = ""Menos de 1 mês"" , ""antes de ""&amp; TO_TEXT( EDATE(P522, 1)), EDATE(P522,Q522)))"),"")</f>
        <v/>
      </c>
      <c r="S522" s="28"/>
      <c r="T522" s="28"/>
      <c r="U522" s="28"/>
      <c r="V522" s="66"/>
      <c r="W522" s="5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</row>
    <row r="523" ht="60.0" customHeight="1">
      <c r="A523" s="14" t="str">
        <f>if(H523&lt;&gt;"",VLOOKUP(H523,ID!$A$2:$C$999,3,FALSE),"") </f>
        <v/>
      </c>
      <c r="B523" s="15"/>
      <c r="C523" s="16"/>
      <c r="D523" s="89"/>
      <c r="E523" s="89"/>
      <c r="F523" s="85"/>
      <c r="G523" s="81"/>
      <c r="H523" s="85"/>
      <c r="I523" s="85"/>
      <c r="J523" s="85"/>
      <c r="K523" s="85"/>
      <c r="L523" s="85"/>
      <c r="M523" s="85"/>
      <c r="N523" s="66"/>
      <c r="O523" s="66"/>
      <c r="P523" s="66"/>
      <c r="Q523" s="28"/>
      <c r="R523" s="69" t="str">
        <f>IFERROR(__xludf.DUMMYFUNCTION("IF (OR( Q523 = """" , P523 =""""), """" , IF(Q523 = ""Menos de 1 mês"" , ""antes de ""&amp; TO_TEXT( EDATE(P523, 1)), EDATE(P523,Q523)))"),"")</f>
        <v/>
      </c>
      <c r="S523" s="28"/>
      <c r="T523" s="28"/>
      <c r="U523" s="28"/>
      <c r="V523" s="66"/>
      <c r="W523" s="5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</row>
    <row r="524" ht="60.0" customHeight="1">
      <c r="A524" s="14" t="str">
        <f>if(H524&lt;&gt;"",VLOOKUP(H524,ID!$A$2:$C$999,3,FALSE),"") </f>
        <v/>
      </c>
      <c r="B524" s="15"/>
      <c r="C524" s="16"/>
      <c r="D524" s="89"/>
      <c r="E524" s="89"/>
      <c r="F524" s="85"/>
      <c r="G524" s="81"/>
      <c r="H524" s="85"/>
      <c r="I524" s="85"/>
      <c r="J524" s="85"/>
      <c r="K524" s="85"/>
      <c r="L524" s="85"/>
      <c r="M524" s="85"/>
      <c r="N524" s="66"/>
      <c r="O524" s="66"/>
      <c r="P524" s="66"/>
      <c r="Q524" s="28"/>
      <c r="R524" s="69" t="str">
        <f>IFERROR(__xludf.DUMMYFUNCTION("IF (OR( Q524 = """" , P524 =""""), """" , IF(Q524 = ""Menos de 1 mês"" , ""antes de ""&amp; TO_TEXT( EDATE(P524, 1)), EDATE(P524,Q524)))"),"")</f>
        <v/>
      </c>
      <c r="S524" s="28"/>
      <c r="T524" s="28"/>
      <c r="U524" s="28"/>
      <c r="V524" s="66"/>
      <c r="W524" s="5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</row>
    <row r="525" ht="60.0" customHeight="1">
      <c r="A525" s="14" t="str">
        <f>if(H525&lt;&gt;"",VLOOKUP(H525,ID!$A$2:$C$999,3,FALSE),"") </f>
        <v/>
      </c>
      <c r="B525" s="15"/>
      <c r="C525" s="16"/>
      <c r="D525" s="89"/>
      <c r="E525" s="89"/>
      <c r="F525" s="85"/>
      <c r="G525" s="81"/>
      <c r="H525" s="85"/>
      <c r="I525" s="85"/>
      <c r="J525" s="85"/>
      <c r="K525" s="85"/>
      <c r="L525" s="85"/>
      <c r="M525" s="85"/>
      <c r="N525" s="66"/>
      <c r="O525" s="66"/>
      <c r="P525" s="66"/>
      <c r="Q525" s="28"/>
      <c r="R525" s="69" t="str">
        <f>IFERROR(__xludf.DUMMYFUNCTION("IF (OR( Q525 = """" , P525 =""""), """" , IF(Q525 = ""Menos de 1 mês"" , ""antes de ""&amp; TO_TEXT( EDATE(P525, 1)), EDATE(P525,Q525)))"),"")</f>
        <v/>
      </c>
      <c r="S525" s="28"/>
      <c r="T525" s="28"/>
      <c r="U525" s="28"/>
      <c r="V525" s="66"/>
      <c r="W525" s="5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</row>
    <row r="526" ht="60.0" customHeight="1">
      <c r="A526" s="14" t="str">
        <f>if(H526&lt;&gt;"",VLOOKUP(H526,ID!$A$2:$C$999,3,FALSE),"") </f>
        <v/>
      </c>
      <c r="B526" s="15"/>
      <c r="C526" s="16"/>
      <c r="D526" s="89"/>
      <c r="E526" s="89"/>
      <c r="F526" s="85"/>
      <c r="G526" s="81"/>
      <c r="H526" s="85"/>
      <c r="I526" s="85"/>
      <c r="J526" s="85"/>
      <c r="K526" s="85"/>
      <c r="L526" s="85"/>
      <c r="M526" s="85"/>
      <c r="N526" s="66"/>
      <c r="O526" s="66"/>
      <c r="P526" s="66"/>
      <c r="Q526" s="28"/>
      <c r="R526" s="69" t="str">
        <f>IFERROR(__xludf.DUMMYFUNCTION("IF (OR( Q526 = """" , P526 =""""), """" , IF(Q526 = ""Menos de 1 mês"" , ""antes de ""&amp; TO_TEXT( EDATE(P526, 1)), EDATE(P526,Q526)))"),"")</f>
        <v/>
      </c>
      <c r="S526" s="28"/>
      <c r="T526" s="28"/>
      <c r="U526" s="28"/>
      <c r="V526" s="66"/>
      <c r="W526" s="5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</row>
    <row r="527" ht="60.0" customHeight="1">
      <c r="A527" s="14" t="str">
        <f>if(H527&lt;&gt;"",VLOOKUP(H527,ID!$A$2:$C$999,3,FALSE),"") </f>
        <v/>
      </c>
      <c r="B527" s="15"/>
      <c r="C527" s="16"/>
      <c r="D527" s="89"/>
      <c r="E527" s="89"/>
      <c r="F527" s="85"/>
      <c r="G527" s="81"/>
      <c r="H527" s="85"/>
      <c r="I527" s="85"/>
      <c r="J527" s="85"/>
      <c r="K527" s="85"/>
      <c r="L527" s="85"/>
      <c r="M527" s="85"/>
      <c r="N527" s="66"/>
      <c r="O527" s="66"/>
      <c r="P527" s="66"/>
      <c r="Q527" s="28"/>
      <c r="R527" s="69" t="str">
        <f>IFERROR(__xludf.DUMMYFUNCTION("IF (OR( Q527 = """" , P527 =""""), """" , IF(Q527 = ""Menos de 1 mês"" , ""antes de ""&amp; TO_TEXT( EDATE(P527, 1)), EDATE(P527,Q527)))"),"")</f>
        <v/>
      </c>
      <c r="S527" s="28"/>
      <c r="T527" s="28"/>
      <c r="U527" s="28"/>
      <c r="V527" s="66"/>
      <c r="W527" s="5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</row>
    <row r="528" ht="60.0" customHeight="1">
      <c r="A528" s="14" t="str">
        <f>if(H528&lt;&gt;"",VLOOKUP(H528,ID!$A$2:$C$999,3,FALSE),"") </f>
        <v/>
      </c>
      <c r="B528" s="15"/>
      <c r="C528" s="16"/>
      <c r="D528" s="89"/>
      <c r="E528" s="89"/>
      <c r="F528" s="85"/>
      <c r="G528" s="81"/>
      <c r="H528" s="85"/>
      <c r="I528" s="85"/>
      <c r="J528" s="85"/>
      <c r="K528" s="85"/>
      <c r="L528" s="85"/>
      <c r="M528" s="85"/>
      <c r="N528" s="66"/>
      <c r="O528" s="66"/>
      <c r="P528" s="66"/>
      <c r="Q528" s="28"/>
      <c r="R528" s="69" t="str">
        <f>IFERROR(__xludf.DUMMYFUNCTION("IF (OR( Q528 = """" , P528 =""""), """" , IF(Q528 = ""Menos de 1 mês"" , ""antes de ""&amp; TO_TEXT( EDATE(P528, 1)), EDATE(P528,Q528)))"),"")</f>
        <v/>
      </c>
      <c r="S528" s="28"/>
      <c r="T528" s="28"/>
      <c r="U528" s="28"/>
      <c r="V528" s="66"/>
      <c r="W528" s="5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</row>
    <row r="529" ht="60.0" customHeight="1">
      <c r="A529" s="14" t="str">
        <f>if(H529&lt;&gt;"",VLOOKUP(H529,ID!$A$2:$C$999,3,FALSE),"") </f>
        <v/>
      </c>
      <c r="B529" s="15"/>
      <c r="C529" s="16"/>
      <c r="D529" s="89"/>
      <c r="E529" s="89"/>
      <c r="F529" s="85"/>
      <c r="G529" s="81"/>
      <c r="H529" s="85"/>
      <c r="I529" s="85"/>
      <c r="J529" s="85"/>
      <c r="K529" s="85"/>
      <c r="L529" s="85"/>
      <c r="M529" s="85"/>
      <c r="N529" s="66"/>
      <c r="O529" s="66"/>
      <c r="P529" s="66"/>
      <c r="Q529" s="28"/>
      <c r="R529" s="69" t="str">
        <f>IFERROR(__xludf.DUMMYFUNCTION("IF (OR( Q529 = """" , P529 =""""), """" , IF(Q529 = ""Menos de 1 mês"" , ""antes de ""&amp; TO_TEXT( EDATE(P529, 1)), EDATE(P529,Q529)))"),"")</f>
        <v/>
      </c>
      <c r="S529" s="28"/>
      <c r="T529" s="28"/>
      <c r="U529" s="28"/>
      <c r="V529" s="66"/>
      <c r="W529" s="5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</row>
    <row r="530" ht="60.0" customHeight="1">
      <c r="A530" s="14" t="str">
        <f>if(H530&lt;&gt;"",VLOOKUP(H530,ID!$A$2:$C$999,3,FALSE),"") </f>
        <v/>
      </c>
      <c r="B530" s="15"/>
      <c r="C530" s="16"/>
      <c r="D530" s="89"/>
      <c r="E530" s="89"/>
      <c r="F530" s="85"/>
      <c r="G530" s="81"/>
      <c r="H530" s="85"/>
      <c r="I530" s="85"/>
      <c r="J530" s="85"/>
      <c r="K530" s="85"/>
      <c r="L530" s="85"/>
      <c r="M530" s="85"/>
      <c r="N530" s="66"/>
      <c r="O530" s="66"/>
      <c r="P530" s="66"/>
      <c r="Q530" s="28"/>
      <c r="R530" s="69" t="str">
        <f>IFERROR(__xludf.DUMMYFUNCTION("IF (OR( Q530 = """" , P530 =""""), """" , IF(Q530 = ""Menos de 1 mês"" , ""antes de ""&amp; TO_TEXT( EDATE(P530, 1)), EDATE(P530,Q530)))"),"")</f>
        <v/>
      </c>
      <c r="S530" s="28"/>
      <c r="T530" s="28"/>
      <c r="U530" s="28"/>
      <c r="V530" s="66"/>
      <c r="W530" s="5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</row>
    <row r="531" ht="60.0" customHeight="1">
      <c r="A531" s="14" t="str">
        <f>if(H531&lt;&gt;"",VLOOKUP(H531,ID!$A$2:$C$999,3,FALSE),"") </f>
        <v/>
      </c>
      <c r="B531" s="15"/>
      <c r="C531" s="16"/>
      <c r="D531" s="89"/>
      <c r="E531" s="89"/>
      <c r="F531" s="85"/>
      <c r="G531" s="81"/>
      <c r="H531" s="85"/>
      <c r="I531" s="85"/>
      <c r="J531" s="85"/>
      <c r="K531" s="85"/>
      <c r="L531" s="85"/>
      <c r="M531" s="85"/>
      <c r="N531" s="66"/>
      <c r="O531" s="66"/>
      <c r="P531" s="66"/>
      <c r="Q531" s="28"/>
      <c r="R531" s="69" t="str">
        <f>IFERROR(__xludf.DUMMYFUNCTION("IF (OR( Q531 = """" , P531 =""""), """" , IF(Q531 = ""Menos de 1 mês"" , ""antes de ""&amp; TO_TEXT( EDATE(P531, 1)), EDATE(P531,Q531)))"),"")</f>
        <v/>
      </c>
      <c r="S531" s="28"/>
      <c r="T531" s="28"/>
      <c r="U531" s="28"/>
      <c r="V531" s="66"/>
      <c r="W531" s="5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</row>
    <row r="532" ht="60.0" customHeight="1">
      <c r="A532" s="14" t="str">
        <f>if(H532&lt;&gt;"",VLOOKUP(H532,ID!$A$2:$C$999,3,FALSE),"") </f>
        <v/>
      </c>
      <c r="B532" s="15"/>
      <c r="C532" s="16"/>
      <c r="D532" s="89"/>
      <c r="E532" s="89"/>
      <c r="F532" s="85"/>
      <c r="G532" s="81"/>
      <c r="H532" s="85"/>
      <c r="I532" s="85"/>
      <c r="J532" s="85"/>
      <c r="K532" s="85"/>
      <c r="L532" s="85"/>
      <c r="M532" s="85"/>
      <c r="N532" s="66"/>
      <c r="O532" s="66"/>
      <c r="P532" s="66"/>
      <c r="Q532" s="28"/>
      <c r="R532" s="69" t="str">
        <f>IFERROR(__xludf.DUMMYFUNCTION("IF (OR( Q532 = """" , P532 =""""), """" , IF(Q532 = ""Menos de 1 mês"" , ""antes de ""&amp; TO_TEXT( EDATE(P532, 1)), EDATE(P532,Q532)))"),"")</f>
        <v/>
      </c>
      <c r="S532" s="28"/>
      <c r="T532" s="28"/>
      <c r="U532" s="28"/>
      <c r="V532" s="66"/>
      <c r="W532" s="5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</row>
    <row r="533" ht="60.0" customHeight="1">
      <c r="A533" s="14" t="str">
        <f>if(H533&lt;&gt;"",VLOOKUP(H533,ID!$A$2:$C$999,3,FALSE),"") </f>
        <v/>
      </c>
      <c r="B533" s="15"/>
      <c r="C533" s="16"/>
      <c r="D533" s="89"/>
      <c r="E533" s="89"/>
      <c r="F533" s="85"/>
      <c r="G533" s="81"/>
      <c r="H533" s="85"/>
      <c r="I533" s="85"/>
      <c r="J533" s="85"/>
      <c r="K533" s="85"/>
      <c r="L533" s="85"/>
      <c r="M533" s="85"/>
      <c r="N533" s="66"/>
      <c r="O533" s="66"/>
      <c r="P533" s="66"/>
      <c r="Q533" s="28"/>
      <c r="R533" s="69" t="str">
        <f>IFERROR(__xludf.DUMMYFUNCTION("IF (OR( Q533 = """" , P533 =""""), """" , IF(Q533 = ""Menos de 1 mês"" , ""antes de ""&amp; TO_TEXT( EDATE(P533, 1)), EDATE(P533,Q533)))"),"")</f>
        <v/>
      </c>
      <c r="S533" s="28"/>
      <c r="T533" s="28"/>
      <c r="U533" s="28"/>
      <c r="V533" s="66"/>
      <c r="W533" s="5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</row>
    <row r="534" ht="60.0" customHeight="1">
      <c r="A534" s="14" t="str">
        <f>if(H534&lt;&gt;"",VLOOKUP(H534,ID!$A$2:$C$999,3,FALSE),"") </f>
        <v/>
      </c>
      <c r="B534" s="15"/>
      <c r="C534" s="16"/>
      <c r="D534" s="89"/>
      <c r="E534" s="89"/>
      <c r="F534" s="85"/>
      <c r="G534" s="81"/>
      <c r="H534" s="85"/>
      <c r="I534" s="85"/>
      <c r="J534" s="85"/>
      <c r="K534" s="85"/>
      <c r="L534" s="85"/>
      <c r="M534" s="85"/>
      <c r="N534" s="66"/>
      <c r="O534" s="66"/>
      <c r="P534" s="66"/>
      <c r="Q534" s="28"/>
      <c r="R534" s="69" t="str">
        <f>IFERROR(__xludf.DUMMYFUNCTION("IF (OR( Q534 = """" , P534 =""""), """" , IF(Q534 = ""Menos de 1 mês"" , ""antes de ""&amp; TO_TEXT( EDATE(P534, 1)), EDATE(P534,Q534)))"),"")</f>
        <v/>
      </c>
      <c r="S534" s="28"/>
      <c r="T534" s="28"/>
      <c r="U534" s="28"/>
      <c r="V534" s="66"/>
      <c r="W534" s="5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</row>
    <row r="535" ht="60.0" customHeight="1">
      <c r="A535" s="14" t="str">
        <f>if(H535&lt;&gt;"",VLOOKUP(H535,ID!$A$2:$C$999,3,FALSE),"") </f>
        <v/>
      </c>
      <c r="B535" s="15"/>
      <c r="C535" s="16"/>
      <c r="D535" s="89"/>
      <c r="E535" s="89"/>
      <c r="F535" s="85"/>
      <c r="G535" s="81"/>
      <c r="H535" s="85"/>
      <c r="I535" s="85"/>
      <c r="J535" s="85"/>
      <c r="K535" s="85"/>
      <c r="L535" s="85"/>
      <c r="M535" s="85"/>
      <c r="N535" s="66"/>
      <c r="O535" s="66"/>
      <c r="P535" s="66"/>
      <c r="Q535" s="28"/>
      <c r="R535" s="69" t="str">
        <f>IFERROR(__xludf.DUMMYFUNCTION("IF (OR( Q535 = """" , P535 =""""), """" , IF(Q535 = ""Menos de 1 mês"" , ""antes de ""&amp; TO_TEXT( EDATE(P535, 1)), EDATE(P535,Q535)))"),"")</f>
        <v/>
      </c>
      <c r="S535" s="28"/>
      <c r="T535" s="28"/>
      <c r="U535" s="28"/>
      <c r="V535" s="66"/>
      <c r="W535" s="5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</row>
    <row r="536" ht="60.0" customHeight="1">
      <c r="A536" s="14" t="str">
        <f>if(H536&lt;&gt;"",VLOOKUP(H536,ID!$A$2:$C$999,3,FALSE),"") </f>
        <v/>
      </c>
      <c r="B536" s="15"/>
      <c r="C536" s="16"/>
      <c r="D536" s="89"/>
      <c r="E536" s="89"/>
      <c r="F536" s="85"/>
      <c r="G536" s="81"/>
      <c r="H536" s="85"/>
      <c r="I536" s="85"/>
      <c r="J536" s="85"/>
      <c r="K536" s="85"/>
      <c r="L536" s="85"/>
      <c r="M536" s="85"/>
      <c r="N536" s="66"/>
      <c r="O536" s="66"/>
      <c r="P536" s="66"/>
      <c r="Q536" s="28"/>
      <c r="R536" s="69" t="str">
        <f>IFERROR(__xludf.DUMMYFUNCTION("IF (OR( Q536 = """" , P536 =""""), """" , IF(Q536 = ""Menos de 1 mês"" , ""antes de ""&amp; TO_TEXT( EDATE(P536, 1)), EDATE(P536,Q536)))"),"")</f>
        <v/>
      </c>
      <c r="S536" s="28"/>
      <c r="T536" s="28"/>
      <c r="U536" s="28"/>
      <c r="V536" s="66"/>
      <c r="W536" s="5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</row>
    <row r="537" ht="60.0" customHeight="1">
      <c r="A537" s="14" t="str">
        <f>if(H537&lt;&gt;"",VLOOKUP(H537,ID!$A$2:$C$999,3,FALSE),"") </f>
        <v/>
      </c>
      <c r="B537" s="15"/>
      <c r="C537" s="16"/>
      <c r="D537" s="89"/>
      <c r="E537" s="89"/>
      <c r="F537" s="85"/>
      <c r="G537" s="81"/>
      <c r="H537" s="85"/>
      <c r="I537" s="85"/>
      <c r="J537" s="85"/>
      <c r="K537" s="85"/>
      <c r="L537" s="85"/>
      <c r="M537" s="85"/>
      <c r="N537" s="66"/>
      <c r="O537" s="66"/>
      <c r="P537" s="66"/>
      <c r="Q537" s="28"/>
      <c r="R537" s="69" t="str">
        <f>IFERROR(__xludf.DUMMYFUNCTION("IF (OR( Q537 = """" , P537 =""""), """" , IF(Q537 = ""Menos de 1 mês"" , ""antes de ""&amp; TO_TEXT( EDATE(P537, 1)), EDATE(P537,Q537)))"),"")</f>
        <v/>
      </c>
      <c r="S537" s="28"/>
      <c r="T537" s="28"/>
      <c r="U537" s="28"/>
      <c r="V537" s="66"/>
      <c r="W537" s="5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</row>
    <row r="538" ht="60.0" customHeight="1">
      <c r="A538" s="14" t="str">
        <f>if(H538&lt;&gt;"",VLOOKUP(H538,ID!$A$2:$C$999,3,FALSE),"") </f>
        <v/>
      </c>
      <c r="B538" s="15"/>
      <c r="C538" s="16"/>
      <c r="D538" s="89"/>
      <c r="E538" s="89"/>
      <c r="F538" s="85"/>
      <c r="G538" s="81"/>
      <c r="H538" s="85"/>
      <c r="I538" s="85"/>
      <c r="J538" s="85"/>
      <c r="K538" s="85"/>
      <c r="L538" s="85"/>
      <c r="M538" s="85"/>
      <c r="N538" s="66"/>
      <c r="O538" s="66"/>
      <c r="P538" s="66"/>
      <c r="Q538" s="28"/>
      <c r="R538" s="69" t="str">
        <f>IFERROR(__xludf.DUMMYFUNCTION("IF (OR( Q538 = """" , P538 =""""), """" , IF(Q538 = ""Menos de 1 mês"" , ""antes de ""&amp; TO_TEXT( EDATE(P538, 1)), EDATE(P538,Q538)))"),"")</f>
        <v/>
      </c>
      <c r="S538" s="28"/>
      <c r="T538" s="28"/>
      <c r="U538" s="28"/>
      <c r="V538" s="66"/>
      <c r="W538" s="5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</row>
    <row r="539" ht="60.0" customHeight="1">
      <c r="A539" s="14" t="str">
        <f>if(H539&lt;&gt;"",VLOOKUP(H539,ID!$A$2:$C$999,3,FALSE),"") </f>
        <v/>
      </c>
      <c r="B539" s="15"/>
      <c r="C539" s="16"/>
      <c r="D539" s="89"/>
      <c r="E539" s="89"/>
      <c r="F539" s="85"/>
      <c r="G539" s="81"/>
      <c r="H539" s="85"/>
      <c r="I539" s="85"/>
      <c r="J539" s="85"/>
      <c r="K539" s="85"/>
      <c r="L539" s="85"/>
      <c r="M539" s="85"/>
      <c r="N539" s="66"/>
      <c r="O539" s="66"/>
      <c r="P539" s="66"/>
      <c r="Q539" s="28"/>
      <c r="R539" s="69" t="str">
        <f>IFERROR(__xludf.DUMMYFUNCTION("IF (OR( Q539 = """" , P539 =""""), """" , IF(Q539 = ""Menos de 1 mês"" , ""antes de ""&amp; TO_TEXT( EDATE(P539, 1)), EDATE(P539,Q539)))"),"")</f>
        <v/>
      </c>
      <c r="S539" s="28"/>
      <c r="T539" s="28"/>
      <c r="U539" s="28"/>
      <c r="V539" s="66"/>
      <c r="W539" s="5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</row>
    <row r="540" ht="60.0" customHeight="1">
      <c r="A540" s="14" t="str">
        <f>if(H540&lt;&gt;"",VLOOKUP(H540,ID!$A$2:$C$999,3,FALSE),"") </f>
        <v/>
      </c>
      <c r="B540" s="15"/>
      <c r="C540" s="16"/>
      <c r="D540" s="89"/>
      <c r="E540" s="89"/>
      <c r="F540" s="85"/>
      <c r="G540" s="81"/>
      <c r="H540" s="85"/>
      <c r="I540" s="85"/>
      <c r="J540" s="85"/>
      <c r="K540" s="85"/>
      <c r="L540" s="85"/>
      <c r="M540" s="85"/>
      <c r="N540" s="66"/>
      <c r="O540" s="66"/>
      <c r="P540" s="66"/>
      <c r="Q540" s="28"/>
      <c r="R540" s="69" t="str">
        <f>IFERROR(__xludf.DUMMYFUNCTION("IF (OR( Q540 = """" , P540 =""""), """" , IF(Q540 = ""Menos de 1 mês"" , ""antes de ""&amp; TO_TEXT( EDATE(P540, 1)), EDATE(P540,Q540)))"),"")</f>
        <v/>
      </c>
      <c r="S540" s="28"/>
      <c r="T540" s="28"/>
      <c r="U540" s="28"/>
      <c r="V540" s="66"/>
      <c r="W540" s="5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</row>
    <row r="541" ht="60.0" customHeight="1">
      <c r="A541" s="14" t="str">
        <f>if(H541&lt;&gt;"",VLOOKUP(H541,ID!$A$2:$C$999,3,FALSE),"") </f>
        <v/>
      </c>
      <c r="B541" s="15"/>
      <c r="C541" s="16"/>
      <c r="D541" s="89"/>
      <c r="E541" s="89"/>
      <c r="F541" s="85"/>
      <c r="G541" s="81"/>
      <c r="H541" s="85"/>
      <c r="I541" s="85"/>
      <c r="J541" s="85"/>
      <c r="K541" s="85"/>
      <c r="L541" s="85"/>
      <c r="M541" s="85"/>
      <c r="N541" s="66"/>
      <c r="O541" s="66"/>
      <c r="P541" s="66"/>
      <c r="Q541" s="28"/>
      <c r="R541" s="69" t="str">
        <f>IFERROR(__xludf.DUMMYFUNCTION("IF (OR( Q541 = """" , P541 =""""), """" , IF(Q541 = ""Menos de 1 mês"" , ""antes de ""&amp; TO_TEXT( EDATE(P541, 1)), EDATE(P541,Q541)))"),"")</f>
        <v/>
      </c>
      <c r="S541" s="28"/>
      <c r="T541" s="28"/>
      <c r="U541" s="28"/>
      <c r="V541" s="66"/>
      <c r="W541" s="5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</row>
    <row r="542" ht="60.0" customHeight="1">
      <c r="A542" s="14" t="str">
        <f>if(H542&lt;&gt;"",VLOOKUP(H542,ID!$A$2:$C$999,3,FALSE),"") </f>
        <v/>
      </c>
      <c r="B542" s="15"/>
      <c r="C542" s="16"/>
      <c r="D542" s="89"/>
      <c r="E542" s="89"/>
      <c r="F542" s="85"/>
      <c r="G542" s="81"/>
      <c r="H542" s="85"/>
      <c r="I542" s="85"/>
      <c r="J542" s="85"/>
      <c r="K542" s="85"/>
      <c r="L542" s="85"/>
      <c r="M542" s="85"/>
      <c r="N542" s="66"/>
      <c r="O542" s="66"/>
      <c r="P542" s="66"/>
      <c r="Q542" s="28"/>
      <c r="R542" s="69" t="str">
        <f>IFERROR(__xludf.DUMMYFUNCTION("IF (OR( Q542 = """" , P542 =""""), """" , IF(Q542 = ""Menos de 1 mês"" , ""antes de ""&amp; TO_TEXT( EDATE(P542, 1)), EDATE(P542,Q542)))"),"")</f>
        <v/>
      </c>
      <c r="S542" s="28"/>
      <c r="T542" s="28"/>
      <c r="U542" s="28"/>
      <c r="V542" s="66"/>
      <c r="W542" s="5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</row>
    <row r="543" ht="60.0" customHeight="1">
      <c r="A543" s="14" t="str">
        <f>if(H543&lt;&gt;"",VLOOKUP(H543,ID!$A$2:$C$999,3,FALSE),"") </f>
        <v/>
      </c>
      <c r="B543" s="15"/>
      <c r="C543" s="16"/>
      <c r="D543" s="89"/>
      <c r="E543" s="89"/>
      <c r="F543" s="85"/>
      <c r="G543" s="81"/>
      <c r="H543" s="85"/>
      <c r="I543" s="85"/>
      <c r="J543" s="85"/>
      <c r="K543" s="85"/>
      <c r="L543" s="85"/>
      <c r="M543" s="85"/>
      <c r="N543" s="66"/>
      <c r="O543" s="66"/>
      <c r="P543" s="66"/>
      <c r="Q543" s="28"/>
      <c r="R543" s="69" t="str">
        <f>IFERROR(__xludf.DUMMYFUNCTION("IF (OR( Q543 = """" , P543 =""""), """" , IF(Q543 = ""Menos de 1 mês"" , ""antes de ""&amp; TO_TEXT( EDATE(P543, 1)), EDATE(P543,Q543)))"),"")</f>
        <v/>
      </c>
      <c r="S543" s="28"/>
      <c r="T543" s="28"/>
      <c r="U543" s="28"/>
      <c r="V543" s="66"/>
      <c r="W543" s="5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</row>
    <row r="544" ht="60.0" customHeight="1">
      <c r="A544" s="14" t="str">
        <f>if(H544&lt;&gt;"",VLOOKUP(H544,ID!$A$2:$C$999,3,FALSE),"") </f>
        <v/>
      </c>
      <c r="B544" s="15"/>
      <c r="C544" s="16"/>
      <c r="D544" s="89"/>
      <c r="E544" s="89"/>
      <c r="F544" s="85"/>
      <c r="G544" s="81"/>
      <c r="H544" s="85"/>
      <c r="I544" s="85"/>
      <c r="J544" s="85"/>
      <c r="K544" s="85"/>
      <c r="L544" s="85"/>
      <c r="M544" s="85"/>
      <c r="N544" s="66"/>
      <c r="O544" s="66"/>
      <c r="P544" s="66"/>
      <c r="Q544" s="28"/>
      <c r="R544" s="69" t="str">
        <f>IFERROR(__xludf.DUMMYFUNCTION("IF (OR( Q544 = """" , P544 =""""), """" , IF(Q544 = ""Menos de 1 mês"" , ""antes de ""&amp; TO_TEXT( EDATE(P544, 1)), EDATE(P544,Q544)))"),"")</f>
        <v/>
      </c>
      <c r="S544" s="28"/>
      <c r="T544" s="28"/>
      <c r="U544" s="28"/>
      <c r="V544" s="66"/>
      <c r="W544" s="5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</row>
    <row r="545" ht="60.0" customHeight="1">
      <c r="A545" s="14" t="str">
        <f>if(H545&lt;&gt;"",VLOOKUP(H545,ID!$A$2:$C$999,3,FALSE),"") </f>
        <v/>
      </c>
      <c r="B545" s="15"/>
      <c r="C545" s="16"/>
      <c r="D545" s="89"/>
      <c r="E545" s="89"/>
      <c r="F545" s="85"/>
      <c r="G545" s="81"/>
      <c r="H545" s="85"/>
      <c r="I545" s="85"/>
      <c r="J545" s="85"/>
      <c r="K545" s="85"/>
      <c r="L545" s="85"/>
      <c r="M545" s="85"/>
      <c r="N545" s="66"/>
      <c r="O545" s="66"/>
      <c r="P545" s="66"/>
      <c r="Q545" s="28"/>
      <c r="R545" s="69" t="str">
        <f>IFERROR(__xludf.DUMMYFUNCTION("IF (OR( Q545 = """" , P545 =""""), """" , IF(Q545 = ""Menos de 1 mês"" , ""antes de ""&amp; TO_TEXT( EDATE(P545, 1)), EDATE(P545,Q545)))"),"")</f>
        <v/>
      </c>
      <c r="S545" s="28"/>
      <c r="T545" s="28"/>
      <c r="U545" s="28"/>
      <c r="V545" s="66"/>
      <c r="W545" s="5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</row>
    <row r="546" ht="60.0" customHeight="1">
      <c r="A546" s="14" t="str">
        <f>if(H546&lt;&gt;"",VLOOKUP(H546,ID!$A$2:$C$999,3,FALSE),"") </f>
        <v/>
      </c>
      <c r="B546" s="15"/>
      <c r="C546" s="16"/>
      <c r="D546" s="89"/>
      <c r="E546" s="89"/>
      <c r="F546" s="85"/>
      <c r="G546" s="81"/>
      <c r="H546" s="85"/>
      <c r="I546" s="85"/>
      <c r="J546" s="85"/>
      <c r="K546" s="85"/>
      <c r="L546" s="85"/>
      <c r="M546" s="85"/>
      <c r="N546" s="66"/>
      <c r="O546" s="66"/>
      <c r="P546" s="66"/>
      <c r="Q546" s="28"/>
      <c r="R546" s="69" t="str">
        <f>IFERROR(__xludf.DUMMYFUNCTION("IF (OR( Q546 = """" , P546 =""""), """" , IF(Q546 = ""Menos de 1 mês"" , ""antes de ""&amp; TO_TEXT( EDATE(P546, 1)), EDATE(P546,Q546)))"),"")</f>
        <v/>
      </c>
      <c r="S546" s="28"/>
      <c r="T546" s="28"/>
      <c r="U546" s="28"/>
      <c r="V546" s="66"/>
      <c r="W546" s="5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</row>
    <row r="547" ht="60.0" customHeight="1">
      <c r="A547" s="14" t="str">
        <f>if(H547&lt;&gt;"",VLOOKUP(H547,ID!$A$2:$C$999,3,FALSE),"") </f>
        <v/>
      </c>
      <c r="B547" s="15"/>
      <c r="C547" s="16"/>
      <c r="D547" s="89"/>
      <c r="E547" s="89"/>
      <c r="F547" s="85"/>
      <c r="G547" s="81"/>
      <c r="H547" s="85"/>
      <c r="I547" s="85"/>
      <c r="J547" s="85"/>
      <c r="K547" s="85"/>
      <c r="L547" s="85"/>
      <c r="M547" s="85"/>
      <c r="N547" s="66"/>
      <c r="O547" s="66"/>
      <c r="P547" s="66"/>
      <c r="Q547" s="28"/>
      <c r="R547" s="69" t="str">
        <f>IFERROR(__xludf.DUMMYFUNCTION("IF (OR( Q547 = """" , P547 =""""), """" , IF(Q547 = ""Menos de 1 mês"" , ""antes de ""&amp; TO_TEXT( EDATE(P547, 1)), EDATE(P547,Q547)))"),"")</f>
        <v/>
      </c>
      <c r="S547" s="28"/>
      <c r="T547" s="28"/>
      <c r="U547" s="28"/>
      <c r="V547" s="66"/>
      <c r="W547" s="5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</row>
    <row r="548" ht="60.0" customHeight="1">
      <c r="A548" s="14" t="str">
        <f>if(H548&lt;&gt;"",VLOOKUP(H548,ID!$A$2:$C$999,3,FALSE),"") </f>
        <v/>
      </c>
      <c r="B548" s="15"/>
      <c r="C548" s="16"/>
      <c r="D548" s="89"/>
      <c r="E548" s="89"/>
      <c r="F548" s="85"/>
      <c r="G548" s="81"/>
      <c r="H548" s="85"/>
      <c r="I548" s="85"/>
      <c r="J548" s="85"/>
      <c r="K548" s="85"/>
      <c r="L548" s="85"/>
      <c r="M548" s="85"/>
      <c r="N548" s="66"/>
      <c r="O548" s="66"/>
      <c r="P548" s="66"/>
      <c r="Q548" s="28"/>
      <c r="R548" s="69" t="str">
        <f>IFERROR(__xludf.DUMMYFUNCTION("IF (OR( Q548 = """" , P548 =""""), """" , IF(Q548 = ""Menos de 1 mês"" , ""antes de ""&amp; TO_TEXT( EDATE(P548, 1)), EDATE(P548,Q548)))"),"")</f>
        <v/>
      </c>
      <c r="S548" s="28"/>
      <c r="T548" s="28"/>
      <c r="U548" s="28"/>
      <c r="V548" s="66"/>
      <c r="W548" s="5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</row>
    <row r="549" ht="60.0" customHeight="1">
      <c r="A549" s="14" t="str">
        <f>if(H549&lt;&gt;"",VLOOKUP(H549,ID!$A$2:$C$999,3,FALSE),"") </f>
        <v/>
      </c>
      <c r="B549" s="15"/>
      <c r="C549" s="16"/>
      <c r="D549" s="89"/>
      <c r="E549" s="89"/>
      <c r="F549" s="85"/>
      <c r="G549" s="81"/>
      <c r="H549" s="85"/>
      <c r="I549" s="85"/>
      <c r="J549" s="85"/>
      <c r="K549" s="85"/>
      <c r="L549" s="85"/>
      <c r="M549" s="85"/>
      <c r="N549" s="66"/>
      <c r="O549" s="66"/>
      <c r="P549" s="66"/>
      <c r="Q549" s="28"/>
      <c r="R549" s="69" t="str">
        <f>IFERROR(__xludf.DUMMYFUNCTION("IF (OR( Q549 = """" , P549 =""""), """" , IF(Q549 = ""Menos de 1 mês"" , ""antes de ""&amp; TO_TEXT( EDATE(P549, 1)), EDATE(P549,Q549)))"),"")</f>
        <v/>
      </c>
      <c r="S549" s="28"/>
      <c r="T549" s="28"/>
      <c r="U549" s="28"/>
      <c r="V549" s="66"/>
      <c r="W549" s="5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</row>
    <row r="550" ht="60.0" customHeight="1">
      <c r="A550" s="14" t="str">
        <f>if(H550&lt;&gt;"",VLOOKUP(H550,ID!$A$2:$C$999,3,FALSE),"") </f>
        <v/>
      </c>
      <c r="B550" s="15"/>
      <c r="C550" s="16"/>
      <c r="D550" s="89"/>
      <c r="E550" s="89"/>
      <c r="F550" s="85"/>
      <c r="G550" s="81"/>
      <c r="H550" s="85"/>
      <c r="I550" s="85"/>
      <c r="J550" s="85"/>
      <c r="K550" s="85"/>
      <c r="L550" s="85"/>
      <c r="M550" s="85"/>
      <c r="N550" s="66"/>
      <c r="O550" s="66"/>
      <c r="P550" s="66"/>
      <c r="Q550" s="28"/>
      <c r="R550" s="69" t="str">
        <f>IFERROR(__xludf.DUMMYFUNCTION("IF (OR( Q550 = """" , P550 =""""), """" , IF(Q550 = ""Menos de 1 mês"" , ""antes de ""&amp; TO_TEXT( EDATE(P550, 1)), EDATE(P550,Q550)))"),"")</f>
        <v/>
      </c>
      <c r="S550" s="28"/>
      <c r="T550" s="28"/>
      <c r="U550" s="28"/>
      <c r="V550" s="66"/>
      <c r="W550" s="5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</row>
    <row r="551" ht="60.0" customHeight="1">
      <c r="A551" s="14" t="str">
        <f>if(H551&lt;&gt;"",VLOOKUP(H551,ID!$A$2:$C$999,3,FALSE),"") </f>
        <v/>
      </c>
      <c r="B551" s="15"/>
      <c r="C551" s="16"/>
      <c r="D551" s="89"/>
      <c r="E551" s="89"/>
      <c r="F551" s="85"/>
      <c r="G551" s="81"/>
      <c r="H551" s="85"/>
      <c r="I551" s="85"/>
      <c r="J551" s="85"/>
      <c r="K551" s="85"/>
      <c r="L551" s="85"/>
      <c r="M551" s="85"/>
      <c r="N551" s="66"/>
      <c r="O551" s="66"/>
      <c r="P551" s="66"/>
      <c r="Q551" s="28"/>
      <c r="R551" s="69" t="str">
        <f>IFERROR(__xludf.DUMMYFUNCTION("IF (OR( Q551 = """" , P551 =""""), """" , IF(Q551 = ""Menos de 1 mês"" , ""antes de ""&amp; TO_TEXT( EDATE(P551, 1)), EDATE(P551,Q551)))"),"")</f>
        <v/>
      </c>
      <c r="S551" s="28"/>
      <c r="T551" s="28"/>
      <c r="U551" s="28"/>
      <c r="V551" s="66"/>
      <c r="W551" s="5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</row>
    <row r="552" ht="60.0" customHeight="1">
      <c r="A552" s="14" t="str">
        <f>if(H552&lt;&gt;"",VLOOKUP(H552,ID!$A$2:$C$999,3,FALSE),"") </f>
        <v/>
      </c>
      <c r="B552" s="15"/>
      <c r="C552" s="16"/>
      <c r="D552" s="89"/>
      <c r="E552" s="89"/>
      <c r="F552" s="85"/>
      <c r="G552" s="81"/>
      <c r="H552" s="85"/>
      <c r="I552" s="85"/>
      <c r="J552" s="85"/>
      <c r="K552" s="85"/>
      <c r="L552" s="85"/>
      <c r="M552" s="85"/>
      <c r="N552" s="66"/>
      <c r="O552" s="66"/>
      <c r="P552" s="66"/>
      <c r="Q552" s="28"/>
      <c r="R552" s="69" t="str">
        <f>IFERROR(__xludf.DUMMYFUNCTION("IF (OR( Q552 = """" , P552 =""""), """" , IF(Q552 = ""Menos de 1 mês"" , ""antes de ""&amp; TO_TEXT( EDATE(P552, 1)), EDATE(P552,Q552)))"),"")</f>
        <v/>
      </c>
      <c r="S552" s="28"/>
      <c r="T552" s="28"/>
      <c r="U552" s="28"/>
      <c r="V552" s="66"/>
      <c r="W552" s="5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</row>
    <row r="553" ht="60.0" customHeight="1">
      <c r="A553" s="14" t="str">
        <f>if(H553&lt;&gt;"",VLOOKUP(H553,ID!$A$2:$C$999,3,FALSE),"") </f>
        <v/>
      </c>
      <c r="B553" s="15"/>
      <c r="C553" s="16"/>
      <c r="D553" s="89"/>
      <c r="E553" s="89"/>
      <c r="F553" s="85"/>
      <c r="G553" s="81"/>
      <c r="H553" s="85"/>
      <c r="I553" s="85"/>
      <c r="J553" s="85"/>
      <c r="K553" s="85"/>
      <c r="L553" s="85"/>
      <c r="M553" s="85"/>
      <c r="N553" s="66"/>
      <c r="O553" s="66"/>
      <c r="P553" s="66"/>
      <c r="Q553" s="28"/>
      <c r="R553" s="69" t="str">
        <f>IFERROR(__xludf.DUMMYFUNCTION("IF (OR( Q553 = """" , P553 =""""), """" , IF(Q553 = ""Menos de 1 mês"" , ""antes de ""&amp; TO_TEXT( EDATE(P553, 1)), EDATE(P553,Q553)))"),"")</f>
        <v/>
      </c>
      <c r="S553" s="28"/>
      <c r="T553" s="28"/>
      <c r="U553" s="28"/>
      <c r="V553" s="66"/>
      <c r="W553" s="5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</row>
    <row r="554" ht="60.0" customHeight="1">
      <c r="A554" s="14" t="str">
        <f>if(H554&lt;&gt;"",VLOOKUP(H554,ID!$A$2:$C$999,3,FALSE),"") </f>
        <v/>
      </c>
      <c r="B554" s="15"/>
      <c r="C554" s="16"/>
      <c r="D554" s="89"/>
      <c r="E554" s="89"/>
      <c r="F554" s="85"/>
      <c r="G554" s="81"/>
      <c r="H554" s="85"/>
      <c r="I554" s="85"/>
      <c r="J554" s="85"/>
      <c r="K554" s="85"/>
      <c r="L554" s="85"/>
      <c r="M554" s="85"/>
      <c r="N554" s="66"/>
      <c r="O554" s="66"/>
      <c r="P554" s="66"/>
      <c r="Q554" s="28"/>
      <c r="R554" s="69" t="str">
        <f>IFERROR(__xludf.DUMMYFUNCTION("IF (OR( Q554 = """" , P554 =""""), """" , IF(Q554 = ""Menos de 1 mês"" , ""antes de ""&amp; TO_TEXT( EDATE(P554, 1)), EDATE(P554,Q554)))"),"")</f>
        <v/>
      </c>
      <c r="S554" s="28"/>
      <c r="T554" s="28"/>
      <c r="U554" s="28"/>
      <c r="V554" s="66"/>
      <c r="W554" s="5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</row>
    <row r="555" ht="60.0" customHeight="1">
      <c r="A555" s="14" t="str">
        <f>if(H555&lt;&gt;"",VLOOKUP(H555,ID!$A$2:$C$999,3,FALSE),"") </f>
        <v/>
      </c>
      <c r="B555" s="15"/>
      <c r="C555" s="16"/>
      <c r="D555" s="89"/>
      <c r="E555" s="89"/>
      <c r="F555" s="85"/>
      <c r="G555" s="81"/>
      <c r="H555" s="85"/>
      <c r="I555" s="85"/>
      <c r="J555" s="85"/>
      <c r="K555" s="85"/>
      <c r="L555" s="85"/>
      <c r="M555" s="85"/>
      <c r="N555" s="66"/>
      <c r="O555" s="66"/>
      <c r="P555" s="66"/>
      <c r="Q555" s="28"/>
      <c r="R555" s="69" t="str">
        <f>IFERROR(__xludf.DUMMYFUNCTION("IF (OR( Q555 = """" , P555 =""""), """" , IF(Q555 = ""Menos de 1 mês"" , ""antes de ""&amp; TO_TEXT( EDATE(P555, 1)), EDATE(P555,Q555)))"),"")</f>
        <v/>
      </c>
      <c r="S555" s="28"/>
      <c r="T555" s="28"/>
      <c r="U555" s="28"/>
      <c r="V555" s="66"/>
      <c r="W555" s="5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</row>
    <row r="556" ht="60.0" customHeight="1">
      <c r="A556" s="14" t="str">
        <f>if(H556&lt;&gt;"",VLOOKUP(H556,ID!$A$2:$C$999,3,FALSE),"") </f>
        <v/>
      </c>
      <c r="B556" s="15"/>
      <c r="C556" s="16"/>
      <c r="D556" s="89"/>
      <c r="E556" s="89"/>
      <c r="F556" s="85"/>
      <c r="G556" s="81"/>
      <c r="H556" s="85"/>
      <c r="I556" s="85"/>
      <c r="J556" s="85"/>
      <c r="K556" s="85"/>
      <c r="L556" s="85"/>
      <c r="M556" s="85"/>
      <c r="N556" s="66"/>
      <c r="O556" s="66"/>
      <c r="P556" s="66"/>
      <c r="Q556" s="28"/>
      <c r="R556" s="69" t="str">
        <f>IFERROR(__xludf.DUMMYFUNCTION("IF (OR( Q556 = """" , P556 =""""), """" , IF(Q556 = ""Menos de 1 mês"" , ""antes de ""&amp; TO_TEXT( EDATE(P556, 1)), EDATE(P556,Q556)))"),"")</f>
        <v/>
      </c>
      <c r="S556" s="28"/>
      <c r="T556" s="28"/>
      <c r="U556" s="28"/>
      <c r="V556" s="66"/>
      <c r="W556" s="5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</row>
    <row r="557" ht="60.0" customHeight="1">
      <c r="A557" s="14" t="str">
        <f>if(H557&lt;&gt;"",VLOOKUP(H557,ID!$A$2:$C$999,3,FALSE),"") </f>
        <v/>
      </c>
      <c r="B557" s="15"/>
      <c r="C557" s="16"/>
      <c r="D557" s="89"/>
      <c r="E557" s="89"/>
      <c r="F557" s="85"/>
      <c r="G557" s="81"/>
      <c r="H557" s="85"/>
      <c r="I557" s="85"/>
      <c r="J557" s="85"/>
      <c r="K557" s="85"/>
      <c r="L557" s="85"/>
      <c r="M557" s="85"/>
      <c r="N557" s="66"/>
      <c r="O557" s="66"/>
      <c r="P557" s="66"/>
      <c r="Q557" s="28"/>
      <c r="R557" s="69" t="str">
        <f>IFERROR(__xludf.DUMMYFUNCTION("IF (OR( Q557 = """" , P557 =""""), """" , IF(Q557 = ""Menos de 1 mês"" , ""antes de ""&amp; TO_TEXT( EDATE(P557, 1)), EDATE(P557,Q557)))"),"")</f>
        <v/>
      </c>
      <c r="S557" s="28"/>
      <c r="T557" s="28"/>
      <c r="U557" s="28"/>
      <c r="V557" s="66"/>
      <c r="W557" s="5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</row>
    <row r="558" ht="60.0" customHeight="1">
      <c r="A558" s="14" t="str">
        <f>if(H558&lt;&gt;"",VLOOKUP(H558,ID!$A$2:$C$999,3,FALSE),"") </f>
        <v/>
      </c>
      <c r="B558" s="15"/>
      <c r="C558" s="16"/>
      <c r="D558" s="89"/>
      <c r="E558" s="89"/>
      <c r="F558" s="85"/>
      <c r="G558" s="81"/>
      <c r="H558" s="85"/>
      <c r="I558" s="85"/>
      <c r="J558" s="85"/>
      <c r="K558" s="85"/>
      <c r="L558" s="85"/>
      <c r="M558" s="85"/>
      <c r="N558" s="66"/>
      <c r="O558" s="66"/>
      <c r="P558" s="66"/>
      <c r="Q558" s="28"/>
      <c r="R558" s="69" t="str">
        <f>IFERROR(__xludf.DUMMYFUNCTION("IF (OR( Q558 = """" , P558 =""""), """" , IF(Q558 = ""Menos de 1 mês"" , ""antes de ""&amp; TO_TEXT( EDATE(P558, 1)), EDATE(P558,Q558)))"),"")</f>
        <v/>
      </c>
      <c r="S558" s="28"/>
      <c r="T558" s="28"/>
      <c r="U558" s="28"/>
      <c r="V558" s="66"/>
      <c r="W558" s="5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</row>
    <row r="559" ht="60.0" customHeight="1">
      <c r="A559" s="14" t="str">
        <f>if(H559&lt;&gt;"",VLOOKUP(H559,ID!$A$2:$C$999,3,FALSE),"") </f>
        <v/>
      </c>
      <c r="B559" s="15"/>
      <c r="C559" s="16"/>
      <c r="D559" s="89"/>
      <c r="E559" s="89"/>
      <c r="F559" s="85"/>
      <c r="G559" s="81"/>
      <c r="H559" s="85"/>
      <c r="I559" s="85"/>
      <c r="J559" s="85"/>
      <c r="K559" s="85"/>
      <c r="L559" s="85"/>
      <c r="M559" s="85"/>
      <c r="N559" s="66"/>
      <c r="O559" s="66"/>
      <c r="P559" s="66"/>
      <c r="Q559" s="28"/>
      <c r="R559" s="69" t="str">
        <f>IFERROR(__xludf.DUMMYFUNCTION("IF (OR( Q559 = """" , P559 =""""), """" , IF(Q559 = ""Menos de 1 mês"" , ""antes de ""&amp; TO_TEXT( EDATE(P559, 1)), EDATE(P559,Q559)))"),"")</f>
        <v/>
      </c>
      <c r="S559" s="28"/>
      <c r="T559" s="28"/>
      <c r="U559" s="28"/>
      <c r="V559" s="66"/>
      <c r="W559" s="5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</row>
    <row r="560" ht="60.0" customHeight="1">
      <c r="A560" s="14" t="str">
        <f>if(H560&lt;&gt;"",VLOOKUP(H560,ID!$A$2:$C$999,3,FALSE),"") </f>
        <v/>
      </c>
      <c r="B560" s="15"/>
      <c r="C560" s="16"/>
      <c r="D560" s="89"/>
      <c r="E560" s="89"/>
      <c r="F560" s="85"/>
      <c r="G560" s="81"/>
      <c r="H560" s="85"/>
      <c r="I560" s="85"/>
      <c r="J560" s="85"/>
      <c r="K560" s="85"/>
      <c r="L560" s="85"/>
      <c r="M560" s="85"/>
      <c r="N560" s="66"/>
      <c r="O560" s="66"/>
      <c r="P560" s="66"/>
      <c r="Q560" s="28"/>
      <c r="R560" s="69" t="str">
        <f>IFERROR(__xludf.DUMMYFUNCTION("IF (OR( Q560 = """" , P560 =""""), """" , IF(Q560 = ""Menos de 1 mês"" , ""antes de ""&amp; TO_TEXT( EDATE(P560, 1)), EDATE(P560,Q560)))"),"")</f>
        <v/>
      </c>
      <c r="S560" s="28"/>
      <c r="T560" s="28"/>
      <c r="U560" s="28"/>
      <c r="V560" s="66"/>
      <c r="W560" s="5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</row>
    <row r="561" ht="60.0" customHeight="1">
      <c r="A561" s="14" t="str">
        <f>if(H561&lt;&gt;"",VLOOKUP(H561,ID!$A$2:$C$999,3,FALSE),"") </f>
        <v/>
      </c>
      <c r="B561" s="15"/>
      <c r="C561" s="16"/>
      <c r="D561" s="89"/>
      <c r="E561" s="89"/>
      <c r="F561" s="85"/>
      <c r="G561" s="81"/>
      <c r="H561" s="85"/>
      <c r="I561" s="85"/>
      <c r="J561" s="85"/>
      <c r="K561" s="85"/>
      <c r="L561" s="85"/>
      <c r="M561" s="85"/>
      <c r="N561" s="66"/>
      <c r="O561" s="66"/>
      <c r="P561" s="66"/>
      <c r="Q561" s="28"/>
      <c r="R561" s="69" t="str">
        <f>IFERROR(__xludf.DUMMYFUNCTION("IF (OR( Q561 = """" , P561 =""""), """" , IF(Q561 = ""Menos de 1 mês"" , ""antes de ""&amp; TO_TEXT( EDATE(P561, 1)), EDATE(P561,Q561)))"),"")</f>
        <v/>
      </c>
      <c r="S561" s="28"/>
      <c r="T561" s="28"/>
      <c r="U561" s="28"/>
      <c r="V561" s="66"/>
      <c r="W561" s="5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</row>
    <row r="562" ht="60.0" customHeight="1">
      <c r="A562" s="14" t="str">
        <f>if(H562&lt;&gt;"",VLOOKUP(H562,ID!$A$2:$C$999,3,FALSE),"") </f>
        <v/>
      </c>
      <c r="B562" s="15"/>
      <c r="C562" s="16"/>
      <c r="D562" s="89"/>
      <c r="E562" s="89"/>
      <c r="F562" s="85"/>
      <c r="G562" s="81"/>
      <c r="H562" s="85"/>
      <c r="I562" s="85"/>
      <c r="J562" s="85"/>
      <c r="K562" s="85"/>
      <c r="L562" s="85"/>
      <c r="M562" s="85"/>
      <c r="N562" s="66"/>
      <c r="O562" s="66"/>
      <c r="P562" s="66"/>
      <c r="Q562" s="28"/>
      <c r="R562" s="69" t="str">
        <f>IFERROR(__xludf.DUMMYFUNCTION("IF (OR( Q562 = """" , P562 =""""), """" , IF(Q562 = ""Menos de 1 mês"" , ""antes de ""&amp; TO_TEXT( EDATE(P562, 1)), EDATE(P562,Q562)))"),"")</f>
        <v/>
      </c>
      <c r="S562" s="28"/>
      <c r="T562" s="28"/>
      <c r="U562" s="28"/>
      <c r="V562" s="66"/>
      <c r="W562" s="5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</row>
    <row r="563" ht="60.0" customHeight="1">
      <c r="A563" s="14" t="str">
        <f>if(H563&lt;&gt;"",VLOOKUP(H563,ID!$A$2:$C$999,3,FALSE),"") </f>
        <v/>
      </c>
      <c r="B563" s="15"/>
      <c r="C563" s="16"/>
      <c r="D563" s="89"/>
      <c r="E563" s="89"/>
      <c r="F563" s="85"/>
      <c r="G563" s="81"/>
      <c r="H563" s="85"/>
      <c r="I563" s="85"/>
      <c r="J563" s="85"/>
      <c r="K563" s="85"/>
      <c r="L563" s="85"/>
      <c r="M563" s="85"/>
      <c r="N563" s="66"/>
      <c r="O563" s="66"/>
      <c r="P563" s="66"/>
      <c r="Q563" s="28"/>
      <c r="R563" s="69" t="str">
        <f>IFERROR(__xludf.DUMMYFUNCTION("IF (OR( Q563 = """" , P563 =""""), """" , IF(Q563 = ""Menos de 1 mês"" , ""antes de ""&amp; TO_TEXT( EDATE(P563, 1)), EDATE(P563,Q563)))"),"")</f>
        <v/>
      </c>
      <c r="S563" s="28"/>
      <c r="T563" s="28"/>
      <c r="U563" s="28"/>
      <c r="V563" s="66"/>
      <c r="W563" s="5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</row>
    <row r="564" ht="60.0" customHeight="1">
      <c r="A564" s="14" t="str">
        <f>if(H564&lt;&gt;"",VLOOKUP(H564,ID!$A$2:$C$999,3,FALSE),"") </f>
        <v/>
      </c>
      <c r="B564" s="15"/>
      <c r="C564" s="16"/>
      <c r="D564" s="89"/>
      <c r="E564" s="89"/>
      <c r="F564" s="85"/>
      <c r="G564" s="81"/>
      <c r="H564" s="85"/>
      <c r="I564" s="85"/>
      <c r="J564" s="85"/>
      <c r="K564" s="85"/>
      <c r="L564" s="85"/>
      <c r="M564" s="85"/>
      <c r="N564" s="66"/>
      <c r="O564" s="66"/>
      <c r="P564" s="66"/>
      <c r="Q564" s="28"/>
      <c r="R564" s="69" t="str">
        <f>IFERROR(__xludf.DUMMYFUNCTION("IF (OR( Q564 = """" , P564 =""""), """" , IF(Q564 = ""Menos de 1 mês"" , ""antes de ""&amp; TO_TEXT( EDATE(P564, 1)), EDATE(P564,Q564)))"),"")</f>
        <v/>
      </c>
      <c r="S564" s="28"/>
      <c r="T564" s="28"/>
      <c r="U564" s="28"/>
      <c r="V564" s="66"/>
      <c r="W564" s="5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</row>
    <row r="565" ht="60.0" customHeight="1">
      <c r="A565" s="14" t="str">
        <f>if(H565&lt;&gt;"",VLOOKUP(H565,ID!$A$2:$C$999,3,FALSE),"") </f>
        <v/>
      </c>
      <c r="B565" s="15"/>
      <c r="C565" s="16"/>
      <c r="D565" s="89"/>
      <c r="E565" s="89"/>
      <c r="F565" s="85"/>
      <c r="G565" s="81"/>
      <c r="H565" s="85"/>
      <c r="I565" s="85"/>
      <c r="J565" s="85"/>
      <c r="K565" s="85"/>
      <c r="L565" s="85"/>
      <c r="M565" s="85"/>
      <c r="N565" s="66"/>
      <c r="O565" s="66"/>
      <c r="P565" s="66"/>
      <c r="Q565" s="28"/>
      <c r="R565" s="69" t="str">
        <f>IFERROR(__xludf.DUMMYFUNCTION("IF (OR( Q565 = """" , P565 =""""), """" , IF(Q565 = ""Menos de 1 mês"" , ""antes de ""&amp; TO_TEXT( EDATE(P565, 1)), EDATE(P565,Q565)))"),"")</f>
        <v/>
      </c>
      <c r="S565" s="28"/>
      <c r="T565" s="28"/>
      <c r="U565" s="28"/>
      <c r="V565" s="66"/>
      <c r="W565" s="5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</row>
    <row r="566" ht="60.0" customHeight="1">
      <c r="A566" s="14" t="str">
        <f>if(H566&lt;&gt;"",VLOOKUP(H566,ID!$A$2:$C$999,3,FALSE),"") </f>
        <v/>
      </c>
      <c r="B566" s="15"/>
      <c r="C566" s="16"/>
      <c r="D566" s="89"/>
      <c r="E566" s="89"/>
      <c r="F566" s="85"/>
      <c r="G566" s="81"/>
      <c r="H566" s="85"/>
      <c r="I566" s="85"/>
      <c r="J566" s="85"/>
      <c r="K566" s="85"/>
      <c r="L566" s="85"/>
      <c r="M566" s="85"/>
      <c r="N566" s="66"/>
      <c r="O566" s="66"/>
      <c r="P566" s="66"/>
      <c r="Q566" s="28"/>
      <c r="R566" s="69" t="str">
        <f>IFERROR(__xludf.DUMMYFUNCTION("IF (OR( Q566 = """" , P566 =""""), """" , IF(Q566 = ""Menos de 1 mês"" , ""antes de ""&amp; TO_TEXT( EDATE(P566, 1)), EDATE(P566,Q566)))"),"")</f>
        <v/>
      </c>
      <c r="S566" s="28"/>
      <c r="T566" s="28"/>
      <c r="U566" s="28"/>
      <c r="V566" s="66"/>
      <c r="W566" s="5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</row>
    <row r="567" ht="60.0" customHeight="1">
      <c r="A567" s="14" t="str">
        <f>if(H567&lt;&gt;"",VLOOKUP(H567,ID!$A$2:$C$999,3,FALSE),"") </f>
        <v/>
      </c>
      <c r="B567" s="15"/>
      <c r="C567" s="16"/>
      <c r="D567" s="89"/>
      <c r="E567" s="89"/>
      <c r="F567" s="85"/>
      <c r="G567" s="81"/>
      <c r="H567" s="85"/>
      <c r="I567" s="85"/>
      <c r="J567" s="85"/>
      <c r="K567" s="85"/>
      <c r="L567" s="85"/>
      <c r="M567" s="85"/>
      <c r="N567" s="66"/>
      <c r="O567" s="66"/>
      <c r="P567" s="66"/>
      <c r="Q567" s="28"/>
      <c r="R567" s="69" t="str">
        <f>IFERROR(__xludf.DUMMYFUNCTION("IF (OR( Q567 = """" , P567 =""""), """" , IF(Q567 = ""Menos de 1 mês"" , ""antes de ""&amp; TO_TEXT( EDATE(P567, 1)), EDATE(P567,Q567)))"),"")</f>
        <v/>
      </c>
      <c r="S567" s="28"/>
      <c r="T567" s="28"/>
      <c r="U567" s="28"/>
      <c r="V567" s="66"/>
      <c r="W567" s="5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</row>
    <row r="568" ht="60.0" customHeight="1">
      <c r="A568" s="14" t="str">
        <f>if(H568&lt;&gt;"",VLOOKUP(H568,ID!$A$2:$C$999,3,FALSE),"") </f>
        <v/>
      </c>
      <c r="B568" s="15"/>
      <c r="C568" s="16"/>
      <c r="D568" s="89"/>
      <c r="E568" s="89"/>
      <c r="F568" s="85"/>
      <c r="G568" s="81"/>
      <c r="H568" s="85"/>
      <c r="I568" s="85"/>
      <c r="J568" s="85"/>
      <c r="K568" s="85"/>
      <c r="L568" s="85"/>
      <c r="M568" s="85"/>
      <c r="N568" s="66"/>
      <c r="O568" s="66"/>
      <c r="P568" s="66"/>
      <c r="Q568" s="28"/>
      <c r="R568" s="69" t="str">
        <f>IFERROR(__xludf.DUMMYFUNCTION("IF (OR( Q568 = """" , P568 =""""), """" , IF(Q568 = ""Menos de 1 mês"" , ""antes de ""&amp; TO_TEXT( EDATE(P568, 1)), EDATE(P568,Q568)))"),"")</f>
        <v/>
      </c>
      <c r="S568" s="28"/>
      <c r="T568" s="28"/>
      <c r="U568" s="28"/>
      <c r="V568" s="66"/>
      <c r="W568" s="5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</row>
    <row r="569" ht="60.0" customHeight="1">
      <c r="A569" s="14" t="str">
        <f>if(H569&lt;&gt;"",VLOOKUP(H569,ID!$A$2:$C$999,3,FALSE),"") </f>
        <v/>
      </c>
      <c r="B569" s="15"/>
      <c r="C569" s="16"/>
      <c r="D569" s="89"/>
      <c r="E569" s="89"/>
      <c r="F569" s="85"/>
      <c r="G569" s="81"/>
      <c r="H569" s="85"/>
      <c r="I569" s="85"/>
      <c r="J569" s="85"/>
      <c r="K569" s="85"/>
      <c r="L569" s="85"/>
      <c r="M569" s="85"/>
      <c r="N569" s="66"/>
      <c r="O569" s="66"/>
      <c r="P569" s="66"/>
      <c r="Q569" s="28"/>
      <c r="R569" s="69" t="str">
        <f>IFERROR(__xludf.DUMMYFUNCTION("IF (OR( Q569 = """" , P569 =""""), """" , IF(Q569 = ""Menos de 1 mês"" , ""antes de ""&amp; TO_TEXT( EDATE(P569, 1)), EDATE(P569,Q569)))"),"")</f>
        <v/>
      </c>
      <c r="S569" s="28"/>
      <c r="T569" s="28"/>
      <c r="U569" s="28"/>
      <c r="V569" s="66"/>
      <c r="W569" s="5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</row>
    <row r="570" ht="60.0" customHeight="1">
      <c r="A570" s="14" t="str">
        <f>if(H570&lt;&gt;"",VLOOKUP(H570,ID!$A$2:$C$999,3,FALSE),"") </f>
        <v/>
      </c>
      <c r="B570" s="15"/>
      <c r="C570" s="16"/>
      <c r="D570" s="89"/>
      <c r="E570" s="89"/>
      <c r="F570" s="85"/>
      <c r="G570" s="81"/>
      <c r="H570" s="85"/>
      <c r="I570" s="85"/>
      <c r="J570" s="85"/>
      <c r="K570" s="85"/>
      <c r="L570" s="85"/>
      <c r="M570" s="85"/>
      <c r="N570" s="66"/>
      <c r="O570" s="66"/>
      <c r="P570" s="66"/>
      <c r="Q570" s="28"/>
      <c r="R570" s="69" t="str">
        <f>IFERROR(__xludf.DUMMYFUNCTION("IF (OR( Q570 = """" , P570 =""""), """" , IF(Q570 = ""Menos de 1 mês"" , ""antes de ""&amp; TO_TEXT( EDATE(P570, 1)), EDATE(P570,Q570)))"),"")</f>
        <v/>
      </c>
      <c r="S570" s="28"/>
      <c r="T570" s="28"/>
      <c r="U570" s="28"/>
      <c r="V570" s="66"/>
      <c r="W570" s="5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</row>
    <row r="571" ht="60.0" customHeight="1">
      <c r="A571" s="14" t="str">
        <f>if(H571&lt;&gt;"",VLOOKUP(H571,ID!$A$2:$C$999,3,FALSE),"") </f>
        <v/>
      </c>
      <c r="B571" s="15"/>
      <c r="C571" s="16"/>
      <c r="D571" s="89"/>
      <c r="E571" s="89"/>
      <c r="F571" s="85"/>
      <c r="G571" s="81"/>
      <c r="H571" s="85"/>
      <c r="I571" s="85"/>
      <c r="J571" s="85"/>
      <c r="K571" s="85"/>
      <c r="L571" s="85"/>
      <c r="M571" s="85"/>
      <c r="N571" s="66"/>
      <c r="O571" s="66"/>
      <c r="P571" s="66"/>
      <c r="Q571" s="28"/>
      <c r="R571" s="69" t="str">
        <f>IFERROR(__xludf.DUMMYFUNCTION("IF (OR( Q571 = """" , P571 =""""), """" , IF(Q571 = ""Menos de 1 mês"" , ""antes de ""&amp; TO_TEXT( EDATE(P571, 1)), EDATE(P571,Q571)))"),"")</f>
        <v/>
      </c>
      <c r="S571" s="28"/>
      <c r="T571" s="28"/>
      <c r="U571" s="28"/>
      <c r="V571" s="66"/>
      <c r="W571" s="5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</row>
    <row r="572" ht="60.0" customHeight="1">
      <c r="A572" s="14" t="str">
        <f>if(H572&lt;&gt;"",VLOOKUP(H572,ID!$A$2:$C$999,3,FALSE),"") </f>
        <v/>
      </c>
      <c r="B572" s="15"/>
      <c r="C572" s="16"/>
      <c r="D572" s="89"/>
      <c r="E572" s="89"/>
      <c r="F572" s="85"/>
      <c r="G572" s="81"/>
      <c r="H572" s="85"/>
      <c r="I572" s="85"/>
      <c r="J572" s="85"/>
      <c r="K572" s="85"/>
      <c r="L572" s="85"/>
      <c r="M572" s="85"/>
      <c r="N572" s="66"/>
      <c r="O572" s="66"/>
      <c r="P572" s="66"/>
      <c r="Q572" s="28"/>
      <c r="R572" s="69" t="str">
        <f>IFERROR(__xludf.DUMMYFUNCTION("IF (OR( Q572 = """" , P572 =""""), """" , IF(Q572 = ""Menos de 1 mês"" , ""antes de ""&amp; TO_TEXT( EDATE(P572, 1)), EDATE(P572,Q572)))"),"")</f>
        <v/>
      </c>
      <c r="S572" s="28"/>
      <c r="T572" s="28"/>
      <c r="U572" s="28"/>
      <c r="V572" s="66"/>
      <c r="W572" s="5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</row>
    <row r="573" ht="60.0" customHeight="1">
      <c r="A573" s="14" t="str">
        <f>if(H573&lt;&gt;"",VLOOKUP(H573,ID!$A$2:$C$999,3,FALSE),"") </f>
        <v/>
      </c>
      <c r="B573" s="15"/>
      <c r="C573" s="16"/>
      <c r="D573" s="89"/>
      <c r="E573" s="89"/>
      <c r="F573" s="85"/>
      <c r="G573" s="81"/>
      <c r="H573" s="85"/>
      <c r="I573" s="85"/>
      <c r="J573" s="85"/>
      <c r="K573" s="85"/>
      <c r="L573" s="85"/>
      <c r="M573" s="85"/>
      <c r="N573" s="66"/>
      <c r="O573" s="66"/>
      <c r="P573" s="66"/>
      <c r="Q573" s="28"/>
      <c r="R573" s="69" t="str">
        <f>IFERROR(__xludf.DUMMYFUNCTION("IF (OR( Q573 = """" , P573 =""""), """" , IF(Q573 = ""Menos de 1 mês"" , ""antes de ""&amp; TO_TEXT( EDATE(P573, 1)), EDATE(P573,Q573)))"),"")</f>
        <v/>
      </c>
      <c r="S573" s="28"/>
      <c r="T573" s="28"/>
      <c r="U573" s="28"/>
      <c r="V573" s="66"/>
      <c r="W573" s="5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</row>
    <row r="574" ht="60.0" customHeight="1">
      <c r="A574" s="14" t="str">
        <f>if(H574&lt;&gt;"",VLOOKUP(H574,ID!$A$2:$C$999,3,FALSE),"") </f>
        <v/>
      </c>
      <c r="B574" s="15"/>
      <c r="C574" s="16"/>
      <c r="D574" s="89"/>
      <c r="E574" s="89"/>
      <c r="F574" s="85"/>
      <c r="G574" s="81"/>
      <c r="H574" s="85"/>
      <c r="I574" s="85"/>
      <c r="J574" s="85"/>
      <c r="K574" s="85"/>
      <c r="L574" s="85"/>
      <c r="M574" s="85"/>
      <c r="N574" s="66"/>
      <c r="O574" s="66"/>
      <c r="P574" s="66"/>
      <c r="Q574" s="28"/>
      <c r="R574" s="69" t="str">
        <f>IFERROR(__xludf.DUMMYFUNCTION("IF (OR( Q574 = """" , P574 =""""), """" , IF(Q574 = ""Menos de 1 mês"" , ""antes de ""&amp; TO_TEXT( EDATE(P574, 1)), EDATE(P574,Q574)))"),"")</f>
        <v/>
      </c>
      <c r="S574" s="28"/>
      <c r="T574" s="28"/>
      <c r="U574" s="28"/>
      <c r="V574" s="66"/>
      <c r="W574" s="5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</row>
    <row r="575" ht="60.0" customHeight="1">
      <c r="A575" s="14" t="str">
        <f>if(H575&lt;&gt;"",VLOOKUP(H575,ID!$A$2:$C$999,3,FALSE),"") </f>
        <v/>
      </c>
      <c r="B575" s="15"/>
      <c r="C575" s="16"/>
      <c r="D575" s="89"/>
      <c r="E575" s="89"/>
      <c r="F575" s="85"/>
      <c r="G575" s="81"/>
      <c r="H575" s="85"/>
      <c r="I575" s="85"/>
      <c r="J575" s="85"/>
      <c r="K575" s="85"/>
      <c r="L575" s="85"/>
      <c r="M575" s="85"/>
      <c r="N575" s="66"/>
      <c r="O575" s="66"/>
      <c r="P575" s="66"/>
      <c r="Q575" s="28"/>
      <c r="R575" s="69" t="str">
        <f>IFERROR(__xludf.DUMMYFUNCTION("IF (OR( Q575 = """" , P575 =""""), """" , IF(Q575 = ""Menos de 1 mês"" , ""antes de ""&amp; TO_TEXT( EDATE(P575, 1)), EDATE(P575,Q575)))"),"")</f>
        <v/>
      </c>
      <c r="S575" s="28"/>
      <c r="T575" s="28"/>
      <c r="U575" s="28"/>
      <c r="V575" s="66"/>
      <c r="W575" s="5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</row>
    <row r="576" ht="60.0" customHeight="1">
      <c r="A576" s="14" t="str">
        <f>if(H576&lt;&gt;"",VLOOKUP(H576,ID!$A$2:$C$999,3,FALSE),"") </f>
        <v/>
      </c>
      <c r="B576" s="15"/>
      <c r="C576" s="16"/>
      <c r="D576" s="89"/>
      <c r="E576" s="89"/>
      <c r="F576" s="85"/>
      <c r="G576" s="81"/>
      <c r="H576" s="85"/>
      <c r="I576" s="85"/>
      <c r="J576" s="85"/>
      <c r="K576" s="85"/>
      <c r="L576" s="85"/>
      <c r="M576" s="85"/>
      <c r="N576" s="66"/>
      <c r="O576" s="66"/>
      <c r="P576" s="66"/>
      <c r="Q576" s="28"/>
      <c r="R576" s="69" t="str">
        <f>IFERROR(__xludf.DUMMYFUNCTION("IF (OR( Q576 = """" , P576 =""""), """" , IF(Q576 = ""Menos de 1 mês"" , ""antes de ""&amp; TO_TEXT( EDATE(P576, 1)), EDATE(P576,Q576)))"),"")</f>
        <v/>
      </c>
      <c r="S576" s="28"/>
      <c r="T576" s="28"/>
      <c r="U576" s="28"/>
      <c r="V576" s="66"/>
      <c r="W576" s="5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</row>
    <row r="577" ht="60.0" customHeight="1">
      <c r="A577" s="14" t="str">
        <f>if(H577&lt;&gt;"",VLOOKUP(H577,ID!$A$2:$C$999,3,FALSE),"") </f>
        <v/>
      </c>
      <c r="B577" s="15"/>
      <c r="C577" s="16"/>
      <c r="D577" s="89"/>
      <c r="E577" s="89"/>
      <c r="F577" s="85"/>
      <c r="G577" s="81"/>
      <c r="H577" s="85"/>
      <c r="I577" s="85"/>
      <c r="J577" s="85"/>
      <c r="K577" s="85"/>
      <c r="L577" s="85"/>
      <c r="M577" s="85"/>
      <c r="N577" s="66"/>
      <c r="O577" s="66"/>
      <c r="P577" s="66"/>
      <c r="Q577" s="28"/>
      <c r="R577" s="69" t="str">
        <f>IFERROR(__xludf.DUMMYFUNCTION("IF (OR( Q577 = """" , P577 =""""), """" , IF(Q577 = ""Menos de 1 mês"" , ""antes de ""&amp; TO_TEXT( EDATE(P577, 1)), EDATE(P577,Q577)))"),"")</f>
        <v/>
      </c>
      <c r="S577" s="28"/>
      <c r="T577" s="28"/>
      <c r="U577" s="28"/>
      <c r="V577" s="66"/>
      <c r="W577" s="5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</row>
    <row r="578" ht="60.0" customHeight="1">
      <c r="A578" s="14" t="str">
        <f>if(H578&lt;&gt;"",VLOOKUP(H578,ID!$A$2:$C$999,3,FALSE),"") </f>
        <v/>
      </c>
      <c r="B578" s="15"/>
      <c r="C578" s="16"/>
      <c r="D578" s="89"/>
      <c r="E578" s="89"/>
      <c r="F578" s="85"/>
      <c r="G578" s="81"/>
      <c r="H578" s="85"/>
      <c r="I578" s="85"/>
      <c r="J578" s="85"/>
      <c r="K578" s="85"/>
      <c r="L578" s="85"/>
      <c r="M578" s="85"/>
      <c r="N578" s="66"/>
      <c r="O578" s="66"/>
      <c r="P578" s="66"/>
      <c r="Q578" s="28"/>
      <c r="R578" s="69" t="str">
        <f>IFERROR(__xludf.DUMMYFUNCTION("IF (OR( Q578 = """" , P578 =""""), """" , IF(Q578 = ""Menos de 1 mês"" , ""antes de ""&amp; TO_TEXT( EDATE(P578, 1)), EDATE(P578,Q578)))"),"")</f>
        <v/>
      </c>
      <c r="S578" s="28"/>
      <c r="T578" s="28"/>
      <c r="U578" s="28"/>
      <c r="V578" s="66"/>
      <c r="W578" s="5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</row>
    <row r="579" ht="60.0" customHeight="1">
      <c r="A579" s="14" t="str">
        <f>if(H579&lt;&gt;"",VLOOKUP(H579,ID!$A$2:$C$999,3,FALSE),"") </f>
        <v/>
      </c>
      <c r="B579" s="15"/>
      <c r="C579" s="16"/>
      <c r="D579" s="89"/>
      <c r="E579" s="89"/>
      <c r="F579" s="85"/>
      <c r="G579" s="81"/>
      <c r="H579" s="85"/>
      <c r="I579" s="85"/>
      <c r="J579" s="85"/>
      <c r="K579" s="85"/>
      <c r="L579" s="85"/>
      <c r="M579" s="85"/>
      <c r="N579" s="66"/>
      <c r="O579" s="66"/>
      <c r="P579" s="66"/>
      <c r="Q579" s="28"/>
      <c r="R579" s="69" t="str">
        <f>IFERROR(__xludf.DUMMYFUNCTION("IF (OR( Q579 = """" , P579 =""""), """" , IF(Q579 = ""Menos de 1 mês"" , ""antes de ""&amp; TO_TEXT( EDATE(P579, 1)), EDATE(P579,Q579)))"),"")</f>
        <v/>
      </c>
      <c r="S579" s="28"/>
      <c r="T579" s="28"/>
      <c r="U579" s="28"/>
      <c r="V579" s="66"/>
      <c r="W579" s="5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</row>
    <row r="580" ht="60.0" customHeight="1">
      <c r="A580" s="14" t="str">
        <f>if(H580&lt;&gt;"",VLOOKUP(H580,ID!$A$2:$C$999,3,FALSE),"") </f>
        <v/>
      </c>
      <c r="B580" s="15"/>
      <c r="C580" s="16"/>
      <c r="D580" s="89"/>
      <c r="E580" s="89"/>
      <c r="F580" s="85"/>
      <c r="G580" s="81"/>
      <c r="H580" s="85"/>
      <c r="I580" s="85"/>
      <c r="J580" s="85"/>
      <c r="K580" s="85"/>
      <c r="L580" s="85"/>
      <c r="M580" s="85"/>
      <c r="N580" s="66"/>
      <c r="O580" s="66"/>
      <c r="P580" s="66"/>
      <c r="Q580" s="28"/>
      <c r="R580" s="69" t="str">
        <f>IFERROR(__xludf.DUMMYFUNCTION("IF (OR( Q580 = """" , P580 =""""), """" , IF(Q580 = ""Menos de 1 mês"" , ""antes de ""&amp; TO_TEXT( EDATE(P580, 1)), EDATE(P580,Q580)))"),"")</f>
        <v/>
      </c>
      <c r="S580" s="28"/>
      <c r="T580" s="28"/>
      <c r="U580" s="28"/>
      <c r="V580" s="66"/>
      <c r="W580" s="5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</row>
    <row r="581" ht="60.0" customHeight="1">
      <c r="A581" s="14" t="str">
        <f>if(H581&lt;&gt;"",VLOOKUP(H581,ID!$A$2:$C$999,3,FALSE),"") </f>
        <v/>
      </c>
      <c r="B581" s="15"/>
      <c r="C581" s="16"/>
      <c r="D581" s="89"/>
      <c r="E581" s="89"/>
      <c r="F581" s="85"/>
      <c r="G581" s="81"/>
      <c r="H581" s="85"/>
      <c r="I581" s="85"/>
      <c r="J581" s="85"/>
      <c r="K581" s="85"/>
      <c r="L581" s="85"/>
      <c r="M581" s="85"/>
      <c r="N581" s="66"/>
      <c r="O581" s="66"/>
      <c r="P581" s="66"/>
      <c r="Q581" s="28"/>
      <c r="R581" s="69" t="str">
        <f>IFERROR(__xludf.DUMMYFUNCTION("IF (OR( Q581 = """" , P581 =""""), """" , IF(Q581 = ""Menos de 1 mês"" , ""antes de ""&amp; TO_TEXT( EDATE(P581, 1)), EDATE(P581,Q581)))"),"")</f>
        <v/>
      </c>
      <c r="S581" s="28"/>
      <c r="T581" s="28"/>
      <c r="U581" s="28"/>
      <c r="V581" s="66"/>
      <c r="W581" s="5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</row>
    <row r="582" ht="60.0" customHeight="1">
      <c r="A582" s="14" t="str">
        <f>if(H582&lt;&gt;"",VLOOKUP(H582,ID!$A$2:$C$999,3,FALSE),"") </f>
        <v/>
      </c>
      <c r="B582" s="15"/>
      <c r="C582" s="16"/>
      <c r="D582" s="89"/>
      <c r="E582" s="89"/>
      <c r="F582" s="85"/>
      <c r="G582" s="81"/>
      <c r="H582" s="85"/>
      <c r="I582" s="85"/>
      <c r="J582" s="85"/>
      <c r="K582" s="85"/>
      <c r="L582" s="85"/>
      <c r="M582" s="85"/>
      <c r="N582" s="66"/>
      <c r="O582" s="66"/>
      <c r="P582" s="66"/>
      <c r="Q582" s="28"/>
      <c r="R582" s="69" t="str">
        <f>IFERROR(__xludf.DUMMYFUNCTION("IF (OR( Q582 = """" , P582 =""""), """" , IF(Q582 = ""Menos de 1 mês"" , ""antes de ""&amp; TO_TEXT( EDATE(P582, 1)), EDATE(P582,Q582)))"),"")</f>
        <v/>
      </c>
      <c r="S582" s="28"/>
      <c r="T582" s="28"/>
      <c r="U582" s="28"/>
      <c r="V582" s="66"/>
      <c r="W582" s="5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</row>
    <row r="583" ht="60.0" customHeight="1">
      <c r="A583" s="14" t="str">
        <f>if(H583&lt;&gt;"",VLOOKUP(H583,ID!$A$2:$C$999,3,FALSE),"") </f>
        <v/>
      </c>
      <c r="B583" s="15"/>
      <c r="C583" s="16"/>
      <c r="D583" s="89"/>
      <c r="E583" s="89"/>
      <c r="F583" s="85"/>
      <c r="G583" s="81"/>
      <c r="H583" s="85"/>
      <c r="I583" s="85"/>
      <c r="J583" s="85"/>
      <c r="K583" s="85"/>
      <c r="L583" s="85"/>
      <c r="M583" s="85"/>
      <c r="N583" s="66"/>
      <c r="O583" s="66"/>
      <c r="P583" s="66"/>
      <c r="Q583" s="28"/>
      <c r="R583" s="69" t="str">
        <f>IFERROR(__xludf.DUMMYFUNCTION("IF (OR( Q583 = """" , P583 =""""), """" , IF(Q583 = ""Menos de 1 mês"" , ""antes de ""&amp; TO_TEXT( EDATE(P583, 1)), EDATE(P583,Q583)))"),"")</f>
        <v/>
      </c>
      <c r="S583" s="28"/>
      <c r="T583" s="28"/>
      <c r="U583" s="28"/>
      <c r="V583" s="66"/>
      <c r="W583" s="5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</row>
    <row r="584" ht="60.0" customHeight="1">
      <c r="A584" s="14" t="str">
        <f>if(H584&lt;&gt;"",VLOOKUP(H584,ID!$A$2:$C$999,3,FALSE),"") </f>
        <v/>
      </c>
      <c r="B584" s="15"/>
      <c r="C584" s="16"/>
      <c r="D584" s="89"/>
      <c r="E584" s="89"/>
      <c r="F584" s="85"/>
      <c r="G584" s="81"/>
      <c r="H584" s="85"/>
      <c r="I584" s="85"/>
      <c r="J584" s="85"/>
      <c r="K584" s="85"/>
      <c r="L584" s="85"/>
      <c r="M584" s="85"/>
      <c r="N584" s="66"/>
      <c r="O584" s="66"/>
      <c r="P584" s="66"/>
      <c r="Q584" s="28"/>
      <c r="R584" s="69" t="str">
        <f>IFERROR(__xludf.DUMMYFUNCTION("IF (OR( Q584 = """" , P584 =""""), """" , IF(Q584 = ""Menos de 1 mês"" , ""antes de ""&amp; TO_TEXT( EDATE(P584, 1)), EDATE(P584,Q584)))"),"")</f>
        <v/>
      </c>
      <c r="S584" s="28"/>
      <c r="T584" s="28"/>
      <c r="U584" s="28"/>
      <c r="V584" s="66"/>
      <c r="W584" s="5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</row>
    <row r="585" ht="60.0" customHeight="1">
      <c r="A585" s="14" t="str">
        <f>if(H585&lt;&gt;"",VLOOKUP(H585,ID!$A$2:$C$999,3,FALSE),"") </f>
        <v/>
      </c>
      <c r="B585" s="15"/>
      <c r="C585" s="16"/>
      <c r="D585" s="89"/>
      <c r="E585" s="89"/>
      <c r="F585" s="85"/>
      <c r="G585" s="81"/>
      <c r="H585" s="85"/>
      <c r="I585" s="85"/>
      <c r="J585" s="85"/>
      <c r="K585" s="85"/>
      <c r="L585" s="85"/>
      <c r="M585" s="85"/>
      <c r="N585" s="66"/>
      <c r="O585" s="66"/>
      <c r="P585" s="66"/>
      <c r="Q585" s="28"/>
      <c r="R585" s="69" t="str">
        <f>IFERROR(__xludf.DUMMYFUNCTION("IF (OR( Q585 = """" , P585 =""""), """" , IF(Q585 = ""Menos de 1 mês"" , ""antes de ""&amp; TO_TEXT( EDATE(P585, 1)), EDATE(P585,Q585)))"),"")</f>
        <v/>
      </c>
      <c r="S585" s="28"/>
      <c r="T585" s="28"/>
      <c r="U585" s="28"/>
      <c r="V585" s="66"/>
      <c r="W585" s="5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</row>
    <row r="586" ht="60.0" customHeight="1">
      <c r="A586" s="14" t="str">
        <f>if(H586&lt;&gt;"",VLOOKUP(H586,ID!$A$2:$C$999,3,FALSE),"") </f>
        <v/>
      </c>
      <c r="B586" s="15"/>
      <c r="C586" s="16"/>
      <c r="D586" s="89"/>
      <c r="E586" s="89"/>
      <c r="F586" s="85"/>
      <c r="G586" s="81"/>
      <c r="H586" s="85"/>
      <c r="I586" s="85"/>
      <c r="J586" s="85"/>
      <c r="K586" s="85"/>
      <c r="L586" s="85"/>
      <c r="M586" s="85"/>
      <c r="N586" s="66"/>
      <c r="O586" s="66"/>
      <c r="P586" s="66"/>
      <c r="Q586" s="28"/>
      <c r="R586" s="69" t="str">
        <f>IFERROR(__xludf.DUMMYFUNCTION("IF (OR( Q586 = """" , P586 =""""), """" , IF(Q586 = ""Menos de 1 mês"" , ""antes de ""&amp; TO_TEXT( EDATE(P586, 1)), EDATE(P586,Q586)))"),"")</f>
        <v/>
      </c>
      <c r="S586" s="28"/>
      <c r="T586" s="28"/>
      <c r="U586" s="28"/>
      <c r="V586" s="66"/>
      <c r="W586" s="5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</row>
    <row r="587" ht="60.0" customHeight="1">
      <c r="A587" s="14" t="str">
        <f>if(H587&lt;&gt;"",VLOOKUP(H587,ID!$A$2:$C$999,3,FALSE),"") </f>
        <v/>
      </c>
      <c r="B587" s="15"/>
      <c r="C587" s="16"/>
      <c r="D587" s="89"/>
      <c r="E587" s="89"/>
      <c r="F587" s="85"/>
      <c r="G587" s="81"/>
      <c r="H587" s="85"/>
      <c r="I587" s="85"/>
      <c r="J587" s="85"/>
      <c r="K587" s="85"/>
      <c r="L587" s="85"/>
      <c r="M587" s="85"/>
      <c r="N587" s="66"/>
      <c r="O587" s="66"/>
      <c r="P587" s="66"/>
      <c r="Q587" s="28"/>
      <c r="R587" s="69" t="str">
        <f>IFERROR(__xludf.DUMMYFUNCTION("IF (OR( Q587 = """" , P587 =""""), """" , IF(Q587 = ""Menos de 1 mês"" , ""antes de ""&amp; TO_TEXT( EDATE(P587, 1)), EDATE(P587,Q587)))"),"")</f>
        <v/>
      </c>
      <c r="S587" s="28"/>
      <c r="T587" s="28"/>
      <c r="U587" s="28"/>
      <c r="V587" s="66"/>
      <c r="W587" s="5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</row>
    <row r="588" ht="60.0" customHeight="1">
      <c r="A588" s="14" t="str">
        <f>if(H588&lt;&gt;"",VLOOKUP(H588,ID!$A$2:$C$999,3,FALSE),"") </f>
        <v/>
      </c>
      <c r="B588" s="15"/>
      <c r="C588" s="16"/>
      <c r="D588" s="89"/>
      <c r="E588" s="89"/>
      <c r="F588" s="85"/>
      <c r="G588" s="81"/>
      <c r="H588" s="85"/>
      <c r="I588" s="85"/>
      <c r="J588" s="85"/>
      <c r="K588" s="85"/>
      <c r="L588" s="85"/>
      <c r="M588" s="85"/>
      <c r="N588" s="66"/>
      <c r="O588" s="66"/>
      <c r="P588" s="66"/>
      <c r="Q588" s="28"/>
      <c r="R588" s="69" t="str">
        <f>IFERROR(__xludf.DUMMYFUNCTION("IF (OR( Q588 = """" , P588 =""""), """" , IF(Q588 = ""Menos de 1 mês"" , ""antes de ""&amp; TO_TEXT( EDATE(P588, 1)), EDATE(P588,Q588)))"),"")</f>
        <v/>
      </c>
      <c r="S588" s="28"/>
      <c r="T588" s="28"/>
      <c r="U588" s="28"/>
      <c r="V588" s="66"/>
      <c r="W588" s="5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</row>
    <row r="589" ht="60.0" customHeight="1">
      <c r="A589" s="14" t="str">
        <f>if(H589&lt;&gt;"",VLOOKUP(H589,ID!$A$2:$C$999,3,FALSE),"") </f>
        <v/>
      </c>
      <c r="B589" s="15"/>
      <c r="C589" s="16"/>
      <c r="D589" s="89"/>
      <c r="E589" s="89"/>
      <c r="F589" s="85"/>
      <c r="G589" s="81"/>
      <c r="H589" s="85"/>
      <c r="I589" s="85"/>
      <c r="J589" s="85"/>
      <c r="K589" s="85"/>
      <c r="L589" s="85"/>
      <c r="M589" s="85"/>
      <c r="N589" s="66"/>
      <c r="O589" s="66"/>
      <c r="P589" s="66"/>
      <c r="Q589" s="28"/>
      <c r="R589" s="69" t="str">
        <f>IFERROR(__xludf.DUMMYFUNCTION("IF (OR( Q589 = """" , P589 =""""), """" , IF(Q589 = ""Menos de 1 mês"" , ""antes de ""&amp; TO_TEXT( EDATE(P589, 1)), EDATE(P589,Q589)))"),"")</f>
        <v/>
      </c>
      <c r="S589" s="28"/>
      <c r="T589" s="28"/>
      <c r="U589" s="28"/>
      <c r="V589" s="66"/>
      <c r="W589" s="5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</row>
    <row r="590" ht="60.0" customHeight="1">
      <c r="A590" s="14" t="str">
        <f>if(H590&lt;&gt;"",VLOOKUP(H590,ID!$A$2:$C$999,3,FALSE),"") </f>
        <v/>
      </c>
      <c r="B590" s="15"/>
      <c r="C590" s="16"/>
      <c r="D590" s="89"/>
      <c r="E590" s="89"/>
      <c r="F590" s="85"/>
      <c r="G590" s="81"/>
      <c r="H590" s="85"/>
      <c r="I590" s="85"/>
      <c r="J590" s="85"/>
      <c r="K590" s="85"/>
      <c r="L590" s="85"/>
      <c r="M590" s="85"/>
      <c r="N590" s="66"/>
      <c r="O590" s="66"/>
      <c r="P590" s="66"/>
      <c r="Q590" s="28"/>
      <c r="R590" s="69" t="str">
        <f>IFERROR(__xludf.DUMMYFUNCTION("IF (OR( Q590 = """" , P590 =""""), """" , IF(Q590 = ""Menos de 1 mês"" , ""antes de ""&amp; TO_TEXT( EDATE(P590, 1)), EDATE(P590,Q590)))"),"")</f>
        <v/>
      </c>
      <c r="S590" s="28"/>
      <c r="T590" s="28"/>
      <c r="U590" s="28"/>
      <c r="V590" s="66"/>
      <c r="W590" s="5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</row>
    <row r="591" ht="60.0" customHeight="1">
      <c r="A591" s="14" t="str">
        <f>if(H591&lt;&gt;"",VLOOKUP(H591,ID!$A$2:$C$999,3,FALSE),"") </f>
        <v/>
      </c>
      <c r="B591" s="15"/>
      <c r="C591" s="16"/>
      <c r="D591" s="89"/>
      <c r="E591" s="89"/>
      <c r="F591" s="85"/>
      <c r="G591" s="81"/>
      <c r="H591" s="85"/>
      <c r="I591" s="85"/>
      <c r="J591" s="85"/>
      <c r="K591" s="85"/>
      <c r="L591" s="85"/>
      <c r="M591" s="85"/>
      <c r="N591" s="66"/>
      <c r="O591" s="66"/>
      <c r="P591" s="66"/>
      <c r="Q591" s="28"/>
      <c r="R591" s="69" t="str">
        <f>IFERROR(__xludf.DUMMYFUNCTION("IF (OR( Q591 = """" , P591 =""""), """" , IF(Q591 = ""Menos de 1 mês"" , ""antes de ""&amp; TO_TEXT( EDATE(P591, 1)), EDATE(P591,Q591)))"),"")</f>
        <v/>
      </c>
      <c r="S591" s="28"/>
      <c r="T591" s="28"/>
      <c r="U591" s="28"/>
      <c r="V591" s="66"/>
      <c r="W591" s="5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</row>
    <row r="592" ht="60.0" customHeight="1">
      <c r="A592" s="14" t="str">
        <f>if(H592&lt;&gt;"",VLOOKUP(H592,ID!$A$2:$C$999,3,FALSE),"") </f>
        <v/>
      </c>
      <c r="B592" s="15"/>
      <c r="C592" s="16"/>
      <c r="D592" s="89"/>
      <c r="E592" s="89"/>
      <c r="F592" s="85"/>
      <c r="G592" s="81"/>
      <c r="H592" s="85"/>
      <c r="I592" s="85"/>
      <c r="J592" s="85"/>
      <c r="K592" s="85"/>
      <c r="L592" s="85"/>
      <c r="M592" s="85"/>
      <c r="N592" s="66"/>
      <c r="O592" s="66"/>
      <c r="P592" s="66"/>
      <c r="Q592" s="28"/>
      <c r="R592" s="69" t="str">
        <f>IFERROR(__xludf.DUMMYFUNCTION("IF (OR( Q592 = """" , P592 =""""), """" , IF(Q592 = ""Menos de 1 mês"" , ""antes de ""&amp; TO_TEXT( EDATE(P592, 1)), EDATE(P592,Q592)))"),"")</f>
        <v/>
      </c>
      <c r="S592" s="28"/>
      <c r="T592" s="28"/>
      <c r="U592" s="28"/>
      <c r="V592" s="66"/>
      <c r="W592" s="5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</row>
    <row r="593" ht="60.0" customHeight="1">
      <c r="A593" s="14" t="str">
        <f>if(H593&lt;&gt;"",VLOOKUP(H593,ID!$A$2:$C$999,3,FALSE),"") </f>
        <v/>
      </c>
      <c r="B593" s="15"/>
      <c r="C593" s="16"/>
      <c r="D593" s="89"/>
      <c r="E593" s="89"/>
      <c r="F593" s="85"/>
      <c r="G593" s="81"/>
      <c r="H593" s="85"/>
      <c r="I593" s="85"/>
      <c r="J593" s="85"/>
      <c r="K593" s="85"/>
      <c r="L593" s="85"/>
      <c r="M593" s="85"/>
      <c r="N593" s="66"/>
      <c r="O593" s="66"/>
      <c r="P593" s="66"/>
      <c r="Q593" s="28"/>
      <c r="R593" s="69" t="str">
        <f>IFERROR(__xludf.DUMMYFUNCTION("IF (OR( Q593 = """" , P593 =""""), """" , IF(Q593 = ""Menos de 1 mês"" , ""antes de ""&amp; TO_TEXT( EDATE(P593, 1)), EDATE(P593,Q593)))"),"")</f>
        <v/>
      </c>
      <c r="S593" s="28"/>
      <c r="T593" s="28"/>
      <c r="U593" s="28"/>
      <c r="V593" s="66"/>
      <c r="W593" s="5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</row>
    <row r="594" ht="60.0" customHeight="1">
      <c r="A594" s="14" t="str">
        <f>if(H594&lt;&gt;"",VLOOKUP(H594,ID!$A$2:$C$999,3,FALSE),"") </f>
        <v/>
      </c>
      <c r="B594" s="15"/>
      <c r="C594" s="16"/>
      <c r="D594" s="89"/>
      <c r="E594" s="89"/>
      <c r="F594" s="85"/>
      <c r="G594" s="81"/>
      <c r="H594" s="85"/>
      <c r="I594" s="85"/>
      <c r="J594" s="85"/>
      <c r="K594" s="85"/>
      <c r="L594" s="85"/>
      <c r="M594" s="85"/>
      <c r="N594" s="66"/>
      <c r="O594" s="66"/>
      <c r="P594" s="66"/>
      <c r="Q594" s="28"/>
      <c r="R594" s="69" t="str">
        <f>IFERROR(__xludf.DUMMYFUNCTION("IF (OR( Q594 = """" , P594 =""""), """" , IF(Q594 = ""Menos de 1 mês"" , ""antes de ""&amp; TO_TEXT( EDATE(P594, 1)), EDATE(P594,Q594)))"),"")</f>
        <v/>
      </c>
      <c r="S594" s="28"/>
      <c r="T594" s="28"/>
      <c r="U594" s="28"/>
      <c r="V594" s="66"/>
      <c r="W594" s="5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</row>
    <row r="595" ht="60.0" customHeight="1">
      <c r="A595" s="14" t="str">
        <f>if(H595&lt;&gt;"",VLOOKUP(H595,ID!$A$2:$C$999,3,FALSE),"") </f>
        <v/>
      </c>
      <c r="B595" s="15"/>
      <c r="C595" s="16"/>
      <c r="D595" s="89"/>
      <c r="E595" s="89"/>
      <c r="F595" s="85"/>
      <c r="G595" s="81"/>
      <c r="H595" s="85"/>
      <c r="I595" s="85"/>
      <c r="J595" s="85"/>
      <c r="K595" s="85"/>
      <c r="L595" s="85"/>
      <c r="M595" s="85"/>
      <c r="N595" s="66"/>
      <c r="O595" s="66"/>
      <c r="P595" s="66"/>
      <c r="Q595" s="28"/>
      <c r="R595" s="69" t="str">
        <f>IFERROR(__xludf.DUMMYFUNCTION("IF (OR( Q595 = """" , P595 =""""), """" , IF(Q595 = ""Menos de 1 mês"" , ""antes de ""&amp; TO_TEXT( EDATE(P595, 1)), EDATE(P595,Q595)))"),"")</f>
        <v/>
      </c>
      <c r="S595" s="28"/>
      <c r="T595" s="28"/>
      <c r="U595" s="28"/>
      <c r="V595" s="66"/>
      <c r="W595" s="5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</row>
    <row r="596" ht="60.0" customHeight="1">
      <c r="A596" s="14" t="str">
        <f>if(H596&lt;&gt;"",VLOOKUP(H596,ID!$A$2:$C$999,3,FALSE),"") </f>
        <v/>
      </c>
      <c r="B596" s="15"/>
      <c r="C596" s="16"/>
      <c r="D596" s="89"/>
      <c r="E596" s="89"/>
      <c r="F596" s="85"/>
      <c r="G596" s="81"/>
      <c r="H596" s="85"/>
      <c r="I596" s="85"/>
      <c r="J596" s="85"/>
      <c r="K596" s="85"/>
      <c r="L596" s="85"/>
      <c r="M596" s="85"/>
      <c r="N596" s="66"/>
      <c r="O596" s="66"/>
      <c r="P596" s="66"/>
      <c r="Q596" s="28"/>
      <c r="R596" s="69" t="str">
        <f>IFERROR(__xludf.DUMMYFUNCTION("IF (OR( Q596 = """" , P596 =""""), """" , IF(Q596 = ""Menos de 1 mês"" , ""antes de ""&amp; TO_TEXT( EDATE(P596, 1)), EDATE(P596,Q596)))"),"")</f>
        <v/>
      </c>
      <c r="S596" s="28"/>
      <c r="T596" s="28"/>
      <c r="U596" s="28"/>
      <c r="V596" s="66"/>
      <c r="W596" s="5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</row>
    <row r="597" ht="60.0" customHeight="1">
      <c r="A597" s="14" t="str">
        <f>if(H597&lt;&gt;"",VLOOKUP(H597,ID!$A$2:$C$999,3,FALSE),"") </f>
        <v/>
      </c>
      <c r="B597" s="15"/>
      <c r="C597" s="16"/>
      <c r="D597" s="89"/>
      <c r="E597" s="89"/>
      <c r="F597" s="85"/>
      <c r="G597" s="81"/>
      <c r="H597" s="85"/>
      <c r="I597" s="85"/>
      <c r="J597" s="85"/>
      <c r="K597" s="85"/>
      <c r="L597" s="85"/>
      <c r="M597" s="85"/>
      <c r="N597" s="66"/>
      <c r="O597" s="66"/>
      <c r="P597" s="66"/>
      <c r="Q597" s="28"/>
      <c r="R597" s="69" t="str">
        <f>IFERROR(__xludf.DUMMYFUNCTION("IF (OR( Q597 = """" , P597 =""""), """" , IF(Q597 = ""Menos de 1 mês"" , ""antes de ""&amp; TO_TEXT( EDATE(P597, 1)), EDATE(P597,Q597)))"),"")</f>
        <v/>
      </c>
      <c r="S597" s="28"/>
      <c r="T597" s="28"/>
      <c r="U597" s="28"/>
      <c r="V597" s="66"/>
      <c r="W597" s="5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</row>
    <row r="598" ht="60.0" customHeight="1">
      <c r="A598" s="14" t="str">
        <f>if(H598&lt;&gt;"",VLOOKUP(H598,ID!$A$2:$C$999,3,FALSE),"") </f>
        <v/>
      </c>
      <c r="B598" s="15"/>
      <c r="C598" s="16"/>
      <c r="D598" s="89"/>
      <c r="E598" s="89"/>
      <c r="F598" s="85"/>
      <c r="G598" s="81"/>
      <c r="H598" s="85"/>
      <c r="I598" s="85"/>
      <c r="J598" s="85"/>
      <c r="K598" s="85"/>
      <c r="L598" s="85"/>
      <c r="M598" s="85"/>
      <c r="N598" s="66"/>
      <c r="O598" s="66"/>
      <c r="P598" s="66"/>
      <c r="Q598" s="28"/>
      <c r="R598" s="69" t="str">
        <f>IFERROR(__xludf.DUMMYFUNCTION("IF (OR( Q598 = """" , P598 =""""), """" , IF(Q598 = ""Menos de 1 mês"" , ""antes de ""&amp; TO_TEXT( EDATE(P598, 1)), EDATE(P598,Q598)))"),"")</f>
        <v/>
      </c>
      <c r="S598" s="28"/>
      <c r="T598" s="28"/>
      <c r="U598" s="28"/>
      <c r="V598" s="66"/>
      <c r="W598" s="5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</row>
    <row r="599" ht="60.0" customHeight="1">
      <c r="A599" s="14" t="str">
        <f>if(H599&lt;&gt;"",VLOOKUP(H599,ID!$A$2:$C$999,3,FALSE),"") </f>
        <v/>
      </c>
      <c r="B599" s="15"/>
      <c r="C599" s="16"/>
      <c r="D599" s="89"/>
      <c r="E599" s="89"/>
      <c r="F599" s="85"/>
      <c r="G599" s="81"/>
      <c r="H599" s="85"/>
      <c r="I599" s="85"/>
      <c r="J599" s="85"/>
      <c r="K599" s="85"/>
      <c r="L599" s="85"/>
      <c r="M599" s="85"/>
      <c r="N599" s="66"/>
      <c r="O599" s="66"/>
      <c r="P599" s="66"/>
      <c r="Q599" s="28"/>
      <c r="R599" s="69" t="str">
        <f>IFERROR(__xludf.DUMMYFUNCTION("IF (OR( Q599 = """" , P599 =""""), """" , IF(Q599 = ""Menos de 1 mês"" , ""antes de ""&amp; TO_TEXT( EDATE(P599, 1)), EDATE(P599,Q599)))"),"")</f>
        <v/>
      </c>
      <c r="S599" s="28"/>
      <c r="T599" s="28"/>
      <c r="U599" s="28"/>
      <c r="V599" s="66"/>
      <c r="W599" s="5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</row>
    <row r="600" ht="60.0" customHeight="1">
      <c r="A600" s="14" t="str">
        <f>if(H600&lt;&gt;"",VLOOKUP(H600,ID!$A$2:$C$999,3,FALSE),"") </f>
        <v/>
      </c>
      <c r="B600" s="15"/>
      <c r="C600" s="16"/>
      <c r="D600" s="89"/>
      <c r="E600" s="89"/>
      <c r="F600" s="85"/>
      <c r="G600" s="81"/>
      <c r="H600" s="85"/>
      <c r="I600" s="85"/>
      <c r="J600" s="85"/>
      <c r="K600" s="85"/>
      <c r="L600" s="85"/>
      <c r="M600" s="85"/>
      <c r="N600" s="66"/>
      <c r="O600" s="66"/>
      <c r="P600" s="66"/>
      <c r="Q600" s="28"/>
      <c r="R600" s="69" t="str">
        <f>IFERROR(__xludf.DUMMYFUNCTION("IF (OR( Q600 = """" , P600 =""""), """" , IF(Q600 = ""Menos de 1 mês"" , ""antes de ""&amp; TO_TEXT( EDATE(P600, 1)), EDATE(P600,Q600)))"),"")</f>
        <v/>
      </c>
      <c r="S600" s="28"/>
      <c r="T600" s="28"/>
      <c r="U600" s="28"/>
      <c r="V600" s="66"/>
      <c r="W600" s="5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</row>
    <row r="601" ht="60.0" customHeight="1">
      <c r="A601" s="14" t="str">
        <f>if(H601&lt;&gt;"",VLOOKUP(H601,ID!$A$2:$C$999,3,FALSE),"") </f>
        <v/>
      </c>
      <c r="B601" s="15"/>
      <c r="C601" s="16"/>
      <c r="D601" s="89"/>
      <c r="E601" s="89"/>
      <c r="F601" s="85"/>
      <c r="G601" s="81"/>
      <c r="H601" s="85"/>
      <c r="I601" s="85"/>
      <c r="J601" s="85"/>
      <c r="K601" s="85"/>
      <c r="L601" s="85"/>
      <c r="M601" s="85"/>
      <c r="N601" s="66"/>
      <c r="O601" s="66"/>
      <c r="P601" s="66"/>
      <c r="Q601" s="28"/>
      <c r="R601" s="69" t="str">
        <f>IFERROR(__xludf.DUMMYFUNCTION("IF (OR( Q601 = """" , P601 =""""), """" , IF(Q601 = ""Menos de 1 mês"" , ""antes de ""&amp; TO_TEXT( EDATE(P601, 1)), EDATE(P601,Q601)))"),"")</f>
        <v/>
      </c>
      <c r="S601" s="28"/>
      <c r="T601" s="28"/>
      <c r="U601" s="28"/>
      <c r="V601" s="66"/>
      <c r="W601" s="5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</row>
    <row r="602" ht="60.0" customHeight="1">
      <c r="A602" s="14" t="str">
        <f>if(H602&lt;&gt;"",VLOOKUP(H602,ID!$A$2:$C$999,3,FALSE),"") </f>
        <v/>
      </c>
      <c r="B602" s="15"/>
      <c r="C602" s="16"/>
      <c r="D602" s="89"/>
      <c r="E602" s="89"/>
      <c r="F602" s="85"/>
      <c r="G602" s="81"/>
      <c r="H602" s="85"/>
      <c r="I602" s="85"/>
      <c r="J602" s="85"/>
      <c r="K602" s="85"/>
      <c r="L602" s="85"/>
      <c r="M602" s="85"/>
      <c r="N602" s="66"/>
      <c r="O602" s="66"/>
      <c r="P602" s="66"/>
      <c r="Q602" s="28"/>
      <c r="R602" s="69" t="str">
        <f>IFERROR(__xludf.DUMMYFUNCTION("IF (OR( Q602 = """" , P602 =""""), """" , IF(Q602 = ""Menos de 1 mês"" , ""antes de ""&amp; TO_TEXT( EDATE(P602, 1)), EDATE(P602,Q602)))"),"")</f>
        <v/>
      </c>
      <c r="S602" s="28"/>
      <c r="T602" s="28"/>
      <c r="U602" s="28"/>
      <c r="V602" s="66"/>
      <c r="W602" s="5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</row>
    <row r="603" ht="60.0" customHeight="1">
      <c r="A603" s="14" t="str">
        <f>if(H603&lt;&gt;"",VLOOKUP(H603,ID!$A$2:$C$999,3,FALSE),"") </f>
        <v/>
      </c>
      <c r="B603" s="15"/>
      <c r="C603" s="16"/>
      <c r="D603" s="89"/>
      <c r="E603" s="89"/>
      <c r="F603" s="85"/>
      <c r="G603" s="81"/>
      <c r="H603" s="85"/>
      <c r="I603" s="85"/>
      <c r="J603" s="85"/>
      <c r="K603" s="85"/>
      <c r="L603" s="85"/>
      <c r="M603" s="85"/>
      <c r="N603" s="66"/>
      <c r="O603" s="66"/>
      <c r="P603" s="66"/>
      <c r="Q603" s="28"/>
      <c r="R603" s="69" t="str">
        <f>IFERROR(__xludf.DUMMYFUNCTION("IF (OR( Q603 = """" , P603 =""""), """" , IF(Q603 = ""Menos de 1 mês"" , ""antes de ""&amp; TO_TEXT( EDATE(P603, 1)), EDATE(P603,Q603)))"),"")</f>
        <v/>
      </c>
      <c r="S603" s="28"/>
      <c r="T603" s="28"/>
      <c r="U603" s="28"/>
      <c r="V603" s="66"/>
      <c r="W603" s="5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</row>
    <row r="604" ht="60.0" customHeight="1">
      <c r="A604" s="14" t="str">
        <f>if(H604&lt;&gt;"",VLOOKUP(H604,ID!$A$2:$C$999,3,FALSE),"") </f>
        <v/>
      </c>
      <c r="B604" s="15"/>
      <c r="C604" s="16"/>
      <c r="D604" s="89"/>
      <c r="E604" s="89"/>
      <c r="F604" s="85"/>
      <c r="G604" s="81"/>
      <c r="H604" s="85"/>
      <c r="I604" s="85"/>
      <c r="J604" s="85"/>
      <c r="K604" s="85"/>
      <c r="L604" s="85"/>
      <c r="M604" s="85"/>
      <c r="N604" s="66"/>
      <c r="O604" s="66"/>
      <c r="P604" s="66"/>
      <c r="Q604" s="28"/>
      <c r="R604" s="69" t="str">
        <f>IFERROR(__xludf.DUMMYFUNCTION("IF (OR( Q604 = """" , P604 =""""), """" , IF(Q604 = ""Menos de 1 mês"" , ""antes de ""&amp; TO_TEXT( EDATE(P604, 1)), EDATE(P604,Q604)))"),"")</f>
        <v/>
      </c>
      <c r="S604" s="28"/>
      <c r="T604" s="28"/>
      <c r="U604" s="28"/>
      <c r="V604" s="66"/>
      <c r="W604" s="5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</row>
    <row r="605" ht="60.0" customHeight="1">
      <c r="A605" s="14" t="str">
        <f>if(H605&lt;&gt;"",VLOOKUP(H605,ID!$A$2:$C$999,3,FALSE),"") </f>
        <v/>
      </c>
      <c r="B605" s="15"/>
      <c r="C605" s="16"/>
      <c r="D605" s="89"/>
      <c r="E605" s="89"/>
      <c r="F605" s="85"/>
      <c r="G605" s="81"/>
      <c r="H605" s="85"/>
      <c r="I605" s="85"/>
      <c r="J605" s="85"/>
      <c r="K605" s="85"/>
      <c r="L605" s="85"/>
      <c r="M605" s="85"/>
      <c r="N605" s="66"/>
      <c r="O605" s="66"/>
      <c r="P605" s="66"/>
      <c r="Q605" s="28"/>
      <c r="R605" s="69" t="str">
        <f>IFERROR(__xludf.DUMMYFUNCTION("IF (OR( Q605 = """" , P605 =""""), """" , IF(Q605 = ""Menos de 1 mês"" , ""antes de ""&amp; TO_TEXT( EDATE(P605, 1)), EDATE(P605,Q605)))"),"")</f>
        <v/>
      </c>
      <c r="S605" s="28"/>
      <c r="T605" s="28"/>
      <c r="U605" s="28"/>
      <c r="V605" s="66"/>
      <c r="W605" s="5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</row>
    <row r="606" ht="60.0" customHeight="1">
      <c r="A606" s="14" t="str">
        <f>if(H606&lt;&gt;"",VLOOKUP(H606,ID!$A$2:$C$999,3,FALSE),"") </f>
        <v/>
      </c>
      <c r="B606" s="15"/>
      <c r="C606" s="16"/>
      <c r="D606" s="89"/>
      <c r="E606" s="89"/>
      <c r="F606" s="85"/>
      <c r="G606" s="81"/>
      <c r="H606" s="85"/>
      <c r="I606" s="85"/>
      <c r="J606" s="85"/>
      <c r="K606" s="85"/>
      <c r="L606" s="85"/>
      <c r="M606" s="85"/>
      <c r="N606" s="66"/>
      <c r="O606" s="66"/>
      <c r="P606" s="66"/>
      <c r="Q606" s="28"/>
      <c r="R606" s="69" t="str">
        <f>IFERROR(__xludf.DUMMYFUNCTION("IF (OR( Q606 = """" , P606 =""""), """" , IF(Q606 = ""Menos de 1 mês"" , ""antes de ""&amp; TO_TEXT( EDATE(P606, 1)), EDATE(P606,Q606)))"),"")</f>
        <v/>
      </c>
      <c r="S606" s="28"/>
      <c r="T606" s="28"/>
      <c r="U606" s="28"/>
      <c r="V606" s="66"/>
      <c r="W606" s="5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</row>
    <row r="607" ht="60.0" customHeight="1">
      <c r="A607" s="14" t="str">
        <f>if(H607&lt;&gt;"",VLOOKUP(H607,ID!$A$2:$C$999,3,FALSE),"") </f>
        <v/>
      </c>
      <c r="B607" s="15"/>
      <c r="C607" s="16"/>
      <c r="D607" s="89"/>
      <c r="E607" s="89"/>
      <c r="F607" s="85"/>
      <c r="G607" s="81"/>
      <c r="H607" s="85"/>
      <c r="I607" s="85"/>
      <c r="J607" s="85"/>
      <c r="K607" s="85"/>
      <c r="L607" s="85"/>
      <c r="M607" s="85"/>
      <c r="N607" s="66"/>
      <c r="O607" s="66"/>
      <c r="P607" s="66"/>
      <c r="Q607" s="28"/>
      <c r="R607" s="69" t="str">
        <f>IFERROR(__xludf.DUMMYFUNCTION("IF (OR( Q607 = """" , P607 =""""), """" , IF(Q607 = ""Menos de 1 mês"" , ""antes de ""&amp; TO_TEXT( EDATE(P607, 1)), EDATE(P607,Q607)))"),"")</f>
        <v/>
      </c>
      <c r="S607" s="28"/>
      <c r="T607" s="28"/>
      <c r="U607" s="28"/>
      <c r="V607" s="66"/>
      <c r="W607" s="5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</row>
    <row r="608" ht="60.0" customHeight="1">
      <c r="A608" s="14" t="str">
        <f>if(H608&lt;&gt;"",VLOOKUP(H608,ID!$A$2:$C$999,3,FALSE),"") </f>
        <v/>
      </c>
      <c r="B608" s="15"/>
      <c r="C608" s="16"/>
      <c r="D608" s="89"/>
      <c r="E608" s="89"/>
      <c r="F608" s="85"/>
      <c r="G608" s="81"/>
      <c r="H608" s="85"/>
      <c r="I608" s="85"/>
      <c r="J608" s="85"/>
      <c r="K608" s="85"/>
      <c r="L608" s="85"/>
      <c r="M608" s="85"/>
      <c r="N608" s="66"/>
      <c r="O608" s="66"/>
      <c r="P608" s="66"/>
      <c r="Q608" s="28"/>
      <c r="R608" s="69" t="str">
        <f>IFERROR(__xludf.DUMMYFUNCTION("IF (OR( Q608 = """" , P608 =""""), """" , IF(Q608 = ""Menos de 1 mês"" , ""antes de ""&amp; TO_TEXT( EDATE(P608, 1)), EDATE(P608,Q608)))"),"")</f>
        <v/>
      </c>
      <c r="S608" s="28"/>
      <c r="T608" s="28"/>
      <c r="U608" s="28"/>
      <c r="V608" s="66"/>
      <c r="W608" s="5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</row>
    <row r="609" ht="60.0" customHeight="1">
      <c r="A609" s="14" t="str">
        <f>if(H609&lt;&gt;"",VLOOKUP(H609,ID!$A$2:$C$999,3,FALSE),"") </f>
        <v/>
      </c>
      <c r="B609" s="15"/>
      <c r="C609" s="16"/>
      <c r="D609" s="89"/>
      <c r="E609" s="89"/>
      <c r="F609" s="85"/>
      <c r="G609" s="81"/>
      <c r="H609" s="85"/>
      <c r="I609" s="85"/>
      <c r="J609" s="85"/>
      <c r="K609" s="85"/>
      <c r="L609" s="85"/>
      <c r="M609" s="85"/>
      <c r="N609" s="66"/>
      <c r="O609" s="66"/>
      <c r="P609" s="66"/>
      <c r="Q609" s="28"/>
      <c r="R609" s="69" t="str">
        <f>IFERROR(__xludf.DUMMYFUNCTION("IF (OR( Q609 = """" , P609 =""""), """" , IF(Q609 = ""Menos de 1 mês"" , ""antes de ""&amp; TO_TEXT( EDATE(P609, 1)), EDATE(P609,Q609)))"),"")</f>
        <v/>
      </c>
      <c r="S609" s="28"/>
      <c r="T609" s="28"/>
      <c r="U609" s="28"/>
      <c r="V609" s="66"/>
      <c r="W609" s="5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</row>
    <row r="610" ht="60.0" customHeight="1">
      <c r="A610" s="14" t="str">
        <f>if(H610&lt;&gt;"",VLOOKUP(H610,ID!$A$2:$C$999,3,FALSE),"") </f>
        <v/>
      </c>
      <c r="B610" s="15"/>
      <c r="C610" s="16"/>
      <c r="D610" s="89"/>
      <c r="E610" s="89"/>
      <c r="F610" s="85"/>
      <c r="G610" s="81"/>
      <c r="H610" s="85"/>
      <c r="I610" s="85"/>
      <c r="J610" s="85"/>
      <c r="K610" s="85"/>
      <c r="L610" s="85"/>
      <c r="M610" s="85"/>
      <c r="N610" s="66"/>
      <c r="O610" s="66"/>
      <c r="P610" s="66"/>
      <c r="Q610" s="28"/>
      <c r="R610" s="69" t="str">
        <f>IFERROR(__xludf.DUMMYFUNCTION("IF (OR( Q610 = """" , P610 =""""), """" , IF(Q610 = ""Menos de 1 mês"" , ""antes de ""&amp; TO_TEXT( EDATE(P610, 1)), EDATE(P610,Q610)))"),"")</f>
        <v/>
      </c>
      <c r="S610" s="28"/>
      <c r="T610" s="28"/>
      <c r="U610" s="28"/>
      <c r="V610" s="66"/>
      <c r="W610" s="5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</row>
    <row r="611" ht="60.0" customHeight="1">
      <c r="A611" s="14" t="str">
        <f>if(H611&lt;&gt;"",VLOOKUP(H611,ID!$A$2:$C$999,3,FALSE),"") </f>
        <v/>
      </c>
      <c r="B611" s="15"/>
      <c r="C611" s="16"/>
      <c r="D611" s="89"/>
      <c r="E611" s="89"/>
      <c r="F611" s="85"/>
      <c r="G611" s="81"/>
      <c r="H611" s="85"/>
      <c r="I611" s="85"/>
      <c r="J611" s="85"/>
      <c r="K611" s="85"/>
      <c r="L611" s="85"/>
      <c r="M611" s="85"/>
      <c r="N611" s="66"/>
      <c r="O611" s="66"/>
      <c r="P611" s="66"/>
      <c r="Q611" s="28"/>
      <c r="R611" s="69" t="str">
        <f>IFERROR(__xludf.DUMMYFUNCTION("IF (OR( Q611 = """" , P611 =""""), """" , IF(Q611 = ""Menos de 1 mês"" , ""antes de ""&amp; TO_TEXT( EDATE(P611, 1)), EDATE(P611,Q611)))"),"")</f>
        <v/>
      </c>
      <c r="S611" s="28"/>
      <c r="T611" s="28"/>
      <c r="U611" s="28"/>
      <c r="V611" s="66"/>
      <c r="W611" s="5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</row>
    <row r="612" ht="60.0" customHeight="1">
      <c r="A612" s="14" t="str">
        <f>if(H612&lt;&gt;"",VLOOKUP(H612,ID!$A$2:$C$999,3,FALSE),"") </f>
        <v/>
      </c>
      <c r="B612" s="15"/>
      <c r="C612" s="16"/>
      <c r="D612" s="89"/>
      <c r="E612" s="89"/>
      <c r="F612" s="85"/>
      <c r="G612" s="81"/>
      <c r="H612" s="85"/>
      <c r="I612" s="85"/>
      <c r="J612" s="85"/>
      <c r="K612" s="85"/>
      <c r="L612" s="85"/>
      <c r="M612" s="85"/>
      <c r="N612" s="66"/>
      <c r="O612" s="66"/>
      <c r="P612" s="66"/>
      <c r="Q612" s="28"/>
      <c r="R612" s="69" t="str">
        <f>IFERROR(__xludf.DUMMYFUNCTION("IF (OR( Q612 = """" , P612 =""""), """" , IF(Q612 = ""Menos de 1 mês"" , ""antes de ""&amp; TO_TEXT( EDATE(P612, 1)), EDATE(P612,Q612)))"),"")</f>
        <v/>
      </c>
      <c r="S612" s="28"/>
      <c r="T612" s="28"/>
      <c r="U612" s="28"/>
      <c r="V612" s="66"/>
      <c r="W612" s="5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</row>
    <row r="613" ht="60.0" customHeight="1">
      <c r="A613" s="14" t="str">
        <f>if(H613&lt;&gt;"",VLOOKUP(H613,ID!$A$2:$C$999,3,FALSE),"") </f>
        <v/>
      </c>
      <c r="B613" s="15"/>
      <c r="C613" s="16"/>
      <c r="D613" s="89"/>
      <c r="E613" s="89"/>
      <c r="F613" s="85"/>
      <c r="G613" s="81"/>
      <c r="H613" s="85"/>
      <c r="I613" s="85"/>
      <c r="J613" s="85"/>
      <c r="K613" s="85"/>
      <c r="L613" s="85"/>
      <c r="M613" s="85"/>
      <c r="N613" s="66"/>
      <c r="O613" s="66"/>
      <c r="P613" s="66"/>
      <c r="Q613" s="28"/>
      <c r="R613" s="69" t="str">
        <f>IFERROR(__xludf.DUMMYFUNCTION("IF (OR( Q613 = """" , P613 =""""), """" , IF(Q613 = ""Menos de 1 mês"" , ""antes de ""&amp; TO_TEXT( EDATE(P613, 1)), EDATE(P613,Q613)))"),"")</f>
        <v/>
      </c>
      <c r="S613" s="28"/>
      <c r="T613" s="28"/>
      <c r="U613" s="28"/>
      <c r="V613" s="66"/>
      <c r="W613" s="5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</row>
    <row r="614" ht="60.0" customHeight="1">
      <c r="A614" s="14" t="str">
        <f>if(H614&lt;&gt;"",VLOOKUP(H614,ID!$A$2:$C$999,3,FALSE),"") </f>
        <v/>
      </c>
      <c r="B614" s="15"/>
      <c r="C614" s="16"/>
      <c r="D614" s="89"/>
      <c r="E614" s="89"/>
      <c r="F614" s="85"/>
      <c r="G614" s="81"/>
      <c r="H614" s="85"/>
      <c r="I614" s="85"/>
      <c r="J614" s="85"/>
      <c r="K614" s="85"/>
      <c r="L614" s="85"/>
      <c r="M614" s="85"/>
      <c r="N614" s="66"/>
      <c r="O614" s="66"/>
      <c r="P614" s="66"/>
      <c r="Q614" s="28"/>
      <c r="R614" s="69" t="str">
        <f>IFERROR(__xludf.DUMMYFUNCTION("IF (OR( Q614 = """" , P614 =""""), """" , IF(Q614 = ""Menos de 1 mês"" , ""antes de ""&amp; TO_TEXT( EDATE(P614, 1)), EDATE(P614,Q614)))"),"")</f>
        <v/>
      </c>
      <c r="S614" s="28"/>
      <c r="T614" s="28"/>
      <c r="U614" s="28"/>
      <c r="V614" s="66"/>
      <c r="W614" s="5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</row>
    <row r="615" ht="60.0" customHeight="1">
      <c r="A615" s="14" t="str">
        <f>if(H615&lt;&gt;"",VLOOKUP(H615,ID!$A$2:$C$999,3,FALSE),"") </f>
        <v/>
      </c>
      <c r="B615" s="15"/>
      <c r="C615" s="16"/>
      <c r="D615" s="89"/>
      <c r="E615" s="89"/>
      <c r="F615" s="85"/>
      <c r="G615" s="81"/>
      <c r="H615" s="85"/>
      <c r="I615" s="85"/>
      <c r="J615" s="85"/>
      <c r="K615" s="85"/>
      <c r="L615" s="85"/>
      <c r="M615" s="85"/>
      <c r="N615" s="66"/>
      <c r="O615" s="66"/>
      <c r="P615" s="66"/>
      <c r="Q615" s="28"/>
      <c r="R615" s="69" t="str">
        <f>IFERROR(__xludf.DUMMYFUNCTION("IF (OR( Q615 = """" , P615 =""""), """" , IF(Q615 = ""Menos de 1 mês"" , ""antes de ""&amp; TO_TEXT( EDATE(P615, 1)), EDATE(P615,Q615)))"),"")</f>
        <v/>
      </c>
      <c r="S615" s="28"/>
      <c r="T615" s="28"/>
      <c r="U615" s="28"/>
      <c r="V615" s="66"/>
      <c r="W615" s="5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</row>
    <row r="616" ht="60.0" customHeight="1">
      <c r="A616" s="14" t="str">
        <f>if(H616&lt;&gt;"",VLOOKUP(H616,ID!$A$2:$C$999,3,FALSE),"") </f>
        <v/>
      </c>
      <c r="B616" s="15"/>
      <c r="C616" s="16"/>
      <c r="D616" s="89"/>
      <c r="E616" s="89"/>
      <c r="F616" s="85"/>
      <c r="G616" s="81"/>
      <c r="H616" s="85"/>
      <c r="I616" s="85"/>
      <c r="J616" s="85"/>
      <c r="K616" s="85"/>
      <c r="L616" s="85"/>
      <c r="M616" s="85"/>
      <c r="N616" s="66"/>
      <c r="O616" s="66"/>
      <c r="P616" s="66"/>
      <c r="Q616" s="28"/>
      <c r="R616" s="69" t="str">
        <f>IFERROR(__xludf.DUMMYFUNCTION("IF (OR( Q616 = """" , P616 =""""), """" , IF(Q616 = ""Menos de 1 mês"" , ""antes de ""&amp; TO_TEXT( EDATE(P616, 1)), EDATE(P616,Q616)))"),"")</f>
        <v/>
      </c>
      <c r="S616" s="28"/>
      <c r="T616" s="28"/>
      <c r="U616" s="28"/>
      <c r="V616" s="66"/>
      <c r="W616" s="5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</row>
    <row r="617" ht="60.0" customHeight="1">
      <c r="A617" s="14" t="str">
        <f>if(H617&lt;&gt;"",VLOOKUP(H617,ID!$A$2:$C$999,3,FALSE),"") </f>
        <v/>
      </c>
      <c r="B617" s="15"/>
      <c r="C617" s="16"/>
      <c r="D617" s="89"/>
      <c r="E617" s="89"/>
      <c r="F617" s="85"/>
      <c r="G617" s="81"/>
      <c r="H617" s="85"/>
      <c r="I617" s="85"/>
      <c r="J617" s="85"/>
      <c r="K617" s="85"/>
      <c r="L617" s="85"/>
      <c r="M617" s="85"/>
      <c r="N617" s="66"/>
      <c r="O617" s="66"/>
      <c r="P617" s="66"/>
      <c r="Q617" s="28"/>
      <c r="R617" s="69" t="str">
        <f>IFERROR(__xludf.DUMMYFUNCTION("IF (OR( Q617 = """" , P617 =""""), """" , IF(Q617 = ""Menos de 1 mês"" , ""antes de ""&amp; TO_TEXT( EDATE(P617, 1)), EDATE(P617,Q617)))"),"")</f>
        <v/>
      </c>
      <c r="S617" s="28"/>
      <c r="T617" s="28"/>
      <c r="U617" s="28"/>
      <c r="V617" s="66"/>
      <c r="W617" s="5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</row>
    <row r="618" ht="60.0" customHeight="1">
      <c r="A618" s="14" t="str">
        <f>if(H618&lt;&gt;"",VLOOKUP(H618,ID!$A$2:$C$999,3,FALSE),"") </f>
        <v/>
      </c>
      <c r="B618" s="15"/>
      <c r="C618" s="16"/>
      <c r="D618" s="89"/>
      <c r="E618" s="89"/>
      <c r="F618" s="85"/>
      <c r="G618" s="81"/>
      <c r="H618" s="85"/>
      <c r="I618" s="85"/>
      <c r="J618" s="85"/>
      <c r="K618" s="85"/>
      <c r="L618" s="85"/>
      <c r="M618" s="85"/>
      <c r="N618" s="66"/>
      <c r="O618" s="66"/>
      <c r="P618" s="66"/>
      <c r="Q618" s="28"/>
      <c r="R618" s="69" t="str">
        <f>IFERROR(__xludf.DUMMYFUNCTION("IF (OR( Q618 = """" , P618 =""""), """" , IF(Q618 = ""Menos de 1 mês"" , ""antes de ""&amp; TO_TEXT( EDATE(P618, 1)), EDATE(P618,Q618)))"),"")</f>
        <v/>
      </c>
      <c r="S618" s="28"/>
      <c r="T618" s="28"/>
      <c r="U618" s="28"/>
      <c r="V618" s="66"/>
      <c r="W618" s="5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</row>
    <row r="619" ht="60.0" customHeight="1">
      <c r="A619" s="14" t="str">
        <f>if(H619&lt;&gt;"",VLOOKUP(H619,ID!$A$2:$C$999,3,FALSE),"") </f>
        <v/>
      </c>
      <c r="B619" s="15"/>
      <c r="C619" s="16"/>
      <c r="D619" s="89"/>
      <c r="E619" s="89"/>
      <c r="F619" s="85"/>
      <c r="G619" s="81"/>
      <c r="H619" s="85"/>
      <c r="I619" s="85"/>
      <c r="J619" s="85"/>
      <c r="K619" s="85"/>
      <c r="L619" s="85"/>
      <c r="M619" s="85"/>
      <c r="N619" s="66"/>
      <c r="O619" s="66"/>
      <c r="P619" s="66"/>
      <c r="Q619" s="28"/>
      <c r="R619" s="69" t="str">
        <f>IFERROR(__xludf.DUMMYFUNCTION("IF (OR( Q619 = """" , P619 =""""), """" , IF(Q619 = ""Menos de 1 mês"" , ""antes de ""&amp; TO_TEXT( EDATE(P619, 1)), EDATE(P619,Q619)))"),"")</f>
        <v/>
      </c>
      <c r="S619" s="28"/>
      <c r="T619" s="28"/>
      <c r="U619" s="28"/>
      <c r="V619" s="66"/>
      <c r="W619" s="5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</row>
    <row r="620" ht="60.0" customHeight="1">
      <c r="A620" s="14" t="str">
        <f>if(H620&lt;&gt;"",VLOOKUP(H620,ID!$A$2:$C$999,3,FALSE),"") </f>
        <v/>
      </c>
      <c r="B620" s="15"/>
      <c r="C620" s="16"/>
      <c r="D620" s="89"/>
      <c r="E620" s="89"/>
      <c r="F620" s="85"/>
      <c r="G620" s="81"/>
      <c r="H620" s="85"/>
      <c r="I620" s="85"/>
      <c r="J620" s="85"/>
      <c r="K620" s="85"/>
      <c r="L620" s="85"/>
      <c r="M620" s="85"/>
      <c r="N620" s="66"/>
      <c r="O620" s="66"/>
      <c r="P620" s="66"/>
      <c r="Q620" s="28"/>
      <c r="R620" s="69" t="str">
        <f>IFERROR(__xludf.DUMMYFUNCTION("IF (OR( Q620 = """" , P620 =""""), """" , IF(Q620 = ""Menos de 1 mês"" , ""antes de ""&amp; TO_TEXT( EDATE(P620, 1)), EDATE(P620,Q620)))"),"")</f>
        <v/>
      </c>
      <c r="S620" s="28"/>
      <c r="T620" s="28"/>
      <c r="U620" s="28"/>
      <c r="V620" s="66"/>
      <c r="W620" s="5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</row>
    <row r="621" ht="60.0" customHeight="1">
      <c r="A621" s="14" t="str">
        <f>if(H621&lt;&gt;"",VLOOKUP(H621,ID!$A$2:$C$999,3,FALSE),"") </f>
        <v/>
      </c>
      <c r="B621" s="15"/>
      <c r="C621" s="16"/>
      <c r="D621" s="89"/>
      <c r="E621" s="89"/>
      <c r="F621" s="85"/>
      <c r="G621" s="81"/>
      <c r="H621" s="85"/>
      <c r="I621" s="85"/>
      <c r="J621" s="85"/>
      <c r="K621" s="85"/>
      <c r="L621" s="85"/>
      <c r="M621" s="85"/>
      <c r="N621" s="66"/>
      <c r="O621" s="66"/>
      <c r="P621" s="66"/>
      <c r="Q621" s="28"/>
      <c r="R621" s="69" t="str">
        <f>IFERROR(__xludf.DUMMYFUNCTION("IF (OR( Q621 = """" , P621 =""""), """" , IF(Q621 = ""Menos de 1 mês"" , ""antes de ""&amp; TO_TEXT( EDATE(P621, 1)), EDATE(P621,Q621)))"),"")</f>
        <v/>
      </c>
      <c r="S621" s="28"/>
      <c r="T621" s="28"/>
      <c r="U621" s="28"/>
      <c r="V621" s="66"/>
      <c r="W621" s="5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</row>
    <row r="622" ht="60.0" customHeight="1">
      <c r="A622" s="14" t="str">
        <f>if(H622&lt;&gt;"",VLOOKUP(H622,ID!$A$2:$C$999,3,FALSE),"") </f>
        <v/>
      </c>
      <c r="B622" s="15"/>
      <c r="C622" s="16"/>
      <c r="D622" s="89"/>
      <c r="E622" s="89"/>
      <c r="F622" s="85"/>
      <c r="G622" s="81"/>
      <c r="H622" s="85"/>
      <c r="I622" s="85"/>
      <c r="J622" s="85"/>
      <c r="K622" s="85"/>
      <c r="L622" s="85"/>
      <c r="M622" s="85"/>
      <c r="N622" s="66"/>
      <c r="O622" s="66"/>
      <c r="P622" s="66"/>
      <c r="Q622" s="28"/>
      <c r="R622" s="69" t="str">
        <f>IFERROR(__xludf.DUMMYFUNCTION("IF (OR( Q622 = """" , P622 =""""), """" , IF(Q622 = ""Menos de 1 mês"" , ""antes de ""&amp; TO_TEXT( EDATE(P622, 1)), EDATE(P622,Q622)))"),"")</f>
        <v/>
      </c>
      <c r="S622" s="28"/>
      <c r="T622" s="28"/>
      <c r="U622" s="28"/>
      <c r="V622" s="66"/>
      <c r="W622" s="5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</row>
    <row r="623" ht="60.0" customHeight="1">
      <c r="A623" s="14" t="str">
        <f>if(H623&lt;&gt;"",VLOOKUP(H623,ID!$A$2:$C$999,3,FALSE),"") </f>
        <v/>
      </c>
      <c r="B623" s="15"/>
      <c r="C623" s="16"/>
      <c r="D623" s="89"/>
      <c r="E623" s="89"/>
      <c r="F623" s="85"/>
      <c r="G623" s="81"/>
      <c r="H623" s="85"/>
      <c r="I623" s="85"/>
      <c r="J623" s="85"/>
      <c r="K623" s="85"/>
      <c r="L623" s="85"/>
      <c r="M623" s="85"/>
      <c r="N623" s="66"/>
      <c r="O623" s="66"/>
      <c r="P623" s="66"/>
      <c r="Q623" s="28"/>
      <c r="R623" s="69" t="str">
        <f>IFERROR(__xludf.DUMMYFUNCTION("IF (OR( Q623 = """" , P623 =""""), """" , IF(Q623 = ""Menos de 1 mês"" , ""antes de ""&amp; TO_TEXT( EDATE(P623, 1)), EDATE(P623,Q623)))"),"")</f>
        <v/>
      </c>
      <c r="S623" s="28"/>
      <c r="T623" s="28"/>
      <c r="U623" s="28"/>
      <c r="V623" s="66"/>
      <c r="W623" s="5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</row>
    <row r="624" ht="60.0" customHeight="1">
      <c r="A624" s="14" t="str">
        <f>if(H624&lt;&gt;"",VLOOKUP(H624,ID!$A$2:$C$999,3,FALSE),"") </f>
        <v/>
      </c>
      <c r="B624" s="15"/>
      <c r="C624" s="16"/>
      <c r="D624" s="89"/>
      <c r="E624" s="89"/>
      <c r="F624" s="85"/>
      <c r="G624" s="81"/>
      <c r="H624" s="85"/>
      <c r="I624" s="85"/>
      <c r="J624" s="85"/>
      <c r="K624" s="85"/>
      <c r="L624" s="85"/>
      <c r="M624" s="85"/>
      <c r="N624" s="66"/>
      <c r="O624" s="66"/>
      <c r="P624" s="66"/>
      <c r="Q624" s="28"/>
      <c r="R624" s="69" t="str">
        <f>IFERROR(__xludf.DUMMYFUNCTION("IF (OR( Q624 = """" , P624 =""""), """" , IF(Q624 = ""Menos de 1 mês"" , ""antes de ""&amp; TO_TEXT( EDATE(P624, 1)), EDATE(P624,Q624)))"),"")</f>
        <v/>
      </c>
      <c r="S624" s="28"/>
      <c r="T624" s="28"/>
      <c r="U624" s="28"/>
      <c r="V624" s="66"/>
      <c r="W624" s="5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</row>
    <row r="625" ht="60.0" customHeight="1">
      <c r="A625" s="14" t="str">
        <f>if(H625&lt;&gt;"",VLOOKUP(H625,ID!$A$2:$C$999,3,FALSE),"") </f>
        <v/>
      </c>
      <c r="B625" s="15"/>
      <c r="C625" s="16"/>
      <c r="D625" s="89"/>
      <c r="E625" s="89"/>
      <c r="F625" s="85"/>
      <c r="G625" s="81"/>
      <c r="H625" s="85"/>
      <c r="I625" s="85"/>
      <c r="J625" s="85"/>
      <c r="K625" s="85"/>
      <c r="L625" s="85"/>
      <c r="M625" s="85"/>
      <c r="N625" s="66"/>
      <c r="O625" s="66"/>
      <c r="P625" s="66"/>
      <c r="Q625" s="28"/>
      <c r="R625" s="69" t="str">
        <f>IFERROR(__xludf.DUMMYFUNCTION("IF (OR( Q625 = """" , P625 =""""), """" , IF(Q625 = ""Menos de 1 mês"" , ""antes de ""&amp; TO_TEXT( EDATE(P625, 1)), EDATE(P625,Q625)))"),"")</f>
        <v/>
      </c>
      <c r="S625" s="28"/>
      <c r="T625" s="28"/>
      <c r="U625" s="28"/>
      <c r="V625" s="66"/>
      <c r="W625" s="5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</row>
    <row r="626" ht="60.0" customHeight="1">
      <c r="A626" s="14" t="str">
        <f>if(H626&lt;&gt;"",VLOOKUP(H626,ID!$A$2:$C$999,3,FALSE),"") </f>
        <v/>
      </c>
      <c r="B626" s="15"/>
      <c r="C626" s="16"/>
      <c r="D626" s="89"/>
      <c r="E626" s="89"/>
      <c r="F626" s="85"/>
      <c r="G626" s="81"/>
      <c r="H626" s="85"/>
      <c r="I626" s="85"/>
      <c r="J626" s="85"/>
      <c r="K626" s="85"/>
      <c r="L626" s="85"/>
      <c r="M626" s="85"/>
      <c r="N626" s="66"/>
      <c r="O626" s="66"/>
      <c r="P626" s="66"/>
      <c r="Q626" s="28"/>
      <c r="R626" s="69" t="str">
        <f>IFERROR(__xludf.DUMMYFUNCTION("IF (OR( Q626 = """" , P626 =""""), """" , IF(Q626 = ""Menos de 1 mês"" , ""antes de ""&amp; TO_TEXT( EDATE(P626, 1)), EDATE(P626,Q626)))"),"")</f>
        <v/>
      </c>
      <c r="S626" s="28"/>
      <c r="T626" s="28"/>
      <c r="U626" s="28"/>
      <c r="V626" s="66"/>
      <c r="W626" s="5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</row>
    <row r="627" ht="60.0" customHeight="1">
      <c r="A627" s="14" t="str">
        <f>if(H627&lt;&gt;"",VLOOKUP(H627,ID!$A$2:$C$999,3,FALSE),"") </f>
        <v/>
      </c>
      <c r="B627" s="15"/>
      <c r="C627" s="16"/>
      <c r="D627" s="89"/>
      <c r="E627" s="89"/>
      <c r="F627" s="85"/>
      <c r="G627" s="81"/>
      <c r="H627" s="85"/>
      <c r="I627" s="85"/>
      <c r="J627" s="85"/>
      <c r="K627" s="85"/>
      <c r="L627" s="85"/>
      <c r="M627" s="85"/>
      <c r="N627" s="66"/>
      <c r="O627" s="66"/>
      <c r="P627" s="66"/>
      <c r="Q627" s="28"/>
      <c r="R627" s="69" t="str">
        <f>IFERROR(__xludf.DUMMYFUNCTION("IF (OR( Q627 = """" , P627 =""""), """" , IF(Q627 = ""Menos de 1 mês"" , ""antes de ""&amp; TO_TEXT( EDATE(P627, 1)), EDATE(P627,Q627)))"),"")</f>
        <v/>
      </c>
      <c r="S627" s="28"/>
      <c r="T627" s="28"/>
      <c r="U627" s="28"/>
      <c r="V627" s="66"/>
      <c r="W627" s="5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</row>
    <row r="628" ht="60.0" customHeight="1">
      <c r="A628" s="14" t="str">
        <f>if(H628&lt;&gt;"",VLOOKUP(H628,ID!$A$2:$C$999,3,FALSE),"") </f>
        <v/>
      </c>
      <c r="B628" s="15"/>
      <c r="C628" s="16"/>
      <c r="D628" s="89"/>
      <c r="E628" s="89"/>
      <c r="F628" s="85"/>
      <c r="G628" s="81"/>
      <c r="H628" s="85"/>
      <c r="I628" s="85"/>
      <c r="J628" s="85"/>
      <c r="K628" s="85"/>
      <c r="L628" s="85"/>
      <c r="M628" s="85"/>
      <c r="N628" s="66"/>
      <c r="O628" s="66"/>
      <c r="P628" s="66"/>
      <c r="Q628" s="28"/>
      <c r="R628" s="69" t="str">
        <f>IFERROR(__xludf.DUMMYFUNCTION("IF (OR( Q628 = """" , P628 =""""), """" , IF(Q628 = ""Menos de 1 mês"" , ""antes de ""&amp; TO_TEXT( EDATE(P628, 1)), EDATE(P628,Q628)))"),"")</f>
        <v/>
      </c>
      <c r="S628" s="28"/>
      <c r="T628" s="28"/>
      <c r="U628" s="28"/>
      <c r="V628" s="66"/>
      <c r="W628" s="5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</row>
    <row r="629" ht="60.0" customHeight="1">
      <c r="A629" s="14" t="str">
        <f>if(H629&lt;&gt;"",VLOOKUP(H629,ID!$A$2:$C$999,3,FALSE),"") </f>
        <v/>
      </c>
      <c r="B629" s="15"/>
      <c r="C629" s="16"/>
      <c r="D629" s="89"/>
      <c r="E629" s="89"/>
      <c r="F629" s="85"/>
      <c r="G629" s="81"/>
      <c r="H629" s="85"/>
      <c r="I629" s="85"/>
      <c r="J629" s="85"/>
      <c r="K629" s="85"/>
      <c r="L629" s="85"/>
      <c r="M629" s="85"/>
      <c r="N629" s="66"/>
      <c r="O629" s="66"/>
      <c r="P629" s="66"/>
      <c r="Q629" s="28"/>
      <c r="R629" s="69" t="str">
        <f>IFERROR(__xludf.DUMMYFUNCTION("IF (OR( Q629 = """" , P629 =""""), """" , IF(Q629 = ""Menos de 1 mês"" , ""antes de ""&amp; TO_TEXT( EDATE(P629, 1)), EDATE(P629,Q629)))"),"")</f>
        <v/>
      </c>
      <c r="S629" s="28"/>
      <c r="T629" s="28"/>
      <c r="U629" s="28"/>
      <c r="V629" s="66"/>
      <c r="W629" s="5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</row>
    <row r="630" ht="60.0" customHeight="1">
      <c r="A630" s="14" t="str">
        <f>if(H630&lt;&gt;"",VLOOKUP(H630,ID!$A$2:$C$999,3,FALSE),"") </f>
        <v/>
      </c>
      <c r="B630" s="15"/>
      <c r="C630" s="16"/>
      <c r="D630" s="89"/>
      <c r="E630" s="89"/>
      <c r="F630" s="85"/>
      <c r="G630" s="81"/>
      <c r="H630" s="85"/>
      <c r="I630" s="85"/>
      <c r="J630" s="85"/>
      <c r="K630" s="85"/>
      <c r="L630" s="85"/>
      <c r="M630" s="85"/>
      <c r="N630" s="66"/>
      <c r="O630" s="66"/>
      <c r="P630" s="66"/>
      <c r="Q630" s="61"/>
      <c r="R630" s="69" t="str">
        <f>IFERROR(__xludf.DUMMYFUNCTION("IF (OR( Q630 = """" , P630 =""""), """" , IF(Q630 = ""Menos de 1 mês"" , ""antes de ""&amp; TO_TEXT( EDATE(P630, 1)), EDATE(P630,Q630)))"),"")</f>
        <v/>
      </c>
      <c r="S630" s="28"/>
      <c r="T630" s="28"/>
      <c r="U630" s="28"/>
      <c r="V630" s="66"/>
      <c r="W630" s="5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</row>
    <row r="631" ht="60.0" customHeight="1">
      <c r="A631" s="14" t="str">
        <f>if(H631&lt;&gt;"",VLOOKUP(H631,ID!$A$2:$C$999,3,FALSE),"") </f>
        <v/>
      </c>
      <c r="B631" s="15"/>
      <c r="C631" s="16"/>
      <c r="D631" s="89"/>
      <c r="E631" s="89"/>
      <c r="F631" s="85"/>
      <c r="G631" s="81"/>
      <c r="H631" s="85"/>
      <c r="I631" s="85"/>
      <c r="J631" s="85"/>
      <c r="K631" s="85"/>
      <c r="L631" s="85"/>
      <c r="M631" s="85"/>
      <c r="N631" s="66"/>
      <c r="O631" s="66"/>
      <c r="P631" s="66"/>
      <c r="Q631" s="28"/>
      <c r="R631" s="69" t="str">
        <f>IFERROR(__xludf.DUMMYFUNCTION("IF (OR( Q631 = """" , P631 =""""), """" , IF(Q631 = ""Menos de 1 mês"" , ""antes de ""&amp; TO_TEXT( EDATE(P631, 1)), EDATE(P631,Q631)))"),"")</f>
        <v/>
      </c>
      <c r="S631" s="28"/>
      <c r="T631" s="28"/>
      <c r="U631" s="28"/>
      <c r="V631" s="66"/>
      <c r="W631" s="5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</row>
    <row r="632" ht="60.0" customHeight="1">
      <c r="A632" s="14" t="str">
        <f>if(H632&lt;&gt;"",VLOOKUP(H632,ID!$A$2:$C$999,3,FALSE),"") </f>
        <v/>
      </c>
      <c r="B632" s="15"/>
      <c r="C632" s="16"/>
      <c r="D632" s="89"/>
      <c r="E632" s="89"/>
      <c r="F632" s="85"/>
      <c r="G632" s="81"/>
      <c r="H632" s="85"/>
      <c r="I632" s="85"/>
      <c r="J632" s="85"/>
      <c r="K632" s="85"/>
      <c r="L632" s="85"/>
      <c r="M632" s="85"/>
      <c r="N632" s="66"/>
      <c r="O632" s="66"/>
      <c r="P632" s="66"/>
      <c r="Q632" s="28"/>
      <c r="R632" s="69" t="str">
        <f>IFERROR(__xludf.DUMMYFUNCTION("IF (OR( Q632 = """" , P632 =""""), """" , IF(Q632 = ""Menos de 1 mês"" , ""antes de ""&amp; TO_TEXT( EDATE(P632, 1)), EDATE(P632,Q632)))"),"")</f>
        <v/>
      </c>
      <c r="S632" s="28"/>
      <c r="T632" s="28"/>
      <c r="U632" s="28"/>
      <c r="V632" s="66"/>
      <c r="W632" s="5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</row>
    <row r="633" ht="60.0" customHeight="1">
      <c r="A633" s="14" t="str">
        <f>if(H633&lt;&gt;"",VLOOKUP(H633,ID!$A$2:$C$999,3,FALSE),"") </f>
        <v/>
      </c>
      <c r="B633" s="15"/>
      <c r="C633" s="16"/>
      <c r="D633" s="89"/>
      <c r="E633" s="89"/>
      <c r="F633" s="85"/>
      <c r="G633" s="81"/>
      <c r="H633" s="85"/>
      <c r="I633" s="85"/>
      <c r="J633" s="85"/>
      <c r="K633" s="85"/>
      <c r="L633" s="85"/>
      <c r="M633" s="85"/>
      <c r="N633" s="66"/>
      <c r="O633" s="66"/>
      <c r="P633" s="66"/>
      <c r="Q633" s="28"/>
      <c r="R633" s="69" t="str">
        <f>IFERROR(__xludf.DUMMYFUNCTION("IF (OR( Q633 = """" , P633 =""""), """" , IF(Q633 = ""Menos de 1 mês"" , ""antes de ""&amp; TO_TEXT( EDATE(P633, 1)), EDATE(P633,Q633)))"),"")</f>
        <v/>
      </c>
      <c r="S633" s="28"/>
      <c r="T633" s="28"/>
      <c r="U633" s="28"/>
      <c r="V633" s="66"/>
      <c r="W633" s="5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</row>
    <row r="634" ht="60.0" customHeight="1">
      <c r="A634" s="14" t="str">
        <f>if(H634&lt;&gt;"",VLOOKUP(H634,ID!$A$2:$C$999,3,FALSE),"") </f>
        <v/>
      </c>
      <c r="B634" s="15"/>
      <c r="C634" s="16"/>
      <c r="D634" s="89"/>
      <c r="E634" s="89"/>
      <c r="F634" s="85"/>
      <c r="G634" s="81"/>
      <c r="H634" s="85"/>
      <c r="I634" s="85"/>
      <c r="J634" s="85"/>
      <c r="K634" s="85"/>
      <c r="L634" s="85"/>
      <c r="M634" s="85"/>
      <c r="N634" s="66"/>
      <c r="O634" s="66"/>
      <c r="P634" s="66"/>
      <c r="Q634" s="28"/>
      <c r="R634" s="69" t="str">
        <f>IFERROR(__xludf.DUMMYFUNCTION("IF (OR( Q634 = """" , P634 =""""), """" , IF(Q634 = ""Menos de 1 mês"" , ""antes de ""&amp; TO_TEXT( EDATE(P634, 1)), EDATE(P634,Q634)))"),"")</f>
        <v/>
      </c>
      <c r="S634" s="28"/>
      <c r="T634" s="28"/>
      <c r="U634" s="28"/>
      <c r="V634" s="66"/>
      <c r="W634" s="5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</row>
    <row r="635" ht="60.0" customHeight="1">
      <c r="A635" s="14" t="str">
        <f>if(H635&lt;&gt;"",VLOOKUP(H635,ID!$A$2:$C$999,3,FALSE),"") </f>
        <v/>
      </c>
      <c r="B635" s="15"/>
      <c r="C635" s="16"/>
      <c r="D635" s="89"/>
      <c r="E635" s="89"/>
      <c r="F635" s="85"/>
      <c r="G635" s="81"/>
      <c r="H635" s="85"/>
      <c r="I635" s="85"/>
      <c r="J635" s="85"/>
      <c r="K635" s="85"/>
      <c r="L635" s="85"/>
      <c r="M635" s="85"/>
      <c r="N635" s="66"/>
      <c r="O635" s="66"/>
      <c r="P635" s="66"/>
      <c r="Q635" s="28"/>
      <c r="R635" s="69" t="str">
        <f>IFERROR(__xludf.DUMMYFUNCTION("IF (OR( Q635 = """" , P635 =""""), """" , IF(Q635 = ""Menos de 1 mês"" , ""antes de ""&amp; TO_TEXT( EDATE(P635, 1)), EDATE(P635,Q635)))"),"")</f>
        <v/>
      </c>
      <c r="S635" s="28"/>
      <c r="T635" s="28"/>
      <c r="U635" s="28"/>
      <c r="V635" s="66"/>
      <c r="W635" s="5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</row>
    <row r="636" ht="60.0" customHeight="1">
      <c r="A636" s="14" t="str">
        <f>if(H636&lt;&gt;"",VLOOKUP(H636,ID!$A$2:$C$999,3,FALSE),"") </f>
        <v/>
      </c>
      <c r="B636" s="15"/>
      <c r="C636" s="16"/>
      <c r="D636" s="89"/>
      <c r="E636" s="89"/>
      <c r="F636" s="85"/>
      <c r="G636" s="81"/>
      <c r="H636" s="85"/>
      <c r="I636" s="85"/>
      <c r="J636" s="85"/>
      <c r="K636" s="85"/>
      <c r="L636" s="85"/>
      <c r="M636" s="85"/>
      <c r="N636" s="66"/>
      <c r="O636" s="66"/>
      <c r="P636" s="66"/>
      <c r="Q636" s="28"/>
      <c r="R636" s="69" t="str">
        <f>IFERROR(__xludf.DUMMYFUNCTION("IF (OR( Q636 = """" , P636 =""""), """" , IF(Q636 = ""Menos de 1 mês"" , ""antes de ""&amp; TO_TEXT( EDATE(P636, 1)), EDATE(P636,Q636)))"),"")</f>
        <v/>
      </c>
      <c r="S636" s="28"/>
      <c r="T636" s="28"/>
      <c r="U636" s="28"/>
      <c r="V636" s="66"/>
      <c r="W636" s="5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</row>
    <row r="637" ht="60.0" customHeight="1">
      <c r="A637" s="14" t="str">
        <f>if(H637&lt;&gt;"",VLOOKUP(H637,ID!$A$2:$C$999,3,FALSE),"") </f>
        <v/>
      </c>
      <c r="B637" s="15"/>
      <c r="C637" s="16"/>
      <c r="D637" s="89"/>
      <c r="E637" s="89"/>
      <c r="F637" s="85"/>
      <c r="G637" s="81"/>
      <c r="H637" s="85"/>
      <c r="I637" s="85"/>
      <c r="J637" s="85"/>
      <c r="K637" s="85"/>
      <c r="L637" s="85"/>
      <c r="M637" s="85"/>
      <c r="N637" s="66"/>
      <c r="O637" s="66"/>
      <c r="P637" s="66"/>
      <c r="Q637" s="28"/>
      <c r="R637" s="69" t="str">
        <f>IFERROR(__xludf.DUMMYFUNCTION("IF (OR( Q637 = """" , P637 =""""), """" , IF(Q637 = ""Menos de 1 mês"" , ""antes de ""&amp; TO_TEXT( EDATE(P637, 1)), EDATE(P637,Q637)))"),"")</f>
        <v/>
      </c>
      <c r="S637" s="28"/>
      <c r="T637" s="28"/>
      <c r="U637" s="28"/>
      <c r="V637" s="66"/>
      <c r="W637" s="5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</row>
    <row r="638" ht="60.0" customHeight="1">
      <c r="A638" s="14" t="str">
        <f>if(H638&lt;&gt;"",VLOOKUP(H638,ID!$A$2:$C$999,3,FALSE),"") </f>
        <v/>
      </c>
      <c r="B638" s="15"/>
      <c r="C638" s="16"/>
      <c r="D638" s="89"/>
      <c r="E638" s="89"/>
      <c r="F638" s="85"/>
      <c r="G638" s="81"/>
      <c r="H638" s="85"/>
      <c r="I638" s="85"/>
      <c r="J638" s="85"/>
      <c r="K638" s="85"/>
      <c r="L638" s="85"/>
      <c r="M638" s="85"/>
      <c r="N638" s="66"/>
      <c r="O638" s="66"/>
      <c r="P638" s="66"/>
      <c r="Q638" s="28"/>
      <c r="R638" s="69" t="str">
        <f>IFERROR(__xludf.DUMMYFUNCTION("IF (OR( Q638 = """" , P638 =""""), """" , IF(Q638 = ""Menos de 1 mês"" , ""antes de ""&amp; TO_TEXT( EDATE(P638, 1)), EDATE(P638,Q638)))"),"")</f>
        <v/>
      </c>
      <c r="S638" s="28"/>
      <c r="T638" s="28"/>
      <c r="U638" s="28"/>
      <c r="V638" s="66"/>
      <c r="W638" s="5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</row>
    <row r="639" ht="60.0" customHeight="1">
      <c r="A639" s="14" t="str">
        <f>if(H639&lt;&gt;"",VLOOKUP(H639,ID!$A$2:$C$999,3,FALSE),"") </f>
        <v/>
      </c>
      <c r="B639" s="15"/>
      <c r="C639" s="16"/>
      <c r="D639" s="89"/>
      <c r="E639" s="89"/>
      <c r="F639" s="85"/>
      <c r="G639" s="81"/>
      <c r="H639" s="85"/>
      <c r="I639" s="85"/>
      <c r="J639" s="85"/>
      <c r="K639" s="85"/>
      <c r="L639" s="85"/>
      <c r="M639" s="85"/>
      <c r="N639" s="66"/>
      <c r="O639" s="66"/>
      <c r="P639" s="66"/>
      <c r="Q639" s="28"/>
      <c r="R639" s="69" t="str">
        <f>IFERROR(__xludf.DUMMYFUNCTION("IF (OR( Q639 = """" , P639 =""""), """" , IF(Q639 = ""Menos de 1 mês"" , ""antes de ""&amp; TO_TEXT( EDATE(P639, 1)), EDATE(P639,Q639)))"),"")</f>
        <v/>
      </c>
      <c r="S639" s="28"/>
      <c r="T639" s="28"/>
      <c r="U639" s="28"/>
      <c r="V639" s="66"/>
      <c r="W639" s="5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</row>
    <row r="640" ht="60.0" customHeight="1">
      <c r="A640" s="14" t="str">
        <f>if(H640&lt;&gt;"",VLOOKUP(H640,ID!$A$2:$C$999,3,FALSE),"") </f>
        <v/>
      </c>
      <c r="B640" s="15"/>
      <c r="C640" s="16"/>
      <c r="D640" s="89"/>
      <c r="E640" s="89"/>
      <c r="F640" s="85"/>
      <c r="G640" s="81"/>
      <c r="H640" s="85"/>
      <c r="I640" s="85"/>
      <c r="J640" s="85"/>
      <c r="K640" s="85"/>
      <c r="L640" s="85"/>
      <c r="M640" s="85"/>
      <c r="N640" s="66"/>
      <c r="O640" s="66"/>
      <c r="P640" s="66"/>
      <c r="Q640" s="28"/>
      <c r="R640" s="69" t="str">
        <f>IFERROR(__xludf.DUMMYFUNCTION("IF (OR( Q640 = """" , P640 =""""), """" , IF(Q640 = ""Menos de 1 mês"" , ""antes de ""&amp; TO_TEXT( EDATE(P640, 1)), EDATE(P640,Q640)))"),"")</f>
        <v/>
      </c>
      <c r="S640" s="28"/>
      <c r="T640" s="28"/>
      <c r="U640" s="28"/>
      <c r="V640" s="66"/>
      <c r="W640" s="5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</row>
    <row r="641" ht="60.0" customHeight="1">
      <c r="A641" s="14" t="str">
        <f>if(H641&lt;&gt;"",VLOOKUP(H641,ID!$A$2:$C$999,3,FALSE),"") </f>
        <v/>
      </c>
      <c r="B641" s="15"/>
      <c r="C641" s="16"/>
      <c r="D641" s="89"/>
      <c r="E641" s="89"/>
      <c r="F641" s="85"/>
      <c r="G641" s="81"/>
      <c r="H641" s="85"/>
      <c r="I641" s="85"/>
      <c r="J641" s="85"/>
      <c r="K641" s="85"/>
      <c r="L641" s="85"/>
      <c r="M641" s="85"/>
      <c r="N641" s="66"/>
      <c r="O641" s="66"/>
      <c r="P641" s="66"/>
      <c r="Q641" s="28"/>
      <c r="R641" s="69" t="str">
        <f>IFERROR(__xludf.DUMMYFUNCTION("IF (OR( Q641 = """" , P641 =""""), """" , IF(Q641 = ""Menos de 1 mês"" , ""antes de ""&amp; TO_TEXT( EDATE(P641, 1)), EDATE(P641,Q641)))"),"")</f>
        <v/>
      </c>
      <c r="S641" s="28"/>
      <c r="T641" s="28"/>
      <c r="U641" s="28"/>
      <c r="V641" s="66"/>
      <c r="W641" s="5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</row>
    <row r="642" ht="60.0" customHeight="1">
      <c r="A642" s="14" t="str">
        <f>if(H642&lt;&gt;"",VLOOKUP(H642,ID!$A$2:$C$999,3,FALSE),"") </f>
        <v/>
      </c>
      <c r="B642" s="15"/>
      <c r="C642" s="16"/>
      <c r="D642" s="89"/>
      <c r="E642" s="89"/>
      <c r="F642" s="85"/>
      <c r="G642" s="81"/>
      <c r="H642" s="85"/>
      <c r="I642" s="85"/>
      <c r="J642" s="85"/>
      <c r="K642" s="85"/>
      <c r="L642" s="85"/>
      <c r="M642" s="85"/>
      <c r="N642" s="66"/>
      <c r="O642" s="66"/>
      <c r="P642" s="66"/>
      <c r="Q642" s="28"/>
      <c r="R642" s="69" t="str">
        <f>IFERROR(__xludf.DUMMYFUNCTION("IF (OR( Q642 = """" , P642 =""""), """" , IF(Q642 = ""Menos de 1 mês"" , ""antes de ""&amp; TO_TEXT( EDATE(P642, 1)), EDATE(P642,Q642)))"),"")</f>
        <v/>
      </c>
      <c r="S642" s="28"/>
      <c r="T642" s="28"/>
      <c r="U642" s="28"/>
      <c r="V642" s="66"/>
      <c r="W642" s="5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</row>
    <row r="643" ht="60.0" customHeight="1">
      <c r="A643" s="14" t="str">
        <f>if(H643&lt;&gt;"",VLOOKUP(H643,ID!$A$2:$C$999,3,FALSE),"") </f>
        <v/>
      </c>
      <c r="B643" s="15"/>
      <c r="C643" s="16"/>
      <c r="D643" s="89"/>
      <c r="E643" s="89"/>
      <c r="F643" s="85"/>
      <c r="G643" s="81"/>
      <c r="H643" s="85"/>
      <c r="I643" s="85"/>
      <c r="J643" s="85"/>
      <c r="K643" s="85"/>
      <c r="L643" s="85"/>
      <c r="M643" s="85"/>
      <c r="N643" s="66"/>
      <c r="O643" s="66"/>
      <c r="P643" s="66"/>
      <c r="Q643" s="28"/>
      <c r="R643" s="69" t="str">
        <f>IFERROR(__xludf.DUMMYFUNCTION("IF (OR( Q643 = """" , P643 =""""), """" , IF(Q643 = ""Menos de 1 mês"" , ""antes de ""&amp; TO_TEXT( EDATE(P643, 1)), EDATE(P643,Q643)))"),"")</f>
        <v/>
      </c>
      <c r="S643" s="28"/>
      <c r="T643" s="28"/>
      <c r="U643" s="28"/>
      <c r="V643" s="66"/>
      <c r="W643" s="5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</row>
    <row r="644" ht="60.0" customHeight="1">
      <c r="A644" s="14" t="str">
        <f>if(H644&lt;&gt;"",VLOOKUP(H644,ID!$A$2:$C$999,3,FALSE),"") </f>
        <v/>
      </c>
      <c r="B644" s="15"/>
      <c r="C644" s="16"/>
      <c r="D644" s="89"/>
      <c r="E644" s="89"/>
      <c r="F644" s="85"/>
      <c r="G644" s="81"/>
      <c r="H644" s="85"/>
      <c r="I644" s="85"/>
      <c r="J644" s="85"/>
      <c r="K644" s="85"/>
      <c r="L644" s="85"/>
      <c r="M644" s="85"/>
      <c r="N644" s="66"/>
      <c r="O644" s="66"/>
      <c r="P644" s="66"/>
      <c r="Q644" s="28"/>
      <c r="R644" s="69" t="str">
        <f>IFERROR(__xludf.DUMMYFUNCTION("IF (OR( Q644 = """" , P644 =""""), """" , IF(Q644 = ""Menos de 1 mês"" , ""antes de ""&amp; TO_TEXT( EDATE(P644, 1)), EDATE(P644,Q644)))"),"")</f>
        <v/>
      </c>
      <c r="S644" s="28"/>
      <c r="T644" s="28"/>
      <c r="U644" s="28"/>
      <c r="V644" s="66"/>
      <c r="W644" s="5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</row>
    <row r="645" ht="60.0" customHeight="1">
      <c r="A645" s="14" t="str">
        <f>if(H645&lt;&gt;"",VLOOKUP(H645,ID!$A$2:$C$999,3,FALSE),"") </f>
        <v/>
      </c>
      <c r="B645" s="15"/>
      <c r="C645" s="16"/>
      <c r="D645" s="89"/>
      <c r="E645" s="89"/>
      <c r="F645" s="85"/>
      <c r="G645" s="81"/>
      <c r="H645" s="85"/>
      <c r="I645" s="85"/>
      <c r="J645" s="85"/>
      <c r="K645" s="85"/>
      <c r="L645" s="85"/>
      <c r="M645" s="85"/>
      <c r="N645" s="66"/>
      <c r="O645" s="66"/>
      <c r="P645" s="66"/>
      <c r="Q645" s="28"/>
      <c r="R645" s="69" t="str">
        <f>IFERROR(__xludf.DUMMYFUNCTION("IF (OR( Q645 = """" , P645 =""""), """" , IF(Q645 = ""Menos de 1 mês"" , ""antes de ""&amp; TO_TEXT( EDATE(P645, 1)), EDATE(P645,Q645)))"),"")</f>
        <v/>
      </c>
      <c r="S645" s="28"/>
      <c r="T645" s="28"/>
      <c r="U645" s="28"/>
      <c r="V645" s="66"/>
      <c r="W645" s="5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</row>
    <row r="646" ht="60.0" customHeight="1">
      <c r="A646" s="14" t="str">
        <f>if(H646&lt;&gt;"",VLOOKUP(H646,ID!$A$2:$C$999,3,FALSE),"") </f>
        <v/>
      </c>
      <c r="B646" s="15"/>
      <c r="C646" s="16"/>
      <c r="D646" s="89"/>
      <c r="E646" s="89"/>
      <c r="F646" s="85"/>
      <c r="G646" s="81"/>
      <c r="H646" s="85"/>
      <c r="I646" s="85"/>
      <c r="J646" s="85"/>
      <c r="K646" s="85"/>
      <c r="L646" s="85"/>
      <c r="M646" s="85"/>
      <c r="N646" s="66"/>
      <c r="O646" s="66"/>
      <c r="P646" s="66"/>
      <c r="Q646" s="28"/>
      <c r="R646" s="69" t="str">
        <f>IFERROR(__xludf.DUMMYFUNCTION("IF (OR( Q646 = """" , P646 =""""), """" , IF(Q646 = ""Menos de 1 mês"" , ""antes de ""&amp; TO_TEXT( EDATE(P646, 1)), EDATE(P646,Q646)))"),"")</f>
        <v/>
      </c>
      <c r="S646" s="28"/>
      <c r="T646" s="28"/>
      <c r="U646" s="28"/>
      <c r="V646" s="66"/>
      <c r="W646" s="5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</row>
    <row r="647" ht="60.0" customHeight="1">
      <c r="A647" s="14" t="str">
        <f>if(H647&lt;&gt;"",VLOOKUP(H647,ID!$A$2:$C$999,3,FALSE),"") </f>
        <v/>
      </c>
      <c r="B647" s="15"/>
      <c r="C647" s="16"/>
      <c r="D647" s="89"/>
      <c r="E647" s="89"/>
      <c r="F647" s="85"/>
      <c r="G647" s="81"/>
      <c r="H647" s="85"/>
      <c r="I647" s="85"/>
      <c r="J647" s="85"/>
      <c r="K647" s="85"/>
      <c r="L647" s="85"/>
      <c r="M647" s="85"/>
      <c r="N647" s="66"/>
      <c r="O647" s="66"/>
      <c r="P647" s="66"/>
      <c r="Q647" s="28"/>
      <c r="R647" s="69" t="str">
        <f>IFERROR(__xludf.DUMMYFUNCTION("IF (OR( Q647 = """" , P647 =""""), """" , IF(Q647 = ""Menos de 1 mês"" , ""antes de ""&amp; TO_TEXT( EDATE(P647, 1)), EDATE(P647,Q647)))"),"")</f>
        <v/>
      </c>
      <c r="S647" s="28"/>
      <c r="T647" s="28"/>
      <c r="U647" s="28"/>
      <c r="V647" s="66"/>
      <c r="W647" s="5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</row>
    <row r="648" ht="60.0" customHeight="1">
      <c r="A648" s="14" t="str">
        <f>if(H648&lt;&gt;"",VLOOKUP(H648,ID!$A$2:$C$999,3,FALSE),"") </f>
        <v/>
      </c>
      <c r="B648" s="15"/>
      <c r="C648" s="16"/>
      <c r="D648" s="89"/>
      <c r="E648" s="89"/>
      <c r="F648" s="85"/>
      <c r="G648" s="81"/>
      <c r="H648" s="85"/>
      <c r="I648" s="85"/>
      <c r="J648" s="85"/>
      <c r="K648" s="85"/>
      <c r="L648" s="85"/>
      <c r="M648" s="85"/>
      <c r="N648" s="66"/>
      <c r="O648" s="66"/>
      <c r="P648" s="66"/>
      <c r="Q648" s="28"/>
      <c r="R648" s="69" t="str">
        <f>IFERROR(__xludf.DUMMYFUNCTION("IF (OR( Q648 = """" , P648 =""""), """" , IF(Q648 = ""Menos de 1 mês"" , ""antes de ""&amp; TO_TEXT( EDATE(P648, 1)), EDATE(P648,Q648)))"),"")</f>
        <v/>
      </c>
      <c r="S648" s="28"/>
      <c r="T648" s="28"/>
      <c r="U648" s="28"/>
      <c r="V648" s="66"/>
      <c r="W648" s="5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</row>
    <row r="649" ht="60.0" customHeight="1">
      <c r="A649" s="14" t="str">
        <f>if(H649&lt;&gt;"",VLOOKUP(H649,ID!$A$2:$C$999,3,FALSE),"") </f>
        <v/>
      </c>
      <c r="B649" s="15"/>
      <c r="C649" s="16"/>
      <c r="D649" s="89"/>
      <c r="E649" s="89"/>
      <c r="F649" s="85"/>
      <c r="G649" s="81"/>
      <c r="H649" s="85"/>
      <c r="I649" s="85"/>
      <c r="J649" s="85"/>
      <c r="K649" s="85"/>
      <c r="L649" s="85"/>
      <c r="M649" s="85"/>
      <c r="N649" s="66"/>
      <c r="O649" s="66"/>
      <c r="P649" s="66"/>
      <c r="Q649" s="28"/>
      <c r="R649" s="69" t="str">
        <f>IFERROR(__xludf.DUMMYFUNCTION("IF (OR( Q649 = """" , P649 =""""), """" , IF(Q649 = ""Menos de 1 mês"" , ""antes de ""&amp; TO_TEXT( EDATE(P649, 1)), EDATE(P649,Q649)))"),"")</f>
        <v/>
      </c>
      <c r="S649" s="28"/>
      <c r="T649" s="28"/>
      <c r="U649" s="28"/>
      <c r="V649" s="66"/>
      <c r="W649" s="5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</row>
    <row r="650" ht="60.0" customHeight="1">
      <c r="A650" s="14" t="str">
        <f>if(H650&lt;&gt;"",VLOOKUP(H650,ID!$A$2:$C$999,3,FALSE),"") </f>
        <v/>
      </c>
      <c r="B650" s="15"/>
      <c r="C650" s="16"/>
      <c r="D650" s="89"/>
      <c r="E650" s="89"/>
      <c r="F650" s="85"/>
      <c r="G650" s="81"/>
      <c r="H650" s="85"/>
      <c r="I650" s="85"/>
      <c r="J650" s="85"/>
      <c r="K650" s="85"/>
      <c r="L650" s="85"/>
      <c r="M650" s="85"/>
      <c r="N650" s="66"/>
      <c r="O650" s="66"/>
      <c r="P650" s="66"/>
      <c r="Q650" s="28"/>
      <c r="R650" s="69" t="str">
        <f>IFERROR(__xludf.DUMMYFUNCTION("IF (OR( Q650 = """" , P650 =""""), """" , IF(Q650 = ""Menos de 1 mês"" , ""antes de ""&amp; TO_TEXT( EDATE(P650, 1)), EDATE(P650,Q650)))"),"")</f>
        <v/>
      </c>
      <c r="S650" s="28"/>
      <c r="T650" s="28"/>
      <c r="U650" s="28"/>
      <c r="V650" s="66"/>
      <c r="W650" s="5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</row>
    <row r="651" ht="60.0" customHeight="1">
      <c r="A651" s="14" t="str">
        <f>if(H651&lt;&gt;"",VLOOKUP(H651,ID!$A$2:$C$999,3,FALSE),"") </f>
        <v/>
      </c>
      <c r="B651" s="15"/>
      <c r="C651" s="16"/>
      <c r="D651" s="89"/>
      <c r="E651" s="89"/>
      <c r="F651" s="85"/>
      <c r="G651" s="81"/>
      <c r="H651" s="85"/>
      <c r="I651" s="85"/>
      <c r="J651" s="85"/>
      <c r="K651" s="85"/>
      <c r="L651" s="85"/>
      <c r="M651" s="85"/>
      <c r="N651" s="66"/>
      <c r="O651" s="66"/>
      <c r="P651" s="66"/>
      <c r="Q651" s="28"/>
      <c r="R651" s="69" t="str">
        <f>IFERROR(__xludf.DUMMYFUNCTION("IF (OR( Q651 = """" , P651 =""""), """" , IF(Q651 = ""Menos de 1 mês"" , ""antes de ""&amp; TO_TEXT( EDATE(P651, 1)), EDATE(P651,Q651)))"),"")</f>
        <v/>
      </c>
      <c r="S651" s="28"/>
      <c r="T651" s="28"/>
      <c r="U651" s="28"/>
      <c r="V651" s="66"/>
      <c r="W651" s="5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</row>
    <row r="652" ht="60.0" customHeight="1">
      <c r="A652" s="14" t="str">
        <f>if(H652&lt;&gt;"",VLOOKUP(H652,ID!$A$2:$C$999,3,FALSE),"") </f>
        <v/>
      </c>
      <c r="B652" s="15"/>
      <c r="C652" s="16"/>
      <c r="D652" s="89"/>
      <c r="E652" s="89"/>
      <c r="F652" s="85"/>
      <c r="G652" s="81"/>
      <c r="H652" s="85"/>
      <c r="I652" s="85"/>
      <c r="J652" s="85"/>
      <c r="K652" s="85"/>
      <c r="L652" s="85"/>
      <c r="M652" s="85"/>
      <c r="N652" s="66"/>
      <c r="O652" s="66"/>
      <c r="P652" s="66"/>
      <c r="Q652" s="28"/>
      <c r="R652" s="69" t="str">
        <f>IFERROR(__xludf.DUMMYFUNCTION("IF (OR( Q652 = """" , P652 =""""), """" , IF(Q652 = ""Menos de 1 mês"" , ""antes de ""&amp; TO_TEXT( EDATE(P652, 1)), EDATE(P652,Q652)))"),"")</f>
        <v/>
      </c>
      <c r="S652" s="28"/>
      <c r="T652" s="28"/>
      <c r="U652" s="28"/>
      <c r="V652" s="66"/>
      <c r="W652" s="5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</row>
    <row r="653" ht="60.0" customHeight="1">
      <c r="A653" s="14" t="str">
        <f>if(H653&lt;&gt;"",VLOOKUP(H653,ID!$A$2:$C$999,3,FALSE),"") </f>
        <v/>
      </c>
      <c r="B653" s="15"/>
      <c r="C653" s="16"/>
      <c r="D653" s="89"/>
      <c r="E653" s="89"/>
      <c r="F653" s="85"/>
      <c r="G653" s="81"/>
      <c r="H653" s="85"/>
      <c r="I653" s="85"/>
      <c r="J653" s="85"/>
      <c r="K653" s="85"/>
      <c r="L653" s="85"/>
      <c r="M653" s="85"/>
      <c r="N653" s="66"/>
      <c r="O653" s="66"/>
      <c r="P653" s="66"/>
      <c r="Q653" s="28"/>
      <c r="R653" s="69" t="str">
        <f>IFERROR(__xludf.DUMMYFUNCTION("IF (OR( Q653 = """" , P653 =""""), """" , IF(Q653 = ""Menos de 1 mês"" , ""antes de ""&amp; TO_TEXT( EDATE(P653, 1)), EDATE(P653,Q653)))"),"")</f>
        <v/>
      </c>
      <c r="S653" s="28"/>
      <c r="T653" s="28"/>
      <c r="U653" s="28"/>
      <c r="V653" s="66"/>
      <c r="W653" s="5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</row>
    <row r="654" ht="60.0" customHeight="1">
      <c r="A654" s="14" t="str">
        <f>if(H654&lt;&gt;"",VLOOKUP(H654,ID!$A$2:$C$999,3,FALSE),"") </f>
        <v/>
      </c>
      <c r="B654" s="15"/>
      <c r="C654" s="16"/>
      <c r="D654" s="89"/>
      <c r="E654" s="89"/>
      <c r="F654" s="85"/>
      <c r="G654" s="81"/>
      <c r="H654" s="85"/>
      <c r="I654" s="85"/>
      <c r="J654" s="85"/>
      <c r="K654" s="85"/>
      <c r="L654" s="85"/>
      <c r="M654" s="85"/>
      <c r="N654" s="66"/>
      <c r="O654" s="66"/>
      <c r="P654" s="66"/>
      <c r="Q654" s="28"/>
      <c r="R654" s="69" t="str">
        <f>IFERROR(__xludf.DUMMYFUNCTION("IF (OR( Q654 = """" , P654 =""""), """" , IF(Q654 = ""Menos de 1 mês"" , ""antes de ""&amp; TO_TEXT( EDATE(P654, 1)), EDATE(P654,Q654)))"),"")</f>
        <v/>
      </c>
      <c r="S654" s="28"/>
      <c r="T654" s="28"/>
      <c r="U654" s="28"/>
      <c r="V654" s="66"/>
      <c r="W654" s="5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</row>
    <row r="655" ht="60.0" customHeight="1">
      <c r="A655" s="14" t="str">
        <f>if(H655&lt;&gt;"",VLOOKUP(H655,ID!$A$2:$C$999,3,FALSE),"") </f>
        <v/>
      </c>
      <c r="B655" s="15"/>
      <c r="C655" s="16"/>
      <c r="D655" s="89"/>
      <c r="E655" s="89"/>
      <c r="F655" s="85"/>
      <c r="G655" s="81"/>
      <c r="H655" s="85"/>
      <c r="I655" s="85"/>
      <c r="J655" s="85"/>
      <c r="K655" s="85"/>
      <c r="L655" s="85"/>
      <c r="M655" s="85"/>
      <c r="N655" s="66"/>
      <c r="O655" s="66"/>
      <c r="P655" s="66"/>
      <c r="Q655" s="28"/>
      <c r="R655" s="69" t="str">
        <f>IFERROR(__xludf.DUMMYFUNCTION("IF (OR( Q655 = """" , P655 =""""), """" , IF(Q655 = ""Menos de 1 mês"" , ""antes de ""&amp; TO_TEXT( EDATE(P655, 1)), EDATE(P655,Q655)))"),"")</f>
        <v/>
      </c>
      <c r="S655" s="28"/>
      <c r="T655" s="28"/>
      <c r="U655" s="28"/>
      <c r="V655" s="66"/>
      <c r="W655" s="5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</row>
    <row r="656" ht="60.0" customHeight="1">
      <c r="A656" s="14" t="str">
        <f>if(H656&lt;&gt;"",VLOOKUP(H656,ID!$A$2:$C$999,3,FALSE),"") </f>
        <v/>
      </c>
      <c r="B656" s="15"/>
      <c r="C656" s="16"/>
      <c r="D656" s="89"/>
      <c r="E656" s="89"/>
      <c r="F656" s="85"/>
      <c r="G656" s="81"/>
      <c r="H656" s="85"/>
      <c r="I656" s="85"/>
      <c r="J656" s="85"/>
      <c r="K656" s="85"/>
      <c r="L656" s="85"/>
      <c r="M656" s="85"/>
      <c r="N656" s="66"/>
      <c r="O656" s="66"/>
      <c r="P656" s="66"/>
      <c r="Q656" s="28"/>
      <c r="R656" s="69" t="str">
        <f>IFERROR(__xludf.DUMMYFUNCTION("IF (OR( Q656 = """" , P656 =""""), """" , IF(Q656 = ""Menos de 1 mês"" , ""antes de ""&amp; TO_TEXT( EDATE(P656, 1)), EDATE(P656,Q656)))"),"")</f>
        <v/>
      </c>
      <c r="S656" s="28"/>
      <c r="T656" s="28"/>
      <c r="U656" s="28"/>
      <c r="V656" s="66"/>
      <c r="W656" s="5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</row>
    <row r="657" ht="60.0" customHeight="1">
      <c r="A657" s="14" t="str">
        <f>if(H657&lt;&gt;"",VLOOKUP(H657,ID!$A$2:$C$999,3,FALSE),"") </f>
        <v/>
      </c>
      <c r="B657" s="15"/>
      <c r="C657" s="16"/>
      <c r="D657" s="89"/>
      <c r="E657" s="89"/>
      <c r="F657" s="85"/>
      <c r="G657" s="81"/>
      <c r="H657" s="85"/>
      <c r="I657" s="85"/>
      <c r="J657" s="85"/>
      <c r="K657" s="85"/>
      <c r="L657" s="85"/>
      <c r="M657" s="85"/>
      <c r="N657" s="66"/>
      <c r="O657" s="66"/>
      <c r="P657" s="66"/>
      <c r="Q657" s="28"/>
      <c r="R657" s="69" t="str">
        <f>IFERROR(__xludf.DUMMYFUNCTION("IF (OR( Q657 = """" , P657 =""""), """" , IF(Q657 = ""Menos de 1 mês"" , ""antes de ""&amp; TO_TEXT( EDATE(P657, 1)), EDATE(P657,Q657)))"),"")</f>
        <v/>
      </c>
      <c r="S657" s="28"/>
      <c r="T657" s="28"/>
      <c r="U657" s="28"/>
      <c r="V657" s="66"/>
      <c r="W657" s="5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</row>
    <row r="658" ht="60.0" customHeight="1">
      <c r="A658" s="14" t="str">
        <f>if(H658&lt;&gt;"",VLOOKUP(H658,ID!$A$2:$C$999,3,FALSE),"") </f>
        <v/>
      </c>
      <c r="B658" s="15"/>
      <c r="C658" s="16"/>
      <c r="D658" s="89"/>
      <c r="E658" s="89"/>
      <c r="F658" s="85"/>
      <c r="G658" s="81"/>
      <c r="H658" s="85"/>
      <c r="I658" s="85"/>
      <c r="J658" s="85"/>
      <c r="K658" s="85"/>
      <c r="L658" s="85"/>
      <c r="M658" s="85"/>
      <c r="N658" s="66"/>
      <c r="O658" s="66"/>
      <c r="P658" s="66"/>
      <c r="Q658" s="28"/>
      <c r="R658" s="69" t="str">
        <f>IFERROR(__xludf.DUMMYFUNCTION("IF (OR( Q658 = """" , P658 =""""), """" , IF(Q658 = ""Menos de 1 mês"" , ""antes de ""&amp; TO_TEXT( EDATE(P658, 1)), EDATE(P658,Q658)))"),"")</f>
        <v/>
      </c>
      <c r="S658" s="28"/>
      <c r="T658" s="28"/>
      <c r="U658" s="28"/>
      <c r="V658" s="66"/>
      <c r="W658" s="5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</row>
    <row r="659" ht="60.0" customHeight="1">
      <c r="A659" s="14" t="str">
        <f>if(H659&lt;&gt;"",VLOOKUP(H659,ID!$A$2:$C$999,3,FALSE),"") </f>
        <v/>
      </c>
      <c r="B659" s="15"/>
      <c r="C659" s="16"/>
      <c r="D659" s="89"/>
      <c r="E659" s="89"/>
      <c r="F659" s="85"/>
      <c r="G659" s="81"/>
      <c r="H659" s="85"/>
      <c r="I659" s="85"/>
      <c r="J659" s="85"/>
      <c r="K659" s="85"/>
      <c r="L659" s="85"/>
      <c r="M659" s="85"/>
      <c r="N659" s="66"/>
      <c r="O659" s="66"/>
      <c r="P659" s="66"/>
      <c r="Q659" s="28"/>
      <c r="R659" s="69" t="str">
        <f>IFERROR(__xludf.DUMMYFUNCTION("IF (OR( Q659 = """" , P659 =""""), """" , IF(Q659 = ""Menos de 1 mês"" , ""antes de ""&amp; TO_TEXT( EDATE(P659, 1)), EDATE(P659,Q659)))"),"")</f>
        <v/>
      </c>
      <c r="S659" s="28"/>
      <c r="T659" s="28"/>
      <c r="U659" s="28"/>
      <c r="V659" s="66"/>
      <c r="W659" s="5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</row>
    <row r="660" ht="60.0" customHeight="1">
      <c r="A660" s="14" t="str">
        <f>if(H660&lt;&gt;"",VLOOKUP(H660,ID!$A$2:$C$999,3,FALSE),"") </f>
        <v/>
      </c>
      <c r="B660" s="15"/>
      <c r="C660" s="16"/>
      <c r="D660" s="89"/>
      <c r="E660" s="89"/>
      <c r="F660" s="85"/>
      <c r="G660" s="81"/>
      <c r="H660" s="85"/>
      <c r="I660" s="85"/>
      <c r="J660" s="85"/>
      <c r="K660" s="85"/>
      <c r="L660" s="85"/>
      <c r="M660" s="85"/>
      <c r="N660" s="66"/>
      <c r="O660" s="66"/>
      <c r="P660" s="66"/>
      <c r="Q660" s="28"/>
      <c r="R660" s="69" t="str">
        <f>IFERROR(__xludf.DUMMYFUNCTION("IF (OR( Q660 = """" , P660 =""""), """" , IF(Q660 = ""Menos de 1 mês"" , ""antes de ""&amp; TO_TEXT( EDATE(P660, 1)), EDATE(P660,Q660)))"),"")</f>
        <v/>
      </c>
      <c r="S660" s="28"/>
      <c r="T660" s="28"/>
      <c r="U660" s="28"/>
      <c r="V660" s="66"/>
      <c r="W660" s="5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</row>
    <row r="661" ht="60.0" customHeight="1">
      <c r="A661" s="14" t="str">
        <f>if(H661&lt;&gt;"",VLOOKUP(H661,ID!$A$2:$C$999,3,FALSE),"") </f>
        <v/>
      </c>
      <c r="B661" s="15"/>
      <c r="C661" s="16"/>
      <c r="D661" s="89"/>
      <c r="E661" s="89"/>
      <c r="F661" s="85"/>
      <c r="G661" s="81"/>
      <c r="H661" s="85"/>
      <c r="I661" s="85"/>
      <c r="J661" s="85"/>
      <c r="K661" s="85"/>
      <c r="L661" s="85"/>
      <c r="M661" s="85"/>
      <c r="N661" s="66"/>
      <c r="O661" s="66"/>
      <c r="P661" s="66"/>
      <c r="Q661" s="28"/>
      <c r="R661" s="69" t="str">
        <f>IFERROR(__xludf.DUMMYFUNCTION("IF (OR( Q661 = """" , P661 =""""), """" , IF(Q661 = ""Menos de 1 mês"" , ""antes de ""&amp; TO_TEXT( EDATE(P661, 1)), EDATE(P661,Q661)))"),"")</f>
        <v/>
      </c>
      <c r="S661" s="28"/>
      <c r="T661" s="28"/>
      <c r="U661" s="28"/>
      <c r="V661" s="66"/>
      <c r="W661" s="5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</row>
    <row r="662" ht="60.0" customHeight="1">
      <c r="A662" s="14" t="str">
        <f>if(H662&lt;&gt;"",VLOOKUP(H662,ID!$A$2:$C$999,3,FALSE),"") </f>
        <v/>
      </c>
      <c r="B662" s="15"/>
      <c r="C662" s="16"/>
      <c r="D662" s="89"/>
      <c r="E662" s="89"/>
      <c r="F662" s="85"/>
      <c r="G662" s="81"/>
      <c r="H662" s="85"/>
      <c r="I662" s="85"/>
      <c r="J662" s="85"/>
      <c r="K662" s="85"/>
      <c r="L662" s="85"/>
      <c r="M662" s="85"/>
      <c r="N662" s="66"/>
      <c r="O662" s="66"/>
      <c r="P662" s="66"/>
      <c r="Q662" s="28"/>
      <c r="R662" s="69" t="str">
        <f>IFERROR(__xludf.DUMMYFUNCTION("IF (OR( Q662 = """" , P662 =""""), """" , IF(Q662 = ""Menos de 1 mês"" , ""antes de ""&amp; TO_TEXT( EDATE(P662, 1)), EDATE(P662,Q662)))"),"")</f>
        <v/>
      </c>
      <c r="S662" s="28"/>
      <c r="T662" s="28"/>
      <c r="U662" s="28"/>
      <c r="V662" s="66"/>
      <c r="W662" s="5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</row>
    <row r="663" ht="60.0" customHeight="1">
      <c r="A663" s="14" t="str">
        <f>if(H663&lt;&gt;"",VLOOKUP(H663,ID!$A$2:$C$999,3,FALSE),"") </f>
        <v/>
      </c>
      <c r="B663" s="15"/>
      <c r="C663" s="16"/>
      <c r="D663" s="89"/>
      <c r="E663" s="89"/>
      <c r="F663" s="85"/>
      <c r="G663" s="81"/>
      <c r="H663" s="85"/>
      <c r="I663" s="85"/>
      <c r="J663" s="85"/>
      <c r="K663" s="85"/>
      <c r="L663" s="85"/>
      <c r="M663" s="85"/>
      <c r="N663" s="66"/>
      <c r="O663" s="66"/>
      <c r="P663" s="66"/>
      <c r="Q663" s="28"/>
      <c r="R663" s="69" t="str">
        <f>IFERROR(__xludf.DUMMYFUNCTION("IF (OR( Q663 = """" , P663 =""""), """" , IF(Q663 = ""Menos de 1 mês"" , ""antes de ""&amp; TO_TEXT( EDATE(P663, 1)), EDATE(P663,Q663)))"),"")</f>
        <v/>
      </c>
      <c r="S663" s="28"/>
      <c r="T663" s="28"/>
      <c r="U663" s="28"/>
      <c r="V663" s="66"/>
      <c r="W663" s="5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</row>
    <row r="664" ht="60.0" customHeight="1">
      <c r="A664" s="14" t="str">
        <f>if(H664&lt;&gt;"",VLOOKUP(H664,ID!$A$2:$C$999,3,FALSE),"") </f>
        <v/>
      </c>
      <c r="B664" s="15"/>
      <c r="C664" s="16"/>
      <c r="D664" s="89"/>
      <c r="E664" s="89"/>
      <c r="F664" s="85"/>
      <c r="G664" s="81"/>
      <c r="H664" s="85"/>
      <c r="I664" s="85"/>
      <c r="J664" s="85"/>
      <c r="K664" s="85"/>
      <c r="L664" s="85"/>
      <c r="M664" s="85"/>
      <c r="N664" s="66"/>
      <c r="O664" s="66"/>
      <c r="P664" s="66"/>
      <c r="Q664" s="28"/>
      <c r="R664" s="69" t="str">
        <f>IFERROR(__xludf.DUMMYFUNCTION("IF (OR( Q664 = """" , P664 =""""), """" , IF(Q664 = ""Menos de 1 mês"" , ""antes de ""&amp; TO_TEXT( EDATE(P664, 1)), EDATE(P664,Q664)))"),"")</f>
        <v/>
      </c>
      <c r="S664" s="28"/>
      <c r="T664" s="28"/>
      <c r="U664" s="28"/>
      <c r="V664" s="66"/>
      <c r="W664" s="5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</row>
    <row r="665" ht="60.0" customHeight="1">
      <c r="A665" s="14" t="str">
        <f>if(H665&lt;&gt;"",VLOOKUP(H665,ID!$A$2:$C$999,3,FALSE),"") </f>
        <v/>
      </c>
      <c r="B665" s="15"/>
      <c r="C665" s="16"/>
      <c r="D665" s="89"/>
      <c r="E665" s="89"/>
      <c r="F665" s="85"/>
      <c r="G665" s="81"/>
      <c r="H665" s="85"/>
      <c r="I665" s="85"/>
      <c r="J665" s="85"/>
      <c r="K665" s="85"/>
      <c r="L665" s="85"/>
      <c r="M665" s="85"/>
      <c r="N665" s="66"/>
      <c r="O665" s="66"/>
      <c r="P665" s="66"/>
      <c r="Q665" s="28"/>
      <c r="R665" s="69" t="str">
        <f>IFERROR(__xludf.DUMMYFUNCTION("IF (OR( Q665 = """" , P665 =""""), """" , IF(Q665 = ""Menos de 1 mês"" , ""antes de ""&amp; TO_TEXT( EDATE(P665, 1)), EDATE(P665,Q665)))"),"")</f>
        <v/>
      </c>
      <c r="S665" s="28"/>
      <c r="T665" s="28"/>
      <c r="U665" s="28"/>
      <c r="V665" s="66"/>
      <c r="W665" s="5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</row>
    <row r="666" ht="60.0" customHeight="1">
      <c r="A666" s="14" t="str">
        <f>if(H666&lt;&gt;"",VLOOKUP(H666,ID!$A$2:$C$999,3,FALSE),"") </f>
        <v/>
      </c>
      <c r="B666" s="15"/>
      <c r="C666" s="16"/>
      <c r="D666" s="89"/>
      <c r="E666" s="89"/>
      <c r="F666" s="85"/>
      <c r="G666" s="81"/>
      <c r="H666" s="85"/>
      <c r="I666" s="85"/>
      <c r="J666" s="85"/>
      <c r="K666" s="85"/>
      <c r="L666" s="85"/>
      <c r="M666" s="85"/>
      <c r="N666" s="66"/>
      <c r="O666" s="66"/>
      <c r="P666" s="66"/>
      <c r="Q666" s="28"/>
      <c r="R666" s="69" t="str">
        <f>IFERROR(__xludf.DUMMYFUNCTION("IF (OR( Q666 = """" , P666 =""""), """" , IF(Q666 = ""Menos de 1 mês"" , ""antes de ""&amp; TO_TEXT( EDATE(P666, 1)), EDATE(P666,Q666)))"),"")</f>
        <v/>
      </c>
      <c r="S666" s="28"/>
      <c r="T666" s="28"/>
      <c r="U666" s="28"/>
      <c r="V666" s="66"/>
      <c r="W666" s="5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</row>
    <row r="667" ht="60.0" customHeight="1">
      <c r="A667" s="14" t="str">
        <f>if(H667&lt;&gt;"",VLOOKUP(H667,ID!$A$2:$C$999,3,FALSE),"") </f>
        <v/>
      </c>
      <c r="B667" s="15"/>
      <c r="C667" s="16"/>
      <c r="D667" s="89"/>
      <c r="E667" s="89"/>
      <c r="F667" s="85"/>
      <c r="G667" s="81"/>
      <c r="H667" s="85"/>
      <c r="I667" s="85"/>
      <c r="J667" s="85"/>
      <c r="K667" s="85"/>
      <c r="L667" s="85"/>
      <c r="M667" s="85"/>
      <c r="N667" s="66"/>
      <c r="O667" s="66"/>
      <c r="P667" s="66"/>
      <c r="Q667" s="28"/>
      <c r="R667" s="69" t="str">
        <f>IFERROR(__xludf.DUMMYFUNCTION("IF (OR( Q667 = """" , P667 =""""), """" , IF(Q667 = ""Menos de 1 mês"" , ""antes de ""&amp; TO_TEXT( EDATE(P667, 1)), EDATE(P667,Q667)))"),"")</f>
        <v/>
      </c>
      <c r="S667" s="28"/>
      <c r="T667" s="28"/>
      <c r="U667" s="28"/>
      <c r="V667" s="66"/>
      <c r="W667" s="5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</row>
    <row r="668" ht="60.0" customHeight="1">
      <c r="A668" s="14" t="str">
        <f>if(H668&lt;&gt;"",VLOOKUP(H668,ID!$A$2:$C$999,3,FALSE),"") </f>
        <v/>
      </c>
      <c r="B668" s="15"/>
      <c r="C668" s="16"/>
      <c r="D668" s="89"/>
      <c r="E668" s="89"/>
      <c r="F668" s="85"/>
      <c r="G668" s="81"/>
      <c r="H668" s="85"/>
      <c r="I668" s="85"/>
      <c r="J668" s="85"/>
      <c r="K668" s="85"/>
      <c r="L668" s="85"/>
      <c r="M668" s="85"/>
      <c r="N668" s="66"/>
      <c r="O668" s="66"/>
      <c r="P668" s="66"/>
      <c r="Q668" s="28"/>
      <c r="R668" s="69" t="str">
        <f>IFERROR(__xludf.DUMMYFUNCTION("IF (OR( Q668 = """" , P668 =""""), """" , IF(Q668 = ""Menos de 1 mês"" , ""antes de ""&amp; TO_TEXT( EDATE(P668, 1)), EDATE(P668,Q668)))"),"")</f>
        <v/>
      </c>
      <c r="S668" s="28"/>
      <c r="T668" s="28"/>
      <c r="U668" s="28"/>
      <c r="V668" s="66"/>
      <c r="W668" s="5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</row>
    <row r="669" ht="60.0" customHeight="1">
      <c r="A669" s="14" t="str">
        <f>if(H669&lt;&gt;"",VLOOKUP(H669,ID!$A$2:$C$999,3,FALSE),"") </f>
        <v/>
      </c>
      <c r="B669" s="15"/>
      <c r="C669" s="16"/>
      <c r="D669" s="89"/>
      <c r="E669" s="89"/>
      <c r="F669" s="85"/>
      <c r="G669" s="81"/>
      <c r="H669" s="85"/>
      <c r="I669" s="85"/>
      <c r="J669" s="85"/>
      <c r="K669" s="85"/>
      <c r="L669" s="85"/>
      <c r="M669" s="85"/>
      <c r="N669" s="66"/>
      <c r="O669" s="66"/>
      <c r="P669" s="66"/>
      <c r="Q669" s="28"/>
      <c r="R669" s="69" t="str">
        <f>IFERROR(__xludf.DUMMYFUNCTION("IF (OR( Q669 = """" , P669 =""""), """" , IF(Q669 = ""Menos de 1 mês"" , ""antes de ""&amp; TO_TEXT( EDATE(P669, 1)), EDATE(P669,Q669)))"),"")</f>
        <v/>
      </c>
      <c r="S669" s="28"/>
      <c r="T669" s="28"/>
      <c r="U669" s="28"/>
      <c r="V669" s="66"/>
      <c r="W669" s="5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</row>
    <row r="670" ht="60.0" customHeight="1">
      <c r="A670" s="14" t="str">
        <f>if(H670&lt;&gt;"",VLOOKUP(H670,ID!$A$2:$C$999,3,FALSE),"") </f>
        <v/>
      </c>
      <c r="B670" s="15"/>
      <c r="C670" s="16"/>
      <c r="D670" s="89"/>
      <c r="E670" s="89"/>
      <c r="F670" s="85"/>
      <c r="G670" s="81"/>
      <c r="H670" s="85"/>
      <c r="I670" s="85"/>
      <c r="J670" s="85"/>
      <c r="K670" s="85"/>
      <c r="L670" s="85"/>
      <c r="M670" s="85"/>
      <c r="N670" s="66"/>
      <c r="O670" s="66"/>
      <c r="P670" s="66"/>
      <c r="Q670" s="28"/>
      <c r="R670" s="69" t="str">
        <f>IFERROR(__xludf.DUMMYFUNCTION("IF (OR( Q670 = """" , P670 =""""), """" , IF(Q670 = ""Menos de 1 mês"" , ""antes de ""&amp; TO_TEXT( EDATE(P670, 1)), EDATE(P670,Q670)))"),"")</f>
        <v/>
      </c>
      <c r="S670" s="28"/>
      <c r="T670" s="28"/>
      <c r="U670" s="28"/>
      <c r="V670" s="66"/>
      <c r="W670" s="5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</row>
    <row r="671" ht="60.0" customHeight="1">
      <c r="A671" s="14" t="str">
        <f>if(H671&lt;&gt;"",VLOOKUP(H671,ID!$A$2:$C$999,3,FALSE),"") </f>
        <v/>
      </c>
      <c r="B671" s="15"/>
      <c r="C671" s="16"/>
      <c r="D671" s="89"/>
      <c r="E671" s="89"/>
      <c r="F671" s="85"/>
      <c r="G671" s="81"/>
      <c r="H671" s="85"/>
      <c r="I671" s="85"/>
      <c r="J671" s="85"/>
      <c r="K671" s="85"/>
      <c r="L671" s="85"/>
      <c r="M671" s="85"/>
      <c r="N671" s="66"/>
      <c r="O671" s="66"/>
      <c r="P671" s="66"/>
      <c r="Q671" s="28"/>
      <c r="R671" s="69" t="str">
        <f>IFERROR(__xludf.DUMMYFUNCTION("IF (OR( Q671 = """" , P671 =""""), """" , IF(Q671 = ""Menos de 1 mês"" , ""antes de ""&amp; TO_TEXT( EDATE(P671, 1)), EDATE(P671,Q671)))"),"")</f>
        <v/>
      </c>
      <c r="S671" s="28"/>
      <c r="T671" s="28"/>
      <c r="U671" s="28"/>
      <c r="V671" s="66"/>
      <c r="W671" s="5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</row>
    <row r="672" ht="60.0" customHeight="1">
      <c r="A672" s="14" t="str">
        <f>if(H672&lt;&gt;"",VLOOKUP(H672,ID!$A$2:$C$999,3,FALSE),"") </f>
        <v/>
      </c>
      <c r="B672" s="15"/>
      <c r="C672" s="16"/>
      <c r="D672" s="89"/>
      <c r="E672" s="89"/>
      <c r="F672" s="85"/>
      <c r="G672" s="81"/>
      <c r="H672" s="85"/>
      <c r="I672" s="85"/>
      <c r="J672" s="85"/>
      <c r="K672" s="85"/>
      <c r="L672" s="85"/>
      <c r="M672" s="85"/>
      <c r="N672" s="66"/>
      <c r="O672" s="66"/>
      <c r="P672" s="66"/>
      <c r="Q672" s="28"/>
      <c r="R672" s="69" t="str">
        <f>IFERROR(__xludf.DUMMYFUNCTION("IF (OR( Q672 = """" , P672 =""""), """" , IF(Q672 = ""Menos de 1 mês"" , ""antes de ""&amp; TO_TEXT( EDATE(P672, 1)), EDATE(P672,Q672)))"),"")</f>
        <v/>
      </c>
      <c r="S672" s="28"/>
      <c r="T672" s="28"/>
      <c r="U672" s="28"/>
      <c r="V672" s="66"/>
      <c r="W672" s="5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</row>
    <row r="673" ht="60.0" customHeight="1">
      <c r="A673" s="14" t="str">
        <f>if(H673&lt;&gt;"",VLOOKUP(H673,ID!$A$2:$C$999,3,FALSE),"") </f>
        <v/>
      </c>
      <c r="B673" s="15"/>
      <c r="C673" s="16"/>
      <c r="D673" s="89"/>
      <c r="E673" s="89"/>
      <c r="F673" s="85"/>
      <c r="G673" s="81"/>
      <c r="H673" s="85"/>
      <c r="I673" s="85"/>
      <c r="J673" s="85"/>
      <c r="K673" s="85"/>
      <c r="L673" s="85"/>
      <c r="M673" s="85"/>
      <c r="N673" s="66"/>
      <c r="O673" s="66"/>
      <c r="P673" s="66"/>
      <c r="Q673" s="28"/>
      <c r="R673" s="69" t="str">
        <f>IFERROR(__xludf.DUMMYFUNCTION("IF (OR( Q673 = """" , P673 =""""), """" , IF(Q673 = ""Menos de 1 mês"" , ""antes de ""&amp; TO_TEXT( EDATE(P673, 1)), EDATE(P673,Q673)))"),"")</f>
        <v/>
      </c>
      <c r="S673" s="28"/>
      <c r="T673" s="28"/>
      <c r="U673" s="28"/>
      <c r="V673" s="66"/>
      <c r="W673" s="5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</row>
    <row r="674" ht="60.0" customHeight="1">
      <c r="A674" s="14" t="str">
        <f>if(H674&lt;&gt;"",VLOOKUP(H674,ID!$A$2:$C$999,3,FALSE),"") </f>
        <v/>
      </c>
      <c r="B674" s="15"/>
      <c r="C674" s="16"/>
      <c r="D674" s="89"/>
      <c r="E674" s="89"/>
      <c r="F674" s="85"/>
      <c r="G674" s="81"/>
      <c r="H674" s="85"/>
      <c r="I674" s="85"/>
      <c r="J674" s="85"/>
      <c r="K674" s="85"/>
      <c r="L674" s="85"/>
      <c r="M674" s="85"/>
      <c r="N674" s="66"/>
      <c r="O674" s="66"/>
      <c r="P674" s="66"/>
      <c r="Q674" s="28"/>
      <c r="R674" s="69" t="str">
        <f>IFERROR(__xludf.DUMMYFUNCTION("IF (OR( Q674 = """" , P674 =""""), """" , IF(Q674 = ""Menos de 1 mês"" , ""antes de ""&amp; TO_TEXT( EDATE(P674, 1)), EDATE(P674,Q674)))"),"")</f>
        <v/>
      </c>
      <c r="S674" s="28"/>
      <c r="T674" s="28"/>
      <c r="U674" s="28"/>
      <c r="V674" s="66"/>
      <c r="W674" s="5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</row>
    <row r="675" ht="60.0" customHeight="1">
      <c r="A675" s="14" t="str">
        <f>if(H675&lt;&gt;"",VLOOKUP(H675,ID!$A$2:$C$999,3,FALSE),"") </f>
        <v/>
      </c>
      <c r="B675" s="15"/>
      <c r="C675" s="16"/>
      <c r="D675" s="89"/>
      <c r="E675" s="89"/>
      <c r="F675" s="85"/>
      <c r="G675" s="81"/>
      <c r="H675" s="85"/>
      <c r="I675" s="85"/>
      <c r="J675" s="85"/>
      <c r="K675" s="85"/>
      <c r="L675" s="85"/>
      <c r="M675" s="85"/>
      <c r="N675" s="66"/>
      <c r="O675" s="66"/>
      <c r="P675" s="66"/>
      <c r="Q675" s="28"/>
      <c r="R675" s="69" t="str">
        <f>IFERROR(__xludf.DUMMYFUNCTION("IF (OR( Q675 = """" , P675 =""""), """" , IF(Q675 = ""Menos de 1 mês"" , ""antes de ""&amp; TO_TEXT( EDATE(P675, 1)), EDATE(P675,Q675)))"),"")</f>
        <v/>
      </c>
      <c r="S675" s="28"/>
      <c r="T675" s="28"/>
      <c r="U675" s="28"/>
      <c r="V675" s="66"/>
      <c r="W675" s="5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</row>
    <row r="676" ht="60.0" customHeight="1">
      <c r="A676" s="14" t="str">
        <f>if(H676&lt;&gt;"",VLOOKUP(H676,ID!$A$2:$C$999,3,FALSE),"") </f>
        <v/>
      </c>
      <c r="B676" s="15"/>
      <c r="C676" s="16"/>
      <c r="D676" s="89"/>
      <c r="E676" s="89"/>
      <c r="F676" s="85"/>
      <c r="G676" s="81"/>
      <c r="H676" s="85"/>
      <c r="I676" s="85"/>
      <c r="J676" s="85"/>
      <c r="K676" s="85"/>
      <c r="L676" s="85"/>
      <c r="M676" s="85"/>
      <c r="N676" s="66"/>
      <c r="O676" s="66"/>
      <c r="P676" s="66"/>
      <c r="Q676" s="28"/>
      <c r="R676" s="69" t="str">
        <f>IFERROR(__xludf.DUMMYFUNCTION("IF (OR( Q676 = """" , P676 =""""), """" , IF(Q676 = ""Menos de 1 mês"" , ""antes de ""&amp; TO_TEXT( EDATE(P676, 1)), EDATE(P676,Q676)))"),"")</f>
        <v/>
      </c>
      <c r="S676" s="28"/>
      <c r="T676" s="28"/>
      <c r="U676" s="28"/>
      <c r="V676" s="66"/>
      <c r="W676" s="5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</row>
    <row r="677" ht="60.0" customHeight="1">
      <c r="A677" s="14" t="str">
        <f>if(H677&lt;&gt;"",VLOOKUP(H677,ID!$A$2:$C$999,3,FALSE),"") </f>
        <v/>
      </c>
      <c r="B677" s="15"/>
      <c r="C677" s="16"/>
      <c r="D677" s="89"/>
      <c r="E677" s="89"/>
      <c r="F677" s="85"/>
      <c r="G677" s="81"/>
      <c r="H677" s="85"/>
      <c r="I677" s="85"/>
      <c r="J677" s="85"/>
      <c r="K677" s="85"/>
      <c r="L677" s="85"/>
      <c r="M677" s="85"/>
      <c r="N677" s="66"/>
      <c r="O677" s="66"/>
      <c r="P677" s="66"/>
      <c r="Q677" s="28"/>
      <c r="R677" s="69" t="str">
        <f>IFERROR(__xludf.DUMMYFUNCTION("IF (OR( Q677 = """" , P677 =""""), """" , IF(Q677 = ""Menos de 1 mês"" , ""antes de ""&amp; TO_TEXT( EDATE(P677, 1)), EDATE(P677,Q677)))"),"")</f>
        <v/>
      </c>
      <c r="S677" s="28"/>
      <c r="T677" s="28"/>
      <c r="U677" s="28"/>
      <c r="V677" s="66"/>
      <c r="W677" s="5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</row>
    <row r="678" ht="60.0" customHeight="1">
      <c r="A678" s="14" t="str">
        <f>if(H678&lt;&gt;"",VLOOKUP(H678,ID!$A$2:$C$999,3,FALSE),"") </f>
        <v/>
      </c>
      <c r="B678" s="15"/>
      <c r="C678" s="16"/>
      <c r="D678" s="89"/>
      <c r="E678" s="89"/>
      <c r="F678" s="85"/>
      <c r="G678" s="81"/>
      <c r="H678" s="85"/>
      <c r="I678" s="85"/>
      <c r="J678" s="85"/>
      <c r="K678" s="85"/>
      <c r="L678" s="85"/>
      <c r="M678" s="85"/>
      <c r="N678" s="66"/>
      <c r="O678" s="66"/>
      <c r="P678" s="66"/>
      <c r="Q678" s="28"/>
      <c r="R678" s="69" t="str">
        <f>IFERROR(__xludf.DUMMYFUNCTION("IF (OR( Q678 = """" , P678 =""""), """" , IF(Q678 = ""Menos de 1 mês"" , ""antes de ""&amp; TO_TEXT( EDATE(P678, 1)), EDATE(P678,Q678)))"),"")</f>
        <v/>
      </c>
      <c r="S678" s="28"/>
      <c r="T678" s="28"/>
      <c r="U678" s="28"/>
      <c r="V678" s="66"/>
      <c r="W678" s="5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</row>
    <row r="679" ht="60.0" customHeight="1">
      <c r="A679" s="14" t="str">
        <f>if(H679&lt;&gt;"",VLOOKUP(H679,ID!$A$2:$C$999,3,FALSE),"") </f>
        <v/>
      </c>
      <c r="B679" s="15"/>
      <c r="C679" s="16"/>
      <c r="D679" s="89"/>
      <c r="E679" s="89"/>
      <c r="F679" s="85"/>
      <c r="G679" s="81"/>
      <c r="H679" s="85"/>
      <c r="I679" s="85"/>
      <c r="J679" s="85"/>
      <c r="K679" s="85"/>
      <c r="L679" s="85"/>
      <c r="M679" s="85"/>
      <c r="N679" s="66"/>
      <c r="O679" s="66"/>
      <c r="P679" s="66"/>
      <c r="Q679" s="28"/>
      <c r="R679" s="69" t="str">
        <f>IFERROR(__xludf.DUMMYFUNCTION("IF (OR( Q679 = """" , P679 =""""), """" , IF(Q679 = ""Menos de 1 mês"" , ""antes de ""&amp; TO_TEXT( EDATE(P679, 1)), EDATE(P679,Q679)))"),"")</f>
        <v/>
      </c>
      <c r="S679" s="28"/>
      <c r="T679" s="28"/>
      <c r="U679" s="28"/>
      <c r="V679" s="66"/>
      <c r="W679" s="5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</row>
    <row r="680" ht="60.0" customHeight="1">
      <c r="A680" s="14" t="str">
        <f>if(H680&lt;&gt;"",VLOOKUP(H680,ID!$A$2:$C$999,3,FALSE),"") </f>
        <v/>
      </c>
      <c r="B680" s="15"/>
      <c r="C680" s="16"/>
      <c r="D680" s="89"/>
      <c r="E680" s="89"/>
      <c r="F680" s="85"/>
      <c r="G680" s="81"/>
      <c r="H680" s="85"/>
      <c r="I680" s="85"/>
      <c r="J680" s="85"/>
      <c r="K680" s="85"/>
      <c r="L680" s="85"/>
      <c r="M680" s="85"/>
      <c r="N680" s="66"/>
      <c r="O680" s="66"/>
      <c r="P680" s="66"/>
      <c r="Q680" s="28"/>
      <c r="R680" s="69" t="str">
        <f>IFERROR(__xludf.DUMMYFUNCTION("IF (OR( Q680 = """" , P680 =""""), """" , IF(Q680 = ""Menos de 1 mês"" , ""antes de ""&amp; TO_TEXT( EDATE(P680, 1)), EDATE(P680,Q680)))"),"")</f>
        <v/>
      </c>
      <c r="S680" s="28"/>
      <c r="T680" s="28"/>
      <c r="U680" s="28"/>
      <c r="V680" s="66"/>
      <c r="W680" s="5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</row>
    <row r="681" ht="60.0" customHeight="1">
      <c r="A681" s="14" t="str">
        <f>if(H681&lt;&gt;"",VLOOKUP(H681,ID!$A$2:$C$999,3,FALSE),"") </f>
        <v/>
      </c>
      <c r="B681" s="15"/>
      <c r="C681" s="16"/>
      <c r="D681" s="89"/>
      <c r="E681" s="89"/>
      <c r="F681" s="85"/>
      <c r="G681" s="81"/>
      <c r="H681" s="85"/>
      <c r="I681" s="85"/>
      <c r="J681" s="85"/>
      <c r="K681" s="85"/>
      <c r="L681" s="85"/>
      <c r="M681" s="85"/>
      <c r="N681" s="66"/>
      <c r="O681" s="66"/>
      <c r="P681" s="66"/>
      <c r="Q681" s="28"/>
      <c r="R681" s="69" t="str">
        <f>IFERROR(__xludf.DUMMYFUNCTION("IF (OR( Q681 = """" , P681 =""""), """" , IF(Q681 = ""Menos de 1 mês"" , ""antes de ""&amp; TO_TEXT( EDATE(P681, 1)), EDATE(P681,Q681)))"),"")</f>
        <v/>
      </c>
      <c r="S681" s="28"/>
      <c r="T681" s="28"/>
      <c r="U681" s="28"/>
      <c r="V681" s="66"/>
      <c r="W681" s="5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</row>
    <row r="682" ht="60.0" customHeight="1">
      <c r="A682" s="14" t="str">
        <f>if(H682&lt;&gt;"",VLOOKUP(H682,ID!$A$2:$C$999,3,FALSE),"") </f>
        <v/>
      </c>
      <c r="B682" s="15"/>
      <c r="C682" s="16"/>
      <c r="D682" s="89"/>
      <c r="E682" s="89"/>
      <c r="F682" s="85"/>
      <c r="G682" s="81"/>
      <c r="H682" s="85"/>
      <c r="I682" s="85"/>
      <c r="J682" s="85"/>
      <c r="K682" s="85"/>
      <c r="L682" s="85"/>
      <c r="M682" s="85"/>
      <c r="N682" s="66"/>
      <c r="O682" s="66"/>
      <c r="P682" s="66"/>
      <c r="Q682" s="28"/>
      <c r="R682" s="69" t="str">
        <f>IFERROR(__xludf.DUMMYFUNCTION("IF (OR( Q682 = """" , P682 =""""), """" , IF(Q682 = ""Menos de 1 mês"" , ""antes de ""&amp; TO_TEXT( EDATE(P682, 1)), EDATE(P682,Q682)))"),"")</f>
        <v/>
      </c>
      <c r="S682" s="28"/>
      <c r="T682" s="28"/>
      <c r="U682" s="28"/>
      <c r="V682" s="66"/>
      <c r="W682" s="5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</row>
    <row r="683" ht="60.0" customHeight="1">
      <c r="A683" s="14" t="str">
        <f>if(H683&lt;&gt;"",VLOOKUP(H683,ID!$A$2:$C$999,3,FALSE),"") </f>
        <v/>
      </c>
      <c r="B683" s="15"/>
      <c r="C683" s="16"/>
      <c r="D683" s="89"/>
      <c r="E683" s="89"/>
      <c r="F683" s="85"/>
      <c r="G683" s="81"/>
      <c r="H683" s="85"/>
      <c r="I683" s="85"/>
      <c r="J683" s="85"/>
      <c r="K683" s="85"/>
      <c r="L683" s="85"/>
      <c r="M683" s="85"/>
      <c r="N683" s="66"/>
      <c r="O683" s="66"/>
      <c r="P683" s="66"/>
      <c r="Q683" s="28"/>
      <c r="R683" s="69" t="str">
        <f>IFERROR(__xludf.DUMMYFUNCTION("IF (OR( Q683 = """" , P683 =""""), """" , IF(Q683 = ""Menos de 1 mês"" , ""antes de ""&amp; TO_TEXT( EDATE(P683, 1)), EDATE(P683,Q683)))"),"")</f>
        <v/>
      </c>
      <c r="S683" s="28"/>
      <c r="T683" s="28"/>
      <c r="U683" s="28"/>
      <c r="V683" s="66"/>
      <c r="W683" s="5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</row>
    <row r="684" ht="60.0" customHeight="1">
      <c r="A684" s="14" t="str">
        <f>if(H684&lt;&gt;"",VLOOKUP(H684,ID!$A$2:$C$999,3,FALSE),"") </f>
        <v/>
      </c>
      <c r="B684" s="15"/>
      <c r="C684" s="16"/>
      <c r="D684" s="89"/>
      <c r="E684" s="89"/>
      <c r="F684" s="85"/>
      <c r="G684" s="81"/>
      <c r="H684" s="85"/>
      <c r="I684" s="85"/>
      <c r="J684" s="85"/>
      <c r="K684" s="85"/>
      <c r="L684" s="85"/>
      <c r="M684" s="85"/>
      <c r="N684" s="66"/>
      <c r="O684" s="66"/>
      <c r="P684" s="66"/>
      <c r="Q684" s="28"/>
      <c r="R684" s="69" t="str">
        <f>IFERROR(__xludf.DUMMYFUNCTION("IF (OR( Q684 = """" , P684 =""""), """" , IF(Q684 = ""Menos de 1 mês"" , ""antes de ""&amp; TO_TEXT( EDATE(P684, 1)), EDATE(P684,Q684)))"),"")</f>
        <v/>
      </c>
      <c r="S684" s="28"/>
      <c r="T684" s="28"/>
      <c r="U684" s="28"/>
      <c r="V684" s="66"/>
      <c r="W684" s="5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</row>
    <row r="685" ht="60.0" customHeight="1">
      <c r="A685" s="14" t="str">
        <f>if(H685&lt;&gt;"",VLOOKUP(H685,ID!$A$2:$C$999,3,FALSE),"") </f>
        <v/>
      </c>
      <c r="B685" s="15"/>
      <c r="C685" s="16"/>
      <c r="D685" s="89"/>
      <c r="E685" s="89"/>
      <c r="F685" s="85"/>
      <c r="G685" s="81"/>
      <c r="H685" s="85"/>
      <c r="I685" s="85"/>
      <c r="J685" s="85"/>
      <c r="K685" s="85"/>
      <c r="L685" s="85"/>
      <c r="M685" s="85"/>
      <c r="N685" s="66"/>
      <c r="O685" s="66"/>
      <c r="P685" s="66"/>
      <c r="Q685" s="28"/>
      <c r="R685" s="69" t="str">
        <f>IFERROR(__xludf.DUMMYFUNCTION("IF (OR( Q685 = """" , P685 =""""), """" , IF(Q685 = ""Menos de 1 mês"" , ""antes de ""&amp; TO_TEXT( EDATE(P685, 1)), EDATE(P685,Q685)))"),"")</f>
        <v/>
      </c>
      <c r="S685" s="28"/>
      <c r="T685" s="28"/>
      <c r="U685" s="28"/>
      <c r="V685" s="66"/>
      <c r="W685" s="5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</row>
    <row r="686" ht="60.0" customHeight="1">
      <c r="A686" s="14" t="str">
        <f>if(H686&lt;&gt;"",VLOOKUP(H686,ID!$A$2:$C$999,3,FALSE),"") </f>
        <v/>
      </c>
      <c r="B686" s="15"/>
      <c r="C686" s="16"/>
      <c r="D686" s="89"/>
      <c r="E686" s="89"/>
      <c r="F686" s="85"/>
      <c r="G686" s="81"/>
      <c r="H686" s="85"/>
      <c r="I686" s="85"/>
      <c r="J686" s="85"/>
      <c r="K686" s="85"/>
      <c r="L686" s="85"/>
      <c r="M686" s="85"/>
      <c r="N686" s="66"/>
      <c r="O686" s="66"/>
      <c r="P686" s="66"/>
      <c r="Q686" s="28"/>
      <c r="R686" s="69" t="str">
        <f>IFERROR(__xludf.DUMMYFUNCTION("IF (OR( Q686 = """" , P686 =""""), """" , IF(Q686 = ""Menos de 1 mês"" , ""antes de ""&amp; TO_TEXT( EDATE(P686, 1)), EDATE(P686,Q686)))"),"")</f>
        <v/>
      </c>
      <c r="S686" s="28"/>
      <c r="T686" s="28"/>
      <c r="U686" s="28"/>
      <c r="V686" s="66"/>
      <c r="W686" s="5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</row>
    <row r="687" ht="60.0" customHeight="1">
      <c r="A687" s="14" t="str">
        <f>if(H687&lt;&gt;"",VLOOKUP(H687,ID!$A$2:$C$999,3,FALSE),"") </f>
        <v/>
      </c>
      <c r="B687" s="15"/>
      <c r="C687" s="16"/>
      <c r="D687" s="89"/>
      <c r="E687" s="89"/>
      <c r="F687" s="85"/>
      <c r="G687" s="81"/>
      <c r="H687" s="85"/>
      <c r="I687" s="85"/>
      <c r="J687" s="85"/>
      <c r="K687" s="85"/>
      <c r="L687" s="85"/>
      <c r="M687" s="85"/>
      <c r="N687" s="66"/>
      <c r="O687" s="66"/>
      <c r="P687" s="66"/>
      <c r="Q687" s="28"/>
      <c r="R687" s="69" t="str">
        <f>IFERROR(__xludf.DUMMYFUNCTION("IF (OR( Q687 = """" , P687 =""""), """" , IF(Q687 = ""Menos de 1 mês"" , ""antes de ""&amp; TO_TEXT( EDATE(P687, 1)), EDATE(P687,Q687)))"),"")</f>
        <v/>
      </c>
      <c r="S687" s="28"/>
      <c r="T687" s="28"/>
      <c r="U687" s="28"/>
      <c r="V687" s="66"/>
      <c r="W687" s="5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</row>
    <row r="688" ht="60.0" customHeight="1">
      <c r="A688" s="14" t="str">
        <f>if(H688&lt;&gt;"",VLOOKUP(H688,ID!$A$2:$C$999,3,FALSE),"") </f>
        <v/>
      </c>
      <c r="B688" s="15"/>
      <c r="C688" s="16"/>
      <c r="D688" s="89"/>
      <c r="E688" s="89"/>
      <c r="F688" s="85"/>
      <c r="G688" s="81"/>
      <c r="H688" s="85"/>
      <c r="I688" s="85"/>
      <c r="J688" s="85"/>
      <c r="K688" s="85"/>
      <c r="L688" s="85"/>
      <c r="M688" s="85"/>
      <c r="N688" s="66"/>
      <c r="O688" s="66"/>
      <c r="P688" s="66"/>
      <c r="Q688" s="28"/>
      <c r="R688" s="69" t="str">
        <f>IFERROR(__xludf.DUMMYFUNCTION("IF (OR( Q688 = """" , P688 =""""), """" , IF(Q688 = ""Menos de 1 mês"" , ""antes de ""&amp; TO_TEXT( EDATE(P688, 1)), EDATE(P688,Q688)))"),"")</f>
        <v/>
      </c>
      <c r="S688" s="28"/>
      <c r="T688" s="28"/>
      <c r="U688" s="28"/>
      <c r="V688" s="66"/>
      <c r="W688" s="5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</row>
    <row r="689" ht="60.0" customHeight="1">
      <c r="A689" s="14" t="str">
        <f>if(H689&lt;&gt;"",VLOOKUP(H689,ID!$A$2:$C$999,3,FALSE),"") </f>
        <v/>
      </c>
      <c r="B689" s="15"/>
      <c r="C689" s="16"/>
      <c r="D689" s="89"/>
      <c r="E689" s="89"/>
      <c r="F689" s="85"/>
      <c r="G689" s="81"/>
      <c r="H689" s="85"/>
      <c r="I689" s="85"/>
      <c r="J689" s="85"/>
      <c r="K689" s="85"/>
      <c r="L689" s="85"/>
      <c r="M689" s="85"/>
      <c r="N689" s="66"/>
      <c r="O689" s="66"/>
      <c r="P689" s="66"/>
      <c r="Q689" s="28"/>
      <c r="R689" s="69" t="str">
        <f>IFERROR(__xludf.DUMMYFUNCTION("IF (OR( Q689 = """" , P689 =""""), """" , IF(Q689 = ""Menos de 1 mês"" , ""antes de ""&amp; TO_TEXT( EDATE(P689, 1)), EDATE(P689,Q689)))"),"")</f>
        <v/>
      </c>
      <c r="S689" s="28"/>
      <c r="T689" s="28"/>
      <c r="U689" s="28"/>
      <c r="V689" s="66"/>
      <c r="W689" s="5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</row>
    <row r="690" ht="60.0" customHeight="1">
      <c r="A690" s="14" t="str">
        <f>if(H690&lt;&gt;"",VLOOKUP(H690,ID!$A$2:$C$999,3,FALSE),"") </f>
        <v/>
      </c>
      <c r="B690" s="15"/>
      <c r="C690" s="16"/>
      <c r="D690" s="89"/>
      <c r="E690" s="89"/>
      <c r="F690" s="85"/>
      <c r="G690" s="81"/>
      <c r="H690" s="85"/>
      <c r="I690" s="85"/>
      <c r="J690" s="85"/>
      <c r="K690" s="85"/>
      <c r="L690" s="85"/>
      <c r="M690" s="85"/>
      <c r="N690" s="66"/>
      <c r="O690" s="66"/>
      <c r="P690" s="66"/>
      <c r="Q690" s="28"/>
      <c r="R690" s="69" t="str">
        <f>IFERROR(__xludf.DUMMYFUNCTION("IF (OR( Q690 = """" , P690 =""""), """" , IF(Q690 = ""Menos de 1 mês"" , ""antes de ""&amp; TO_TEXT( EDATE(P690, 1)), EDATE(P690,Q690)))"),"")</f>
        <v/>
      </c>
      <c r="S690" s="28"/>
      <c r="T690" s="28"/>
      <c r="U690" s="28"/>
      <c r="V690" s="66"/>
      <c r="W690" s="5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</row>
    <row r="691" ht="60.0" customHeight="1">
      <c r="A691" s="14" t="str">
        <f>if(H691&lt;&gt;"",VLOOKUP(H691,ID!$A$2:$C$999,3,FALSE),"") </f>
        <v/>
      </c>
      <c r="B691" s="15"/>
      <c r="C691" s="16"/>
      <c r="D691" s="89"/>
      <c r="E691" s="89"/>
      <c r="F691" s="85"/>
      <c r="G691" s="81"/>
      <c r="H691" s="85"/>
      <c r="I691" s="85"/>
      <c r="J691" s="85"/>
      <c r="K691" s="85"/>
      <c r="L691" s="85"/>
      <c r="M691" s="85"/>
      <c r="N691" s="66"/>
      <c r="O691" s="66"/>
      <c r="P691" s="66"/>
      <c r="Q691" s="28"/>
      <c r="R691" s="69" t="str">
        <f>IFERROR(__xludf.DUMMYFUNCTION("IF (OR( Q691 = """" , P691 =""""), """" , IF(Q691 = ""Menos de 1 mês"" , ""antes de ""&amp; TO_TEXT( EDATE(P691, 1)), EDATE(P691,Q691)))"),"")</f>
        <v/>
      </c>
      <c r="S691" s="28"/>
      <c r="T691" s="28"/>
      <c r="U691" s="28"/>
      <c r="V691" s="66"/>
      <c r="W691" s="5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</row>
    <row r="692" ht="60.0" customHeight="1">
      <c r="A692" s="14" t="str">
        <f>if(H692&lt;&gt;"",VLOOKUP(H692,ID!$A$2:$C$999,3,FALSE),"") </f>
        <v/>
      </c>
      <c r="B692" s="15"/>
      <c r="C692" s="16"/>
      <c r="D692" s="89"/>
      <c r="E692" s="89"/>
      <c r="F692" s="85"/>
      <c r="G692" s="81"/>
      <c r="H692" s="85"/>
      <c r="I692" s="85"/>
      <c r="J692" s="85"/>
      <c r="K692" s="85"/>
      <c r="L692" s="85"/>
      <c r="M692" s="85"/>
      <c r="N692" s="66"/>
      <c r="O692" s="66"/>
      <c r="P692" s="66"/>
      <c r="Q692" s="28"/>
      <c r="R692" s="69" t="str">
        <f>IFERROR(__xludf.DUMMYFUNCTION("IF (OR( Q692 = """" , P692 =""""), """" , IF(Q692 = ""Menos de 1 mês"" , ""antes de ""&amp; TO_TEXT( EDATE(P692, 1)), EDATE(P692,Q692)))"),"")</f>
        <v/>
      </c>
      <c r="S692" s="28"/>
      <c r="T692" s="28"/>
      <c r="U692" s="28"/>
      <c r="V692" s="66"/>
      <c r="W692" s="5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</row>
    <row r="693" ht="60.0" customHeight="1">
      <c r="A693" s="14" t="str">
        <f>if(H693&lt;&gt;"",VLOOKUP(H693,ID!$A$2:$C$999,3,FALSE),"") </f>
        <v/>
      </c>
      <c r="B693" s="15"/>
      <c r="C693" s="16"/>
      <c r="D693" s="89"/>
      <c r="E693" s="89"/>
      <c r="F693" s="85"/>
      <c r="G693" s="81"/>
      <c r="H693" s="85"/>
      <c r="I693" s="85"/>
      <c r="J693" s="85"/>
      <c r="K693" s="85"/>
      <c r="L693" s="85"/>
      <c r="M693" s="85"/>
      <c r="N693" s="66"/>
      <c r="O693" s="66"/>
      <c r="P693" s="66"/>
      <c r="Q693" s="28"/>
      <c r="R693" s="69" t="str">
        <f>IFERROR(__xludf.DUMMYFUNCTION("IF (OR( Q693 = """" , P693 =""""), """" , IF(Q693 = ""Menos de 1 mês"" , ""antes de ""&amp; TO_TEXT( EDATE(P693, 1)), EDATE(P693,Q693)))"),"")</f>
        <v/>
      </c>
      <c r="S693" s="28"/>
      <c r="T693" s="28"/>
      <c r="U693" s="28"/>
      <c r="V693" s="66"/>
      <c r="W693" s="5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</row>
    <row r="694" ht="60.0" customHeight="1">
      <c r="A694" s="14" t="str">
        <f>if(H694&lt;&gt;"",VLOOKUP(H694,ID!$A$2:$C$999,3,FALSE),"") </f>
        <v/>
      </c>
      <c r="B694" s="15"/>
      <c r="C694" s="16"/>
      <c r="D694" s="89"/>
      <c r="E694" s="89"/>
      <c r="F694" s="85"/>
      <c r="G694" s="81"/>
      <c r="H694" s="85"/>
      <c r="I694" s="85"/>
      <c r="J694" s="85"/>
      <c r="K694" s="85"/>
      <c r="L694" s="85"/>
      <c r="M694" s="85"/>
      <c r="N694" s="66"/>
      <c r="O694" s="66"/>
      <c r="P694" s="66"/>
      <c r="Q694" s="28"/>
      <c r="R694" s="69" t="str">
        <f>IFERROR(__xludf.DUMMYFUNCTION("IF (OR( Q694 = """" , P694 =""""), """" , IF(Q694 = ""Menos de 1 mês"" , ""antes de ""&amp; TO_TEXT( EDATE(P694, 1)), EDATE(P694,Q694)))"),"")</f>
        <v/>
      </c>
      <c r="S694" s="28"/>
      <c r="T694" s="28"/>
      <c r="U694" s="28"/>
      <c r="V694" s="66"/>
      <c r="W694" s="5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</row>
    <row r="695" ht="60.0" customHeight="1">
      <c r="A695" s="14" t="str">
        <f>if(H695&lt;&gt;"",VLOOKUP(H695,ID!$A$2:$C$999,3,FALSE),"") </f>
        <v/>
      </c>
      <c r="B695" s="15"/>
      <c r="C695" s="16"/>
      <c r="D695" s="89"/>
      <c r="E695" s="89"/>
      <c r="F695" s="85"/>
      <c r="G695" s="81"/>
      <c r="H695" s="85"/>
      <c r="I695" s="85"/>
      <c r="J695" s="85"/>
      <c r="K695" s="85"/>
      <c r="L695" s="85"/>
      <c r="M695" s="85"/>
      <c r="N695" s="66"/>
      <c r="O695" s="66"/>
      <c r="P695" s="66"/>
      <c r="Q695" s="28"/>
      <c r="R695" s="69" t="str">
        <f>IFERROR(__xludf.DUMMYFUNCTION("IF (OR( Q695 = """" , P695 =""""), """" , IF(Q695 = ""Menos de 1 mês"" , ""antes de ""&amp; TO_TEXT( EDATE(P695, 1)), EDATE(P695,Q695)))"),"")</f>
        <v/>
      </c>
      <c r="S695" s="28"/>
      <c r="T695" s="28"/>
      <c r="U695" s="28"/>
      <c r="V695" s="66"/>
      <c r="W695" s="5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</row>
    <row r="696" ht="60.0" customHeight="1">
      <c r="A696" s="14" t="str">
        <f>if(H696&lt;&gt;"",VLOOKUP(H696,ID!$A$2:$C$999,3,FALSE),"") </f>
        <v/>
      </c>
      <c r="B696" s="15"/>
      <c r="C696" s="16"/>
      <c r="D696" s="89"/>
      <c r="E696" s="89"/>
      <c r="F696" s="85"/>
      <c r="G696" s="81"/>
      <c r="H696" s="85"/>
      <c r="I696" s="85"/>
      <c r="J696" s="85"/>
      <c r="K696" s="85"/>
      <c r="L696" s="85"/>
      <c r="M696" s="85"/>
      <c r="N696" s="66"/>
      <c r="O696" s="66"/>
      <c r="P696" s="66"/>
      <c r="Q696" s="28"/>
      <c r="R696" s="69" t="str">
        <f>IFERROR(__xludf.DUMMYFUNCTION("IF (OR( Q696 = """" , P696 =""""), """" , IF(Q696 = ""Menos de 1 mês"" , ""antes de ""&amp; TO_TEXT( EDATE(P696, 1)), EDATE(P696,Q696)))"),"")</f>
        <v/>
      </c>
      <c r="S696" s="28"/>
      <c r="T696" s="28"/>
      <c r="U696" s="28"/>
      <c r="V696" s="66"/>
      <c r="W696" s="5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</row>
    <row r="697" ht="60.0" customHeight="1">
      <c r="A697" s="14" t="str">
        <f>if(H697&lt;&gt;"",VLOOKUP(H697,ID!$A$2:$C$999,3,FALSE),"") </f>
        <v/>
      </c>
      <c r="B697" s="15"/>
      <c r="C697" s="16"/>
      <c r="D697" s="89"/>
      <c r="E697" s="89"/>
      <c r="F697" s="85"/>
      <c r="G697" s="81"/>
      <c r="H697" s="85"/>
      <c r="I697" s="85"/>
      <c r="J697" s="85"/>
      <c r="K697" s="85"/>
      <c r="L697" s="85"/>
      <c r="M697" s="85"/>
      <c r="N697" s="66"/>
      <c r="O697" s="66"/>
      <c r="P697" s="66"/>
      <c r="Q697" s="28"/>
      <c r="R697" s="69" t="str">
        <f>IFERROR(__xludf.DUMMYFUNCTION("IF (OR( Q697 = """" , P697 =""""), """" , IF(Q697 = ""Menos de 1 mês"" , ""antes de ""&amp; TO_TEXT( EDATE(P697, 1)), EDATE(P697,Q697)))"),"")</f>
        <v/>
      </c>
      <c r="S697" s="28"/>
      <c r="T697" s="28"/>
      <c r="U697" s="28"/>
      <c r="V697" s="66"/>
      <c r="W697" s="5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</row>
    <row r="698" ht="60.0" customHeight="1">
      <c r="A698" s="14" t="str">
        <f>if(H698&lt;&gt;"",VLOOKUP(H698,ID!$A$2:$C$999,3,FALSE),"") </f>
        <v/>
      </c>
      <c r="B698" s="15"/>
      <c r="C698" s="16"/>
      <c r="D698" s="89"/>
      <c r="E698" s="89"/>
      <c r="F698" s="85"/>
      <c r="G698" s="81"/>
      <c r="H698" s="85"/>
      <c r="I698" s="85"/>
      <c r="J698" s="85"/>
      <c r="K698" s="85"/>
      <c r="L698" s="85"/>
      <c r="M698" s="85"/>
      <c r="N698" s="66"/>
      <c r="O698" s="66"/>
      <c r="P698" s="66"/>
      <c r="Q698" s="28"/>
      <c r="R698" s="69" t="str">
        <f>IFERROR(__xludf.DUMMYFUNCTION("IF (OR( Q698 = """" , P698 =""""), """" , IF(Q698 = ""Menos de 1 mês"" , ""antes de ""&amp; TO_TEXT( EDATE(P698, 1)), EDATE(P698,Q698)))"),"")</f>
        <v/>
      </c>
      <c r="S698" s="28"/>
      <c r="T698" s="28"/>
      <c r="U698" s="28"/>
      <c r="V698" s="66"/>
      <c r="W698" s="5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</row>
    <row r="699" ht="60.0" customHeight="1">
      <c r="A699" s="14" t="str">
        <f>if(H699&lt;&gt;"",VLOOKUP(H699,ID!$A$2:$C$999,3,FALSE),"") </f>
        <v/>
      </c>
      <c r="B699" s="15"/>
      <c r="C699" s="16"/>
      <c r="D699" s="89"/>
      <c r="E699" s="89"/>
      <c r="F699" s="85"/>
      <c r="G699" s="81"/>
      <c r="H699" s="85"/>
      <c r="I699" s="85"/>
      <c r="J699" s="85"/>
      <c r="K699" s="85"/>
      <c r="L699" s="85"/>
      <c r="M699" s="85"/>
      <c r="N699" s="66"/>
      <c r="O699" s="66"/>
      <c r="P699" s="66"/>
      <c r="Q699" s="28"/>
      <c r="R699" s="69" t="str">
        <f>IFERROR(__xludf.DUMMYFUNCTION("IF (OR( Q699 = """" , P699 =""""), """" , IF(Q699 = ""Menos de 1 mês"" , ""antes de ""&amp; TO_TEXT( EDATE(P699, 1)), EDATE(P699,Q699)))"),"")</f>
        <v/>
      </c>
      <c r="S699" s="28"/>
      <c r="T699" s="28"/>
      <c r="U699" s="28"/>
      <c r="V699" s="66"/>
      <c r="W699" s="5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</row>
    <row r="700" ht="60.0" customHeight="1">
      <c r="A700" s="14" t="str">
        <f>if(H700&lt;&gt;"",VLOOKUP(H700,ID!$A$2:$C$999,3,FALSE),"") </f>
        <v/>
      </c>
      <c r="B700" s="15"/>
      <c r="C700" s="16"/>
      <c r="D700" s="89"/>
      <c r="E700" s="89"/>
      <c r="F700" s="85"/>
      <c r="G700" s="81"/>
      <c r="H700" s="85"/>
      <c r="I700" s="85"/>
      <c r="J700" s="85"/>
      <c r="K700" s="85"/>
      <c r="L700" s="85"/>
      <c r="M700" s="85"/>
      <c r="N700" s="66"/>
      <c r="O700" s="66"/>
      <c r="P700" s="66"/>
      <c r="Q700" s="28"/>
      <c r="R700" s="69" t="str">
        <f>IFERROR(__xludf.DUMMYFUNCTION("IF (OR( Q700 = """" , P700 =""""), """" , IF(Q700 = ""Menos de 1 mês"" , ""antes de ""&amp; TO_TEXT( EDATE(P700, 1)), EDATE(P700,Q700)))"),"")</f>
        <v/>
      </c>
      <c r="S700" s="28"/>
      <c r="T700" s="28"/>
      <c r="U700" s="28"/>
      <c r="V700" s="66"/>
      <c r="W700" s="5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</row>
    <row r="701" ht="60.0" customHeight="1">
      <c r="A701" s="14" t="str">
        <f>if(H701&lt;&gt;"",VLOOKUP(H701,ID!$A$2:$C$999,3,FALSE),"") </f>
        <v/>
      </c>
      <c r="B701" s="15"/>
      <c r="C701" s="16"/>
      <c r="D701" s="89"/>
      <c r="E701" s="89"/>
      <c r="F701" s="85"/>
      <c r="G701" s="81"/>
      <c r="H701" s="85"/>
      <c r="I701" s="85"/>
      <c r="J701" s="85"/>
      <c r="K701" s="85"/>
      <c r="L701" s="85"/>
      <c r="M701" s="85"/>
      <c r="N701" s="66"/>
      <c r="O701" s="66"/>
      <c r="P701" s="66"/>
      <c r="Q701" s="28"/>
      <c r="R701" s="69" t="str">
        <f>IFERROR(__xludf.DUMMYFUNCTION("IF (OR( Q701 = """" , P701 =""""), """" , IF(Q701 = ""Menos de 1 mês"" , ""antes de ""&amp; TO_TEXT( EDATE(P701, 1)), EDATE(P701,Q701)))"),"")</f>
        <v/>
      </c>
      <c r="S701" s="28"/>
      <c r="T701" s="28"/>
      <c r="U701" s="28"/>
      <c r="V701" s="66"/>
      <c r="W701" s="5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</row>
    <row r="702" ht="60.0" customHeight="1">
      <c r="A702" s="14" t="str">
        <f>if(H702&lt;&gt;"",VLOOKUP(H702,ID!$A$2:$C$999,3,FALSE),"") </f>
        <v/>
      </c>
      <c r="B702" s="15"/>
      <c r="C702" s="16"/>
      <c r="D702" s="89"/>
      <c r="E702" s="89"/>
      <c r="F702" s="85"/>
      <c r="G702" s="81"/>
      <c r="H702" s="85"/>
      <c r="I702" s="85"/>
      <c r="J702" s="85"/>
      <c r="K702" s="85"/>
      <c r="L702" s="85"/>
      <c r="M702" s="85"/>
      <c r="N702" s="66"/>
      <c r="O702" s="66"/>
      <c r="P702" s="66"/>
      <c r="Q702" s="28"/>
      <c r="R702" s="69" t="str">
        <f>IFERROR(__xludf.DUMMYFUNCTION("IF (OR( Q702 = """" , P702 =""""), """" , IF(Q702 = ""Menos de 1 mês"" , ""antes de ""&amp; TO_TEXT( EDATE(P702, 1)), EDATE(P702,Q702)))"),"")</f>
        <v/>
      </c>
      <c r="S702" s="28"/>
      <c r="T702" s="28"/>
      <c r="U702" s="28"/>
      <c r="V702" s="66"/>
      <c r="W702" s="5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</row>
    <row r="703" ht="60.0" customHeight="1">
      <c r="A703" s="14" t="str">
        <f>if(H703&lt;&gt;"",VLOOKUP(H703,ID!$A$2:$C$999,3,FALSE),"") </f>
        <v/>
      </c>
      <c r="B703" s="15"/>
      <c r="C703" s="16"/>
      <c r="D703" s="89"/>
      <c r="E703" s="89"/>
      <c r="F703" s="85"/>
      <c r="G703" s="81"/>
      <c r="H703" s="85"/>
      <c r="I703" s="85"/>
      <c r="J703" s="85"/>
      <c r="K703" s="85"/>
      <c r="L703" s="85"/>
      <c r="M703" s="85"/>
      <c r="N703" s="66"/>
      <c r="O703" s="66"/>
      <c r="P703" s="66"/>
      <c r="Q703" s="28"/>
      <c r="R703" s="69" t="str">
        <f>IFERROR(__xludf.DUMMYFUNCTION("IF (OR( Q703 = """" , P703 =""""), """" , IF(Q703 = ""Menos de 1 mês"" , ""antes de ""&amp; TO_TEXT( EDATE(P703, 1)), EDATE(P703,Q703)))"),"")</f>
        <v/>
      </c>
      <c r="S703" s="28"/>
      <c r="T703" s="28"/>
      <c r="U703" s="28"/>
      <c r="V703" s="66"/>
      <c r="W703" s="5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</row>
    <row r="704" ht="60.0" customHeight="1">
      <c r="A704" s="14" t="str">
        <f>if(H704&lt;&gt;"",VLOOKUP(H704,ID!$A$2:$C$999,3,FALSE),"") </f>
        <v/>
      </c>
      <c r="B704" s="15"/>
      <c r="C704" s="16"/>
      <c r="D704" s="89"/>
      <c r="E704" s="89"/>
      <c r="F704" s="85"/>
      <c r="G704" s="81"/>
      <c r="H704" s="85"/>
      <c r="I704" s="85"/>
      <c r="J704" s="85"/>
      <c r="K704" s="85"/>
      <c r="L704" s="85"/>
      <c r="M704" s="85"/>
      <c r="N704" s="66"/>
      <c r="O704" s="66"/>
      <c r="P704" s="66"/>
      <c r="Q704" s="28"/>
      <c r="R704" s="69" t="str">
        <f>IFERROR(__xludf.DUMMYFUNCTION("IF (OR( Q704 = """" , P704 =""""), """" , IF(Q704 = ""Menos de 1 mês"" , ""antes de ""&amp; TO_TEXT( EDATE(P704, 1)), EDATE(P704,Q704)))"),"")</f>
        <v/>
      </c>
      <c r="S704" s="28"/>
      <c r="T704" s="28"/>
      <c r="U704" s="28"/>
      <c r="V704" s="66"/>
      <c r="W704" s="5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</row>
    <row r="705" ht="60.0" customHeight="1">
      <c r="A705" s="14" t="str">
        <f>if(H705&lt;&gt;"",VLOOKUP(H705,ID!$A$2:$C$999,3,FALSE),"") </f>
        <v/>
      </c>
      <c r="B705" s="15"/>
      <c r="C705" s="16"/>
      <c r="D705" s="89"/>
      <c r="E705" s="89"/>
      <c r="F705" s="85"/>
      <c r="G705" s="81"/>
      <c r="H705" s="85"/>
      <c r="I705" s="85"/>
      <c r="J705" s="85"/>
      <c r="K705" s="85"/>
      <c r="L705" s="85"/>
      <c r="M705" s="85"/>
      <c r="N705" s="66"/>
      <c r="O705" s="66"/>
      <c r="P705" s="66"/>
      <c r="Q705" s="28"/>
      <c r="R705" s="69" t="str">
        <f>IFERROR(__xludf.DUMMYFUNCTION("IF (OR( Q705 = """" , P705 =""""), """" , IF(Q705 = ""Menos de 1 mês"" , ""antes de ""&amp; TO_TEXT( EDATE(P705, 1)), EDATE(P705,Q705)))"),"")</f>
        <v/>
      </c>
      <c r="S705" s="28"/>
      <c r="T705" s="28"/>
      <c r="U705" s="28"/>
      <c r="V705" s="66"/>
      <c r="W705" s="5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</row>
    <row r="706" ht="60.0" customHeight="1">
      <c r="A706" s="14" t="str">
        <f>if(H706&lt;&gt;"",VLOOKUP(H706,ID!$A$2:$C$999,3,FALSE),"") </f>
        <v/>
      </c>
      <c r="B706" s="15"/>
      <c r="C706" s="16"/>
      <c r="D706" s="89"/>
      <c r="E706" s="89"/>
      <c r="F706" s="85"/>
      <c r="G706" s="81"/>
      <c r="H706" s="85"/>
      <c r="I706" s="85"/>
      <c r="J706" s="85"/>
      <c r="K706" s="85"/>
      <c r="L706" s="85"/>
      <c r="M706" s="85"/>
      <c r="N706" s="66"/>
      <c r="O706" s="66"/>
      <c r="P706" s="66"/>
      <c r="Q706" s="28"/>
      <c r="R706" s="69" t="str">
        <f>IFERROR(__xludf.DUMMYFUNCTION("IF (OR( Q706 = """" , P706 =""""), """" , IF(Q706 = ""Menos de 1 mês"" , ""antes de ""&amp; TO_TEXT( EDATE(P706, 1)), EDATE(P706,Q706)))"),"")</f>
        <v/>
      </c>
      <c r="S706" s="28"/>
      <c r="T706" s="28"/>
      <c r="U706" s="28"/>
      <c r="V706" s="66"/>
      <c r="W706" s="5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</row>
    <row r="707" ht="60.0" customHeight="1">
      <c r="A707" s="14" t="str">
        <f>if(H707&lt;&gt;"",VLOOKUP(H707,ID!$A$2:$C$999,3,FALSE),"") </f>
        <v/>
      </c>
      <c r="B707" s="15"/>
      <c r="C707" s="16"/>
      <c r="D707" s="89"/>
      <c r="E707" s="89"/>
      <c r="F707" s="85"/>
      <c r="G707" s="81"/>
      <c r="H707" s="85"/>
      <c r="I707" s="85"/>
      <c r="J707" s="85"/>
      <c r="K707" s="85"/>
      <c r="L707" s="85"/>
      <c r="M707" s="85"/>
      <c r="N707" s="66"/>
      <c r="O707" s="66"/>
      <c r="P707" s="66"/>
      <c r="Q707" s="28"/>
      <c r="R707" s="69" t="str">
        <f>IFERROR(__xludf.DUMMYFUNCTION("IF (OR( Q707 = """" , P707 =""""), """" , IF(Q707 = ""Menos de 1 mês"" , ""antes de ""&amp; TO_TEXT( EDATE(P707, 1)), EDATE(P707,Q707)))"),"")</f>
        <v/>
      </c>
      <c r="S707" s="28"/>
      <c r="T707" s="28"/>
      <c r="U707" s="28"/>
      <c r="V707" s="66"/>
      <c r="W707" s="5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</row>
    <row r="708" ht="60.0" customHeight="1">
      <c r="A708" s="14" t="str">
        <f>if(H708&lt;&gt;"",VLOOKUP(H708,ID!$A$2:$C$999,3,FALSE),"") </f>
        <v/>
      </c>
      <c r="B708" s="15"/>
      <c r="C708" s="16"/>
      <c r="D708" s="89"/>
      <c r="E708" s="89"/>
      <c r="F708" s="85"/>
      <c r="G708" s="81"/>
      <c r="H708" s="85"/>
      <c r="I708" s="85"/>
      <c r="J708" s="85"/>
      <c r="K708" s="85"/>
      <c r="L708" s="85"/>
      <c r="M708" s="85"/>
      <c r="N708" s="66"/>
      <c r="O708" s="66"/>
      <c r="P708" s="66"/>
      <c r="Q708" s="28"/>
      <c r="R708" s="69" t="str">
        <f>IFERROR(__xludf.DUMMYFUNCTION("IF (OR( Q708 = """" , P708 =""""), """" , IF(Q708 = ""Menos de 1 mês"" , ""antes de ""&amp; TO_TEXT( EDATE(P708, 1)), EDATE(P708,Q708)))"),"")</f>
        <v/>
      </c>
      <c r="S708" s="28"/>
      <c r="T708" s="28"/>
      <c r="U708" s="28"/>
      <c r="V708" s="66"/>
      <c r="W708" s="5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</row>
    <row r="709" ht="60.0" customHeight="1">
      <c r="A709" s="14" t="str">
        <f>if(H709&lt;&gt;"",VLOOKUP(H709,ID!$A$2:$C$999,3,FALSE),"") </f>
        <v/>
      </c>
      <c r="B709" s="15"/>
      <c r="C709" s="16"/>
      <c r="D709" s="89"/>
      <c r="E709" s="89"/>
      <c r="F709" s="85"/>
      <c r="G709" s="81"/>
      <c r="H709" s="85"/>
      <c r="I709" s="85"/>
      <c r="J709" s="85"/>
      <c r="K709" s="85"/>
      <c r="L709" s="85"/>
      <c r="M709" s="85"/>
      <c r="N709" s="66"/>
      <c r="O709" s="66"/>
      <c r="P709" s="66"/>
      <c r="Q709" s="28"/>
      <c r="R709" s="69" t="str">
        <f>IFERROR(__xludf.DUMMYFUNCTION("IF (OR( Q709 = """" , P709 =""""), """" , IF(Q709 = ""Menos de 1 mês"" , ""antes de ""&amp; TO_TEXT( EDATE(P709, 1)), EDATE(P709,Q709)))"),"")</f>
        <v/>
      </c>
      <c r="S709" s="28"/>
      <c r="T709" s="28"/>
      <c r="U709" s="28"/>
      <c r="V709" s="66"/>
      <c r="W709" s="5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</row>
    <row r="710" ht="60.0" customHeight="1">
      <c r="A710" s="14" t="str">
        <f>if(H710&lt;&gt;"",VLOOKUP(H710,ID!$A$2:$C$999,3,FALSE),"") </f>
        <v/>
      </c>
      <c r="B710" s="15"/>
      <c r="C710" s="16"/>
      <c r="D710" s="89"/>
      <c r="E710" s="89"/>
      <c r="F710" s="85"/>
      <c r="G710" s="81"/>
      <c r="H710" s="85"/>
      <c r="I710" s="85"/>
      <c r="J710" s="85"/>
      <c r="K710" s="85"/>
      <c r="L710" s="85"/>
      <c r="M710" s="85"/>
      <c r="N710" s="66"/>
      <c r="O710" s="66"/>
      <c r="P710" s="66"/>
      <c r="Q710" s="28"/>
      <c r="R710" s="69" t="str">
        <f>IFERROR(__xludf.DUMMYFUNCTION("IF (OR( Q710 = """" , P710 =""""), """" , IF(Q710 = ""Menos de 1 mês"" , ""antes de ""&amp; TO_TEXT( EDATE(P710, 1)), EDATE(P710,Q710)))"),"")</f>
        <v/>
      </c>
      <c r="S710" s="28"/>
      <c r="T710" s="28"/>
      <c r="U710" s="28"/>
      <c r="V710" s="66"/>
      <c r="W710" s="5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</row>
    <row r="711" ht="60.0" customHeight="1">
      <c r="A711" s="14" t="str">
        <f>if(H711&lt;&gt;"",VLOOKUP(H711,ID!$A$2:$C$999,3,FALSE),"") </f>
        <v/>
      </c>
      <c r="B711" s="15"/>
      <c r="C711" s="16"/>
      <c r="D711" s="89"/>
      <c r="E711" s="89"/>
      <c r="F711" s="85"/>
      <c r="G711" s="81"/>
      <c r="H711" s="85"/>
      <c r="I711" s="85"/>
      <c r="J711" s="85"/>
      <c r="K711" s="85"/>
      <c r="L711" s="85"/>
      <c r="M711" s="85"/>
      <c r="N711" s="66"/>
      <c r="O711" s="66"/>
      <c r="P711" s="66"/>
      <c r="Q711" s="28"/>
      <c r="R711" s="69" t="str">
        <f>IFERROR(__xludf.DUMMYFUNCTION("IF (OR( Q711 = """" , P711 =""""), """" , IF(Q711 = ""Menos de 1 mês"" , ""antes de ""&amp; TO_TEXT( EDATE(P711, 1)), EDATE(P711,Q711)))"),"")</f>
        <v/>
      </c>
      <c r="S711" s="28"/>
      <c r="T711" s="28"/>
      <c r="U711" s="28"/>
      <c r="V711" s="66"/>
      <c r="W711" s="5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</row>
    <row r="712" ht="60.0" customHeight="1">
      <c r="A712" s="14" t="str">
        <f>if(H712&lt;&gt;"",VLOOKUP(H712,ID!$A$2:$C$999,3,FALSE),"") </f>
        <v/>
      </c>
      <c r="B712" s="15"/>
      <c r="C712" s="16"/>
      <c r="D712" s="89"/>
      <c r="E712" s="89"/>
      <c r="F712" s="85"/>
      <c r="G712" s="81"/>
      <c r="H712" s="85"/>
      <c r="I712" s="85"/>
      <c r="J712" s="85"/>
      <c r="K712" s="85"/>
      <c r="L712" s="85"/>
      <c r="M712" s="85"/>
      <c r="N712" s="66"/>
      <c r="O712" s="66"/>
      <c r="P712" s="66"/>
      <c r="Q712" s="28"/>
      <c r="R712" s="69" t="str">
        <f>IFERROR(__xludf.DUMMYFUNCTION("IF (OR( Q712 = """" , P712 =""""), """" , IF(Q712 = ""Menos de 1 mês"" , ""antes de ""&amp; TO_TEXT( EDATE(P712, 1)), EDATE(P712,Q712)))"),"")</f>
        <v/>
      </c>
      <c r="S712" s="28"/>
      <c r="T712" s="28"/>
      <c r="U712" s="28"/>
      <c r="V712" s="66"/>
      <c r="W712" s="5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</row>
    <row r="713" ht="60.0" customHeight="1">
      <c r="A713" s="14" t="str">
        <f>if(H713&lt;&gt;"",VLOOKUP(H713,ID!$A$2:$C$999,3,FALSE),"") </f>
        <v/>
      </c>
      <c r="B713" s="15"/>
      <c r="C713" s="16"/>
      <c r="D713" s="89"/>
      <c r="E713" s="89"/>
      <c r="F713" s="85"/>
      <c r="G713" s="81"/>
      <c r="H713" s="85"/>
      <c r="I713" s="85"/>
      <c r="J713" s="85"/>
      <c r="K713" s="85"/>
      <c r="L713" s="85"/>
      <c r="M713" s="85"/>
      <c r="N713" s="66"/>
      <c r="O713" s="66"/>
      <c r="P713" s="66"/>
      <c r="Q713" s="28"/>
      <c r="R713" s="69" t="str">
        <f>IFERROR(__xludf.DUMMYFUNCTION("IF (OR( Q713 = """" , P713 =""""), """" , IF(Q713 = ""Menos de 1 mês"" , ""antes de ""&amp; TO_TEXT( EDATE(P713, 1)), EDATE(P713,Q713)))"),"")</f>
        <v/>
      </c>
      <c r="S713" s="28"/>
      <c r="T713" s="28"/>
      <c r="U713" s="28"/>
      <c r="V713" s="66"/>
      <c r="W713" s="5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</row>
    <row r="714" ht="60.0" customHeight="1">
      <c r="A714" s="14" t="str">
        <f>if(H714&lt;&gt;"",VLOOKUP(H714,ID!$A$2:$C$999,3,FALSE),"") </f>
        <v/>
      </c>
      <c r="B714" s="15"/>
      <c r="C714" s="16"/>
      <c r="D714" s="89"/>
      <c r="E714" s="89"/>
      <c r="F714" s="85"/>
      <c r="G714" s="81"/>
      <c r="H714" s="85"/>
      <c r="I714" s="85"/>
      <c r="J714" s="85"/>
      <c r="K714" s="85"/>
      <c r="L714" s="85"/>
      <c r="M714" s="85"/>
      <c r="N714" s="66"/>
      <c r="O714" s="66"/>
      <c r="P714" s="66"/>
      <c r="Q714" s="28"/>
      <c r="R714" s="69" t="str">
        <f>IFERROR(__xludf.DUMMYFUNCTION("IF (OR( Q714 = """" , P714 =""""), """" , IF(Q714 = ""Menos de 1 mês"" , ""antes de ""&amp; TO_TEXT( EDATE(P714, 1)), EDATE(P714,Q714)))"),"")</f>
        <v/>
      </c>
      <c r="S714" s="28"/>
      <c r="T714" s="28"/>
      <c r="U714" s="28"/>
      <c r="V714" s="66"/>
      <c r="W714" s="5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</row>
    <row r="715" ht="60.0" customHeight="1">
      <c r="A715" s="14" t="str">
        <f>if(H715&lt;&gt;"",VLOOKUP(H715,ID!$A$2:$C$999,3,FALSE),"") </f>
        <v/>
      </c>
      <c r="B715" s="15"/>
      <c r="C715" s="16"/>
      <c r="D715" s="89"/>
      <c r="E715" s="89"/>
      <c r="F715" s="85"/>
      <c r="G715" s="81"/>
      <c r="H715" s="85"/>
      <c r="I715" s="85"/>
      <c r="J715" s="85"/>
      <c r="K715" s="85"/>
      <c r="L715" s="85"/>
      <c r="M715" s="85"/>
      <c r="N715" s="66"/>
      <c r="O715" s="66"/>
      <c r="P715" s="66"/>
      <c r="Q715" s="28"/>
      <c r="R715" s="69" t="str">
        <f>IFERROR(__xludf.DUMMYFUNCTION("IF (OR( Q715 = """" , P715 =""""), """" , IF(Q715 = ""Menos de 1 mês"" , ""antes de ""&amp; TO_TEXT( EDATE(P715, 1)), EDATE(P715,Q715)))"),"")</f>
        <v/>
      </c>
      <c r="S715" s="28"/>
      <c r="T715" s="28"/>
      <c r="U715" s="28"/>
      <c r="V715" s="66"/>
      <c r="W715" s="5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</row>
    <row r="716" ht="60.0" customHeight="1">
      <c r="A716" s="14" t="str">
        <f>if(H716&lt;&gt;"",VLOOKUP(H716,ID!$A$2:$C$999,3,FALSE),"") </f>
        <v/>
      </c>
      <c r="B716" s="15"/>
      <c r="C716" s="16"/>
      <c r="D716" s="89"/>
      <c r="E716" s="89"/>
      <c r="F716" s="85"/>
      <c r="G716" s="81"/>
      <c r="H716" s="85"/>
      <c r="I716" s="85"/>
      <c r="J716" s="85"/>
      <c r="K716" s="85"/>
      <c r="L716" s="85"/>
      <c r="M716" s="85"/>
      <c r="N716" s="66"/>
      <c r="O716" s="66"/>
      <c r="P716" s="66"/>
      <c r="Q716" s="28"/>
      <c r="R716" s="69" t="str">
        <f>IFERROR(__xludf.DUMMYFUNCTION("IF (OR( Q716 = """" , P716 =""""), """" , IF(Q716 = ""Menos de 1 mês"" , ""antes de ""&amp; TO_TEXT( EDATE(P716, 1)), EDATE(P716,Q716)))"),"")</f>
        <v/>
      </c>
      <c r="S716" s="28"/>
      <c r="T716" s="28"/>
      <c r="U716" s="28"/>
      <c r="V716" s="66"/>
      <c r="W716" s="5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</row>
    <row r="717" ht="60.0" customHeight="1">
      <c r="A717" s="14" t="str">
        <f>if(H717&lt;&gt;"",VLOOKUP(H717,ID!$A$2:$C$999,3,FALSE),"") </f>
        <v/>
      </c>
      <c r="B717" s="15"/>
      <c r="C717" s="16"/>
      <c r="D717" s="89"/>
      <c r="E717" s="89"/>
      <c r="F717" s="85"/>
      <c r="G717" s="81"/>
      <c r="H717" s="85"/>
      <c r="I717" s="85"/>
      <c r="J717" s="85"/>
      <c r="K717" s="85"/>
      <c r="L717" s="85"/>
      <c r="M717" s="85"/>
      <c r="N717" s="66"/>
      <c r="O717" s="66"/>
      <c r="P717" s="66"/>
      <c r="Q717" s="28"/>
      <c r="R717" s="69" t="str">
        <f>IFERROR(__xludf.DUMMYFUNCTION("IF (OR( Q717 = """" , P717 =""""), """" , IF(Q717 = ""Menos de 1 mês"" , ""antes de ""&amp; TO_TEXT( EDATE(P717, 1)), EDATE(P717,Q717)))"),"")</f>
        <v/>
      </c>
      <c r="S717" s="28"/>
      <c r="T717" s="28"/>
      <c r="U717" s="28"/>
      <c r="V717" s="66"/>
      <c r="W717" s="5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</row>
    <row r="718" ht="60.0" customHeight="1">
      <c r="A718" s="14" t="str">
        <f>if(H718&lt;&gt;"",VLOOKUP(H718,ID!$A$2:$C$999,3,FALSE),"") </f>
        <v/>
      </c>
      <c r="B718" s="15"/>
      <c r="C718" s="16"/>
      <c r="D718" s="89"/>
      <c r="E718" s="89"/>
      <c r="F718" s="85"/>
      <c r="G718" s="81"/>
      <c r="H718" s="85"/>
      <c r="I718" s="85"/>
      <c r="J718" s="85"/>
      <c r="K718" s="85"/>
      <c r="L718" s="85"/>
      <c r="M718" s="85"/>
      <c r="N718" s="66"/>
      <c r="O718" s="66"/>
      <c r="P718" s="66"/>
      <c r="Q718" s="28"/>
      <c r="R718" s="69" t="str">
        <f>IFERROR(__xludf.DUMMYFUNCTION("IF (OR( Q718 = """" , P718 =""""), """" , IF(Q718 = ""Menos de 1 mês"" , ""antes de ""&amp; TO_TEXT( EDATE(P718, 1)), EDATE(P718,Q718)))"),"")</f>
        <v/>
      </c>
      <c r="S718" s="28"/>
      <c r="T718" s="28"/>
      <c r="U718" s="28"/>
      <c r="V718" s="66"/>
      <c r="W718" s="5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</row>
    <row r="719" ht="60.0" customHeight="1">
      <c r="A719" s="14" t="str">
        <f>if(H719&lt;&gt;"",VLOOKUP(H719,ID!$A$2:$C$999,3,FALSE),"") </f>
        <v/>
      </c>
      <c r="B719" s="15"/>
      <c r="C719" s="16"/>
      <c r="D719" s="89"/>
      <c r="E719" s="89"/>
      <c r="F719" s="85"/>
      <c r="G719" s="81"/>
      <c r="H719" s="85"/>
      <c r="I719" s="85"/>
      <c r="J719" s="85"/>
      <c r="K719" s="85"/>
      <c r="L719" s="85"/>
      <c r="M719" s="85"/>
      <c r="N719" s="66"/>
      <c r="O719" s="66"/>
      <c r="P719" s="66"/>
      <c r="Q719" s="28"/>
      <c r="R719" s="69" t="str">
        <f>IFERROR(__xludf.DUMMYFUNCTION("IF (OR( Q719 = """" , P719 =""""), """" , IF(Q719 = ""Menos de 1 mês"" , ""antes de ""&amp; TO_TEXT( EDATE(P719, 1)), EDATE(P719,Q719)))"),"")</f>
        <v/>
      </c>
      <c r="S719" s="28"/>
      <c r="T719" s="28"/>
      <c r="U719" s="28"/>
      <c r="V719" s="66"/>
      <c r="W719" s="5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</row>
    <row r="720" ht="60.0" customHeight="1">
      <c r="A720" s="14" t="str">
        <f>if(H720&lt;&gt;"",VLOOKUP(H720,ID!$A$2:$C$999,3,FALSE),"") </f>
        <v/>
      </c>
      <c r="B720" s="15"/>
      <c r="C720" s="16"/>
      <c r="D720" s="89"/>
      <c r="E720" s="89"/>
      <c r="F720" s="85"/>
      <c r="G720" s="81"/>
      <c r="H720" s="85"/>
      <c r="I720" s="85"/>
      <c r="J720" s="85"/>
      <c r="K720" s="85"/>
      <c r="L720" s="85"/>
      <c r="M720" s="85"/>
      <c r="N720" s="66"/>
      <c r="O720" s="66"/>
      <c r="P720" s="66"/>
      <c r="Q720" s="28"/>
      <c r="R720" s="69" t="str">
        <f>IFERROR(__xludf.DUMMYFUNCTION("IF (OR( Q720 = """" , P720 =""""), """" , IF(Q720 = ""Menos de 1 mês"" , ""antes de ""&amp; TO_TEXT( EDATE(P720, 1)), EDATE(P720,Q720)))"),"")</f>
        <v/>
      </c>
      <c r="S720" s="28"/>
      <c r="T720" s="28"/>
      <c r="U720" s="28"/>
      <c r="V720" s="66"/>
      <c r="W720" s="5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</row>
    <row r="721" ht="60.0" customHeight="1">
      <c r="A721" s="14" t="str">
        <f>if(H721&lt;&gt;"",VLOOKUP(H721,ID!$A$2:$C$999,3,FALSE),"") </f>
        <v/>
      </c>
      <c r="B721" s="15"/>
      <c r="C721" s="16"/>
      <c r="D721" s="89"/>
      <c r="E721" s="89"/>
      <c r="F721" s="85"/>
      <c r="G721" s="81"/>
      <c r="H721" s="85"/>
      <c r="I721" s="85"/>
      <c r="J721" s="85"/>
      <c r="K721" s="85"/>
      <c r="L721" s="85"/>
      <c r="M721" s="85"/>
      <c r="N721" s="66"/>
      <c r="O721" s="66"/>
      <c r="P721" s="66"/>
      <c r="Q721" s="28"/>
      <c r="R721" s="69" t="str">
        <f>IFERROR(__xludf.DUMMYFUNCTION("IF (OR( Q721 = """" , P721 =""""), """" , IF(Q721 = ""Menos de 1 mês"" , ""antes de ""&amp; TO_TEXT( EDATE(P721, 1)), EDATE(P721,Q721)))"),"")</f>
        <v/>
      </c>
      <c r="S721" s="28"/>
      <c r="T721" s="28"/>
      <c r="U721" s="28"/>
      <c r="V721" s="66"/>
      <c r="W721" s="5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</row>
    <row r="722" ht="60.0" customHeight="1">
      <c r="A722" s="14" t="str">
        <f>if(H722&lt;&gt;"",VLOOKUP(H722,ID!$A$2:$C$999,3,FALSE),"") </f>
        <v/>
      </c>
      <c r="B722" s="15"/>
      <c r="C722" s="16"/>
      <c r="D722" s="89"/>
      <c r="E722" s="89"/>
      <c r="F722" s="85"/>
      <c r="G722" s="81"/>
      <c r="H722" s="85"/>
      <c r="I722" s="85"/>
      <c r="J722" s="85"/>
      <c r="K722" s="85"/>
      <c r="L722" s="85"/>
      <c r="M722" s="85"/>
      <c r="N722" s="66"/>
      <c r="O722" s="66"/>
      <c r="P722" s="66"/>
      <c r="Q722" s="28"/>
      <c r="R722" s="69" t="str">
        <f>IFERROR(__xludf.DUMMYFUNCTION("IF (OR( Q722 = """" , P722 =""""), """" , IF(Q722 = ""Menos de 1 mês"" , ""antes de ""&amp; TO_TEXT( EDATE(P722, 1)), EDATE(P722,Q722)))"),"")</f>
        <v/>
      </c>
      <c r="S722" s="28"/>
      <c r="T722" s="28"/>
      <c r="U722" s="28"/>
      <c r="V722" s="66"/>
      <c r="W722" s="5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</row>
    <row r="723" ht="60.0" customHeight="1">
      <c r="A723" s="14" t="str">
        <f>if(H723&lt;&gt;"",VLOOKUP(H723,ID!$A$2:$C$999,3,FALSE),"") </f>
        <v/>
      </c>
      <c r="B723" s="15"/>
      <c r="C723" s="16"/>
      <c r="D723" s="89"/>
      <c r="E723" s="89"/>
      <c r="F723" s="85"/>
      <c r="G723" s="81"/>
      <c r="H723" s="85"/>
      <c r="I723" s="85"/>
      <c r="J723" s="85"/>
      <c r="K723" s="85"/>
      <c r="L723" s="85"/>
      <c r="M723" s="85"/>
      <c r="N723" s="66"/>
      <c r="O723" s="66"/>
      <c r="P723" s="66"/>
      <c r="Q723" s="28"/>
      <c r="R723" s="69" t="str">
        <f>IFERROR(__xludf.DUMMYFUNCTION("IF (OR( Q723 = """" , P723 =""""), """" , IF(Q723 = ""Menos de 1 mês"" , ""antes de ""&amp; TO_TEXT( EDATE(P723, 1)), EDATE(P723,Q723)))"),"")</f>
        <v/>
      </c>
      <c r="S723" s="28"/>
      <c r="T723" s="28"/>
      <c r="U723" s="28"/>
      <c r="V723" s="66"/>
      <c r="W723" s="5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</row>
    <row r="724" ht="60.0" customHeight="1">
      <c r="A724" s="14" t="str">
        <f>if(H724&lt;&gt;"",VLOOKUP(H724,ID!$A$2:$C$999,3,FALSE),"") </f>
        <v/>
      </c>
      <c r="B724" s="15"/>
      <c r="C724" s="16"/>
      <c r="D724" s="89"/>
      <c r="E724" s="89"/>
      <c r="F724" s="85"/>
      <c r="G724" s="81"/>
      <c r="H724" s="85"/>
      <c r="I724" s="85"/>
      <c r="J724" s="85"/>
      <c r="K724" s="85"/>
      <c r="L724" s="85"/>
      <c r="M724" s="85"/>
      <c r="N724" s="66"/>
      <c r="O724" s="66"/>
      <c r="P724" s="66"/>
      <c r="Q724" s="28"/>
      <c r="R724" s="69" t="str">
        <f>IFERROR(__xludf.DUMMYFUNCTION("IF (OR( Q724 = """" , P724 =""""), """" , IF(Q724 = ""Menos de 1 mês"" , ""antes de ""&amp; TO_TEXT( EDATE(P724, 1)), EDATE(P724,Q724)))"),"")</f>
        <v/>
      </c>
      <c r="S724" s="28"/>
      <c r="T724" s="28"/>
      <c r="U724" s="28"/>
      <c r="V724" s="66"/>
      <c r="W724" s="5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</row>
    <row r="725" ht="60.0" customHeight="1">
      <c r="A725" s="14" t="str">
        <f>if(H725&lt;&gt;"",VLOOKUP(H725,ID!$A$2:$C$999,3,FALSE),"") </f>
        <v/>
      </c>
      <c r="B725" s="15"/>
      <c r="C725" s="16"/>
      <c r="D725" s="89"/>
      <c r="E725" s="89"/>
      <c r="F725" s="85"/>
      <c r="G725" s="81"/>
      <c r="H725" s="85"/>
      <c r="I725" s="85"/>
      <c r="J725" s="85"/>
      <c r="K725" s="85"/>
      <c r="L725" s="85"/>
      <c r="M725" s="85"/>
      <c r="N725" s="66"/>
      <c r="O725" s="66"/>
      <c r="P725" s="66"/>
      <c r="Q725" s="28"/>
      <c r="R725" s="69" t="str">
        <f>IFERROR(__xludf.DUMMYFUNCTION("IF (OR( Q725 = """" , P725 =""""), """" , IF(Q725 = ""Menos de 1 mês"" , ""antes de ""&amp; TO_TEXT( EDATE(P725, 1)), EDATE(P725,Q725)))"),"")</f>
        <v/>
      </c>
      <c r="S725" s="28"/>
      <c r="T725" s="28"/>
      <c r="U725" s="28"/>
      <c r="V725" s="66"/>
      <c r="W725" s="5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</row>
    <row r="726" ht="60.0" customHeight="1">
      <c r="A726" s="14" t="str">
        <f>if(H726&lt;&gt;"",VLOOKUP(H726,ID!$A$2:$C$999,3,FALSE),"") </f>
        <v/>
      </c>
      <c r="B726" s="15"/>
      <c r="C726" s="16"/>
      <c r="D726" s="89"/>
      <c r="E726" s="89"/>
      <c r="F726" s="85"/>
      <c r="G726" s="81"/>
      <c r="H726" s="85"/>
      <c r="I726" s="85"/>
      <c r="J726" s="85"/>
      <c r="K726" s="85"/>
      <c r="L726" s="85"/>
      <c r="M726" s="85"/>
      <c r="N726" s="66"/>
      <c r="O726" s="66"/>
      <c r="P726" s="66"/>
      <c r="Q726" s="28"/>
      <c r="R726" s="69" t="str">
        <f>IFERROR(__xludf.DUMMYFUNCTION("IF (OR( Q726 = """" , P726 =""""), """" , IF(Q726 = ""Menos de 1 mês"" , ""antes de ""&amp; TO_TEXT( EDATE(P726, 1)), EDATE(P726,Q726)))"),"")</f>
        <v/>
      </c>
      <c r="S726" s="28"/>
      <c r="T726" s="28"/>
      <c r="U726" s="28"/>
      <c r="V726" s="66"/>
      <c r="W726" s="5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</row>
    <row r="727" ht="60.0" customHeight="1">
      <c r="A727" s="14" t="str">
        <f>if(H727&lt;&gt;"",VLOOKUP(H727,ID!$A$2:$C$999,3,FALSE),"") </f>
        <v/>
      </c>
      <c r="B727" s="15"/>
      <c r="C727" s="16"/>
      <c r="D727" s="89"/>
      <c r="E727" s="89"/>
      <c r="F727" s="85"/>
      <c r="G727" s="81"/>
      <c r="H727" s="85"/>
      <c r="I727" s="85"/>
      <c r="J727" s="85"/>
      <c r="K727" s="85"/>
      <c r="L727" s="85"/>
      <c r="M727" s="85"/>
      <c r="N727" s="66"/>
      <c r="O727" s="66"/>
      <c r="P727" s="66"/>
      <c r="Q727" s="28"/>
      <c r="R727" s="69" t="str">
        <f>IFERROR(__xludf.DUMMYFUNCTION("IF (OR( Q727 = """" , P727 =""""), """" , IF(Q727 = ""Menos de 1 mês"" , ""antes de ""&amp; TO_TEXT( EDATE(P727, 1)), EDATE(P727,Q727)))"),"")</f>
        <v/>
      </c>
      <c r="S727" s="28"/>
      <c r="T727" s="28"/>
      <c r="U727" s="28"/>
      <c r="V727" s="66"/>
      <c r="W727" s="5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</row>
    <row r="728" ht="60.0" customHeight="1">
      <c r="A728" s="14" t="str">
        <f>if(H728&lt;&gt;"",VLOOKUP(H728,ID!$A$2:$C$999,3,FALSE),"") </f>
        <v/>
      </c>
      <c r="B728" s="15"/>
      <c r="C728" s="16"/>
      <c r="D728" s="89"/>
      <c r="E728" s="89"/>
      <c r="F728" s="85"/>
      <c r="G728" s="81"/>
      <c r="H728" s="85"/>
      <c r="I728" s="85"/>
      <c r="J728" s="85"/>
      <c r="K728" s="85"/>
      <c r="L728" s="85"/>
      <c r="M728" s="85"/>
      <c r="N728" s="66"/>
      <c r="O728" s="66"/>
      <c r="P728" s="66"/>
      <c r="Q728" s="28"/>
      <c r="R728" s="69" t="str">
        <f>IFERROR(__xludf.DUMMYFUNCTION("IF (OR( Q728 = """" , P728 =""""), """" , IF(Q728 = ""Menos de 1 mês"" , ""antes de ""&amp; TO_TEXT( EDATE(P728, 1)), EDATE(P728,Q728)))"),"")</f>
        <v/>
      </c>
      <c r="S728" s="28"/>
      <c r="T728" s="28"/>
      <c r="U728" s="28"/>
      <c r="V728" s="66"/>
      <c r="W728" s="5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</row>
    <row r="729" ht="60.0" customHeight="1">
      <c r="A729" s="14" t="str">
        <f>if(H729&lt;&gt;"",VLOOKUP(H729,ID!$A$2:$C$999,3,FALSE),"") </f>
        <v/>
      </c>
      <c r="B729" s="15"/>
      <c r="C729" s="16"/>
      <c r="D729" s="89"/>
      <c r="E729" s="89"/>
      <c r="F729" s="85"/>
      <c r="G729" s="81"/>
      <c r="H729" s="85"/>
      <c r="I729" s="85"/>
      <c r="J729" s="85"/>
      <c r="K729" s="85"/>
      <c r="L729" s="85"/>
      <c r="M729" s="85"/>
      <c r="N729" s="66"/>
      <c r="O729" s="66"/>
      <c r="P729" s="66"/>
      <c r="Q729" s="28"/>
      <c r="R729" s="69" t="str">
        <f>IFERROR(__xludf.DUMMYFUNCTION("IF (OR( Q729 = """" , P729 =""""), """" , IF(Q729 = ""Menos de 1 mês"" , ""antes de ""&amp; TO_TEXT( EDATE(P729, 1)), EDATE(P729,Q729)))"),"")</f>
        <v/>
      </c>
      <c r="S729" s="28"/>
      <c r="T729" s="28"/>
      <c r="U729" s="28"/>
      <c r="V729" s="66"/>
      <c r="W729" s="5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</row>
    <row r="730" ht="60.0" customHeight="1">
      <c r="A730" s="14" t="str">
        <f>if(H730&lt;&gt;"",VLOOKUP(H730,ID!$A$2:$C$999,3,FALSE),"") </f>
        <v/>
      </c>
      <c r="B730" s="15"/>
      <c r="C730" s="16"/>
      <c r="D730" s="89"/>
      <c r="E730" s="89"/>
      <c r="F730" s="85"/>
      <c r="G730" s="81"/>
      <c r="H730" s="85"/>
      <c r="I730" s="85"/>
      <c r="J730" s="85"/>
      <c r="K730" s="85"/>
      <c r="L730" s="85"/>
      <c r="M730" s="85"/>
      <c r="N730" s="66"/>
      <c r="O730" s="66"/>
      <c r="P730" s="66"/>
      <c r="Q730" s="28"/>
      <c r="R730" s="69" t="str">
        <f>IFERROR(__xludf.DUMMYFUNCTION("IF (OR( Q730 = """" , P730 =""""), """" , IF(Q730 = ""Menos de 1 mês"" , ""antes de ""&amp; TO_TEXT( EDATE(P730, 1)), EDATE(P730,Q730)))"),"")</f>
        <v/>
      </c>
      <c r="S730" s="28"/>
      <c r="T730" s="28"/>
      <c r="U730" s="28"/>
      <c r="V730" s="66"/>
      <c r="W730" s="5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</row>
    <row r="731" ht="60.0" customHeight="1">
      <c r="A731" s="14" t="str">
        <f>if(H731&lt;&gt;"",VLOOKUP(H731,ID!$A$2:$C$999,3,FALSE),"") </f>
        <v/>
      </c>
      <c r="B731" s="15"/>
      <c r="C731" s="16"/>
      <c r="D731" s="89"/>
      <c r="E731" s="89"/>
      <c r="F731" s="85"/>
      <c r="G731" s="81"/>
      <c r="H731" s="85"/>
      <c r="I731" s="85"/>
      <c r="J731" s="85"/>
      <c r="K731" s="85"/>
      <c r="L731" s="85"/>
      <c r="M731" s="85"/>
      <c r="N731" s="66"/>
      <c r="O731" s="66"/>
      <c r="P731" s="66"/>
      <c r="Q731" s="28"/>
      <c r="R731" s="69" t="str">
        <f>IFERROR(__xludf.DUMMYFUNCTION("IF (OR( Q731 = """" , P731 =""""), """" , IF(Q731 = ""Menos de 1 mês"" , ""antes de ""&amp; TO_TEXT( EDATE(P731, 1)), EDATE(P731,Q731)))"),"")</f>
        <v/>
      </c>
      <c r="S731" s="28"/>
      <c r="T731" s="28"/>
      <c r="U731" s="28"/>
      <c r="V731" s="66"/>
      <c r="W731" s="5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</row>
    <row r="732" ht="60.0" customHeight="1">
      <c r="A732" s="14" t="str">
        <f>if(H732&lt;&gt;"",VLOOKUP(H732,ID!$A$2:$C$999,3,FALSE),"") </f>
        <v/>
      </c>
      <c r="B732" s="15"/>
      <c r="C732" s="16"/>
      <c r="D732" s="89"/>
      <c r="E732" s="89"/>
      <c r="F732" s="85"/>
      <c r="G732" s="81"/>
      <c r="H732" s="85"/>
      <c r="I732" s="85"/>
      <c r="J732" s="85"/>
      <c r="K732" s="85"/>
      <c r="L732" s="85"/>
      <c r="M732" s="85"/>
      <c r="N732" s="66"/>
      <c r="O732" s="66"/>
      <c r="P732" s="66"/>
      <c r="Q732" s="28"/>
      <c r="R732" s="69" t="str">
        <f>IFERROR(__xludf.DUMMYFUNCTION("IF (OR( Q732 = """" , P732 =""""), """" , IF(Q732 = ""Menos de 1 mês"" , ""antes de ""&amp; TO_TEXT( EDATE(P732, 1)), EDATE(P732,Q732)))"),"")</f>
        <v/>
      </c>
      <c r="S732" s="28"/>
      <c r="T732" s="28"/>
      <c r="U732" s="28"/>
      <c r="V732" s="66"/>
      <c r="W732" s="5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</row>
    <row r="733" ht="60.0" customHeight="1">
      <c r="A733" s="14" t="str">
        <f>if(H733&lt;&gt;"",VLOOKUP(H733,ID!$A$2:$C$999,3,FALSE),"") </f>
        <v/>
      </c>
      <c r="B733" s="15"/>
      <c r="C733" s="16"/>
      <c r="D733" s="89"/>
      <c r="E733" s="89"/>
      <c r="F733" s="85"/>
      <c r="G733" s="81"/>
      <c r="H733" s="85"/>
      <c r="I733" s="85"/>
      <c r="J733" s="85"/>
      <c r="K733" s="85"/>
      <c r="L733" s="85"/>
      <c r="M733" s="85"/>
      <c r="N733" s="66"/>
      <c r="O733" s="66"/>
      <c r="P733" s="66"/>
      <c r="Q733" s="28"/>
      <c r="R733" s="69" t="str">
        <f>IFERROR(__xludf.DUMMYFUNCTION("IF (OR( Q733 = """" , P733 =""""), """" , IF(Q733 = ""Menos de 1 mês"" , ""antes de ""&amp; TO_TEXT( EDATE(P733, 1)), EDATE(P733,Q733)))"),"")</f>
        <v/>
      </c>
      <c r="S733" s="28"/>
      <c r="T733" s="28"/>
      <c r="U733" s="28"/>
      <c r="V733" s="66"/>
      <c r="W733" s="5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</row>
    <row r="734" ht="60.0" customHeight="1">
      <c r="A734" s="14" t="str">
        <f>if(H734&lt;&gt;"",VLOOKUP(H734,ID!$A$2:$C$999,3,FALSE),"") </f>
        <v/>
      </c>
      <c r="B734" s="15"/>
      <c r="C734" s="16"/>
      <c r="D734" s="89"/>
      <c r="E734" s="89"/>
      <c r="F734" s="85"/>
      <c r="G734" s="81"/>
      <c r="H734" s="85"/>
      <c r="I734" s="85"/>
      <c r="J734" s="85"/>
      <c r="K734" s="85"/>
      <c r="L734" s="85"/>
      <c r="M734" s="85"/>
      <c r="N734" s="66"/>
      <c r="O734" s="66"/>
      <c r="P734" s="66"/>
      <c r="Q734" s="28"/>
      <c r="R734" s="69" t="str">
        <f>IFERROR(__xludf.DUMMYFUNCTION("IF (OR( Q734 = """" , P734 =""""), """" , IF(Q734 = ""Menos de 1 mês"" , ""antes de ""&amp; TO_TEXT( EDATE(P734, 1)), EDATE(P734,Q734)))"),"")</f>
        <v/>
      </c>
      <c r="S734" s="28"/>
      <c r="T734" s="28"/>
      <c r="U734" s="28"/>
      <c r="V734" s="66"/>
      <c r="W734" s="5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</row>
    <row r="735" ht="60.0" customHeight="1">
      <c r="A735" s="14" t="str">
        <f>if(H735&lt;&gt;"",VLOOKUP(H735,ID!$A$2:$C$999,3,FALSE),"") </f>
        <v/>
      </c>
      <c r="B735" s="15"/>
      <c r="C735" s="16"/>
      <c r="D735" s="89"/>
      <c r="E735" s="89"/>
      <c r="F735" s="85"/>
      <c r="G735" s="81"/>
      <c r="H735" s="85"/>
      <c r="I735" s="85"/>
      <c r="J735" s="85"/>
      <c r="K735" s="85"/>
      <c r="L735" s="85"/>
      <c r="M735" s="85"/>
      <c r="N735" s="66"/>
      <c r="O735" s="66"/>
      <c r="P735" s="66"/>
      <c r="Q735" s="28"/>
      <c r="R735" s="69" t="str">
        <f>IFERROR(__xludf.DUMMYFUNCTION("IF (OR( Q735 = """" , P735 =""""), """" , IF(Q735 = ""Menos de 1 mês"" , ""antes de ""&amp; TO_TEXT( EDATE(P735, 1)), EDATE(P735,Q735)))"),"")</f>
        <v/>
      </c>
      <c r="S735" s="28"/>
      <c r="T735" s="28"/>
      <c r="U735" s="28"/>
      <c r="V735" s="66"/>
      <c r="W735" s="5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</row>
    <row r="736" ht="60.0" customHeight="1">
      <c r="A736" s="14" t="str">
        <f>if(H736&lt;&gt;"",VLOOKUP(H736,ID!$A$2:$C$999,3,FALSE),"") </f>
        <v/>
      </c>
      <c r="B736" s="15"/>
      <c r="C736" s="16"/>
      <c r="D736" s="89"/>
      <c r="E736" s="89"/>
      <c r="F736" s="85"/>
      <c r="G736" s="81"/>
      <c r="H736" s="85"/>
      <c r="I736" s="85"/>
      <c r="J736" s="85"/>
      <c r="K736" s="85"/>
      <c r="L736" s="85"/>
      <c r="M736" s="85"/>
      <c r="N736" s="66"/>
      <c r="O736" s="66"/>
      <c r="P736" s="66"/>
      <c r="Q736" s="28"/>
      <c r="R736" s="69" t="str">
        <f>IFERROR(__xludf.DUMMYFUNCTION("IF (OR( Q736 = """" , P736 =""""), """" , IF(Q736 = ""Menos de 1 mês"" , ""antes de ""&amp; TO_TEXT( EDATE(P736, 1)), EDATE(P736,Q736)))"),"")</f>
        <v/>
      </c>
      <c r="S736" s="28"/>
      <c r="T736" s="28"/>
      <c r="U736" s="28"/>
      <c r="V736" s="66"/>
      <c r="W736" s="5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</row>
    <row r="737" ht="60.0" customHeight="1">
      <c r="A737" s="14" t="str">
        <f>if(H737&lt;&gt;"",VLOOKUP(H737,ID!$A$2:$C$999,3,FALSE),"") </f>
        <v/>
      </c>
      <c r="B737" s="15"/>
      <c r="C737" s="16"/>
      <c r="D737" s="89"/>
      <c r="E737" s="89"/>
      <c r="F737" s="85"/>
      <c r="G737" s="81"/>
      <c r="H737" s="85"/>
      <c r="I737" s="85"/>
      <c r="J737" s="85"/>
      <c r="K737" s="85"/>
      <c r="L737" s="85"/>
      <c r="M737" s="85"/>
      <c r="N737" s="66"/>
      <c r="O737" s="66"/>
      <c r="P737" s="66"/>
      <c r="Q737" s="28"/>
      <c r="R737" s="69" t="str">
        <f>IFERROR(__xludf.DUMMYFUNCTION("IF (OR( Q737 = """" , P737 =""""), """" , IF(Q737 = ""Menos de 1 mês"" , ""antes de ""&amp; TO_TEXT( EDATE(P737, 1)), EDATE(P737,Q737)))"),"")</f>
        <v/>
      </c>
      <c r="S737" s="28"/>
      <c r="T737" s="28"/>
      <c r="U737" s="28"/>
      <c r="V737" s="66"/>
      <c r="W737" s="5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</row>
    <row r="738" ht="60.0" customHeight="1">
      <c r="A738" s="14" t="str">
        <f>if(H738&lt;&gt;"",VLOOKUP(H738,ID!$A$2:$C$999,3,FALSE),"") </f>
        <v/>
      </c>
      <c r="B738" s="15"/>
      <c r="C738" s="16"/>
      <c r="D738" s="89"/>
      <c r="E738" s="89"/>
      <c r="F738" s="85"/>
      <c r="G738" s="81"/>
      <c r="H738" s="85"/>
      <c r="I738" s="85"/>
      <c r="J738" s="85"/>
      <c r="K738" s="85"/>
      <c r="L738" s="85"/>
      <c r="M738" s="85"/>
      <c r="N738" s="66"/>
      <c r="O738" s="66"/>
      <c r="P738" s="66"/>
      <c r="Q738" s="28"/>
      <c r="R738" s="69" t="str">
        <f>IFERROR(__xludf.DUMMYFUNCTION("IF (OR( Q738 = """" , P738 =""""), """" , IF(Q738 = ""Menos de 1 mês"" , ""antes de ""&amp; TO_TEXT( EDATE(P738, 1)), EDATE(P738,Q738)))"),"")</f>
        <v/>
      </c>
      <c r="S738" s="28"/>
      <c r="T738" s="28"/>
      <c r="U738" s="28"/>
      <c r="V738" s="66"/>
      <c r="W738" s="5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</row>
    <row r="739" ht="60.0" customHeight="1">
      <c r="A739" s="14" t="str">
        <f>if(H739&lt;&gt;"",VLOOKUP(H739,ID!$A$2:$C$999,3,FALSE),"") </f>
        <v/>
      </c>
      <c r="B739" s="15"/>
      <c r="C739" s="16"/>
      <c r="D739" s="89"/>
      <c r="E739" s="89"/>
      <c r="F739" s="85"/>
      <c r="G739" s="81"/>
      <c r="H739" s="85"/>
      <c r="I739" s="85"/>
      <c r="J739" s="85"/>
      <c r="K739" s="85"/>
      <c r="L739" s="85"/>
      <c r="M739" s="85"/>
      <c r="N739" s="66"/>
      <c r="O739" s="66"/>
      <c r="P739" s="66"/>
      <c r="Q739" s="28"/>
      <c r="R739" s="69" t="str">
        <f>IFERROR(__xludf.DUMMYFUNCTION("IF (OR( Q739 = """" , P739 =""""), """" , IF(Q739 = ""Menos de 1 mês"" , ""antes de ""&amp; TO_TEXT( EDATE(P739, 1)), EDATE(P739,Q739)))"),"")</f>
        <v/>
      </c>
      <c r="S739" s="28"/>
      <c r="T739" s="28"/>
      <c r="U739" s="28"/>
      <c r="V739" s="66"/>
      <c r="W739" s="5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</row>
    <row r="740" ht="60.0" customHeight="1">
      <c r="A740" s="14" t="str">
        <f>if(H740&lt;&gt;"",VLOOKUP(H740,ID!$A$2:$C$999,3,FALSE),"") </f>
        <v/>
      </c>
      <c r="B740" s="15"/>
      <c r="C740" s="16"/>
      <c r="D740" s="89"/>
      <c r="E740" s="89"/>
      <c r="F740" s="85"/>
      <c r="G740" s="81"/>
      <c r="H740" s="85"/>
      <c r="I740" s="85"/>
      <c r="J740" s="85"/>
      <c r="K740" s="85"/>
      <c r="L740" s="85"/>
      <c r="M740" s="85"/>
      <c r="N740" s="66"/>
      <c r="O740" s="66"/>
      <c r="P740" s="66"/>
      <c r="Q740" s="28"/>
      <c r="R740" s="69" t="str">
        <f>IFERROR(__xludf.DUMMYFUNCTION("IF (OR( Q740 = """" , P740 =""""), """" , IF(Q740 = ""Menos de 1 mês"" , ""antes de ""&amp; TO_TEXT( EDATE(P740, 1)), EDATE(P740,Q740)))"),"")</f>
        <v/>
      </c>
      <c r="S740" s="28"/>
      <c r="T740" s="28"/>
      <c r="U740" s="28"/>
      <c r="V740" s="66"/>
      <c r="W740" s="5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</row>
    <row r="741" ht="60.0" customHeight="1">
      <c r="A741" s="14" t="str">
        <f>if(H741&lt;&gt;"",VLOOKUP(H741,ID!$A$2:$C$999,3,FALSE),"") </f>
        <v/>
      </c>
      <c r="B741" s="15"/>
      <c r="C741" s="16"/>
      <c r="D741" s="89"/>
      <c r="E741" s="89"/>
      <c r="F741" s="85"/>
      <c r="G741" s="81"/>
      <c r="H741" s="85"/>
      <c r="I741" s="85"/>
      <c r="J741" s="85"/>
      <c r="K741" s="85"/>
      <c r="L741" s="85"/>
      <c r="M741" s="85"/>
      <c r="N741" s="66"/>
      <c r="O741" s="66"/>
      <c r="P741" s="66"/>
      <c r="Q741" s="28"/>
      <c r="R741" s="69" t="str">
        <f>IFERROR(__xludf.DUMMYFUNCTION("IF (OR( Q741 = """" , P741 =""""), """" , IF(Q741 = ""Menos de 1 mês"" , ""antes de ""&amp; TO_TEXT( EDATE(P741, 1)), EDATE(P741,Q741)))"),"")</f>
        <v/>
      </c>
      <c r="S741" s="28"/>
      <c r="T741" s="28"/>
      <c r="U741" s="28"/>
      <c r="V741" s="66"/>
      <c r="W741" s="5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</row>
    <row r="742" ht="60.0" customHeight="1">
      <c r="A742" s="14" t="str">
        <f>if(H742&lt;&gt;"",VLOOKUP(H742,ID!$A$2:$C$999,3,FALSE),"") </f>
        <v/>
      </c>
      <c r="B742" s="15"/>
      <c r="C742" s="16"/>
      <c r="D742" s="89"/>
      <c r="E742" s="89"/>
      <c r="F742" s="85"/>
      <c r="G742" s="81"/>
      <c r="H742" s="85"/>
      <c r="I742" s="85"/>
      <c r="J742" s="85"/>
      <c r="K742" s="85"/>
      <c r="L742" s="85"/>
      <c r="M742" s="85"/>
      <c r="N742" s="66"/>
      <c r="O742" s="66"/>
      <c r="P742" s="66"/>
      <c r="Q742" s="28"/>
      <c r="R742" s="69" t="str">
        <f>IFERROR(__xludf.DUMMYFUNCTION("IF (OR( Q742 = """" , P742 =""""), """" , IF(Q742 = ""Menos de 1 mês"" , ""antes de ""&amp; TO_TEXT( EDATE(P742, 1)), EDATE(P742,Q742)))"),"")</f>
        <v/>
      </c>
      <c r="S742" s="28"/>
      <c r="T742" s="28"/>
      <c r="U742" s="28"/>
      <c r="V742" s="66"/>
      <c r="W742" s="5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</row>
    <row r="743" ht="60.0" customHeight="1">
      <c r="A743" s="14" t="str">
        <f>if(H743&lt;&gt;"",VLOOKUP(H743,ID!$A$2:$C$999,3,FALSE),"") </f>
        <v/>
      </c>
      <c r="B743" s="15"/>
      <c r="C743" s="16"/>
      <c r="D743" s="89"/>
      <c r="E743" s="89"/>
      <c r="F743" s="85"/>
      <c r="G743" s="81"/>
      <c r="H743" s="85"/>
      <c r="I743" s="85"/>
      <c r="J743" s="85"/>
      <c r="K743" s="85"/>
      <c r="L743" s="85"/>
      <c r="M743" s="85"/>
      <c r="N743" s="66"/>
      <c r="O743" s="66"/>
      <c r="P743" s="66"/>
      <c r="Q743" s="28"/>
      <c r="R743" s="69" t="str">
        <f>IFERROR(__xludf.DUMMYFUNCTION("IF (OR( Q743 = """" , P743 =""""), """" , IF(Q743 = ""Menos de 1 mês"" , ""antes de ""&amp; TO_TEXT( EDATE(P743, 1)), EDATE(P743,Q743)))"),"")</f>
        <v/>
      </c>
      <c r="S743" s="28"/>
      <c r="T743" s="28"/>
      <c r="U743" s="28"/>
      <c r="V743" s="66"/>
      <c r="W743" s="5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</row>
    <row r="744" ht="60.0" customHeight="1">
      <c r="A744" s="14" t="str">
        <f>if(H744&lt;&gt;"",VLOOKUP(H744,ID!$A$2:$C$999,3,FALSE),"") </f>
        <v/>
      </c>
      <c r="B744" s="15"/>
      <c r="C744" s="16"/>
      <c r="D744" s="89"/>
      <c r="E744" s="89"/>
      <c r="F744" s="85"/>
      <c r="G744" s="81"/>
      <c r="H744" s="85"/>
      <c r="I744" s="85"/>
      <c r="J744" s="85"/>
      <c r="K744" s="85"/>
      <c r="L744" s="85"/>
      <c r="M744" s="85"/>
      <c r="N744" s="66"/>
      <c r="O744" s="66"/>
      <c r="P744" s="66"/>
      <c r="Q744" s="28"/>
      <c r="R744" s="69" t="str">
        <f>IFERROR(__xludf.DUMMYFUNCTION("IF (OR( Q744 = """" , P744 =""""), """" , IF(Q744 = ""Menos de 1 mês"" , ""antes de ""&amp; TO_TEXT( EDATE(P744, 1)), EDATE(P744,Q744)))"),"")</f>
        <v/>
      </c>
      <c r="S744" s="28"/>
      <c r="T744" s="28"/>
      <c r="U744" s="28"/>
      <c r="V744" s="66"/>
      <c r="W744" s="5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</row>
    <row r="745" ht="60.0" customHeight="1">
      <c r="A745" s="14" t="str">
        <f>if(H745&lt;&gt;"",VLOOKUP(H745,ID!$A$2:$C$999,3,FALSE),"") </f>
        <v/>
      </c>
      <c r="B745" s="15"/>
      <c r="C745" s="16"/>
      <c r="D745" s="89"/>
      <c r="E745" s="89"/>
      <c r="F745" s="85"/>
      <c r="G745" s="81"/>
      <c r="H745" s="85"/>
      <c r="I745" s="85"/>
      <c r="J745" s="85"/>
      <c r="K745" s="85"/>
      <c r="L745" s="85"/>
      <c r="M745" s="85"/>
      <c r="N745" s="66"/>
      <c r="O745" s="66"/>
      <c r="P745" s="66"/>
      <c r="Q745" s="28"/>
      <c r="R745" s="69" t="str">
        <f>IFERROR(__xludf.DUMMYFUNCTION("IF (OR( Q745 = """" , P745 =""""), """" , IF(Q745 = ""Menos de 1 mês"" , ""antes de ""&amp; TO_TEXT( EDATE(P745, 1)), EDATE(P745,Q745)))"),"")</f>
        <v/>
      </c>
      <c r="S745" s="28"/>
      <c r="T745" s="28"/>
      <c r="U745" s="28"/>
      <c r="V745" s="66"/>
      <c r="W745" s="5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</row>
    <row r="746" ht="60.0" customHeight="1">
      <c r="A746" s="14" t="str">
        <f>if(H746&lt;&gt;"",VLOOKUP(H746,ID!$A$2:$C$999,3,FALSE),"") </f>
        <v/>
      </c>
      <c r="B746" s="15"/>
      <c r="C746" s="16"/>
      <c r="D746" s="89"/>
      <c r="E746" s="89"/>
      <c r="F746" s="85"/>
      <c r="G746" s="81"/>
      <c r="H746" s="85"/>
      <c r="I746" s="85"/>
      <c r="J746" s="85"/>
      <c r="K746" s="85"/>
      <c r="L746" s="85"/>
      <c r="M746" s="85"/>
      <c r="N746" s="66"/>
      <c r="O746" s="66"/>
      <c r="P746" s="66"/>
      <c r="Q746" s="28"/>
      <c r="R746" s="69" t="str">
        <f>IFERROR(__xludf.DUMMYFUNCTION("IF (OR( Q746 = """" , P746 =""""), """" , IF(Q746 = ""Menos de 1 mês"" , ""antes de ""&amp; TO_TEXT( EDATE(P746, 1)), EDATE(P746,Q746)))"),"")</f>
        <v/>
      </c>
      <c r="S746" s="28"/>
      <c r="T746" s="28"/>
      <c r="U746" s="28"/>
      <c r="V746" s="66"/>
      <c r="W746" s="5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</row>
    <row r="747" ht="60.0" customHeight="1">
      <c r="A747" s="14" t="str">
        <f>if(H747&lt;&gt;"",VLOOKUP(H747,ID!$A$2:$C$999,3,FALSE),"") </f>
        <v/>
      </c>
      <c r="B747" s="15"/>
      <c r="C747" s="16"/>
      <c r="D747" s="89"/>
      <c r="E747" s="89"/>
      <c r="F747" s="85"/>
      <c r="G747" s="81"/>
      <c r="H747" s="85"/>
      <c r="I747" s="85"/>
      <c r="J747" s="85"/>
      <c r="K747" s="85"/>
      <c r="L747" s="85"/>
      <c r="M747" s="85"/>
      <c r="N747" s="66"/>
      <c r="O747" s="66"/>
      <c r="P747" s="66"/>
      <c r="Q747" s="28"/>
      <c r="R747" s="69" t="str">
        <f>IFERROR(__xludf.DUMMYFUNCTION("IF (OR( Q747 = """" , P747 =""""), """" , IF(Q747 = ""Menos de 1 mês"" , ""antes de ""&amp; TO_TEXT( EDATE(P747, 1)), EDATE(P747,Q747)))"),"")</f>
        <v/>
      </c>
      <c r="S747" s="28"/>
      <c r="T747" s="28"/>
      <c r="U747" s="28"/>
      <c r="V747" s="66"/>
      <c r="W747" s="5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</row>
    <row r="748" ht="60.0" customHeight="1">
      <c r="A748" s="14" t="str">
        <f>if(H748&lt;&gt;"",VLOOKUP(H748,ID!$A$2:$C$999,3,FALSE),"") </f>
        <v/>
      </c>
      <c r="B748" s="15"/>
      <c r="C748" s="16"/>
      <c r="D748" s="89"/>
      <c r="E748" s="89"/>
      <c r="F748" s="85"/>
      <c r="G748" s="81"/>
      <c r="H748" s="85"/>
      <c r="I748" s="85"/>
      <c r="J748" s="85"/>
      <c r="K748" s="85"/>
      <c r="L748" s="85"/>
      <c r="M748" s="85"/>
      <c r="N748" s="66"/>
      <c r="O748" s="66"/>
      <c r="P748" s="66"/>
      <c r="Q748" s="28"/>
      <c r="R748" s="69" t="str">
        <f>IFERROR(__xludf.DUMMYFUNCTION("IF (OR( Q748 = """" , P748 =""""), """" , IF(Q748 = ""Menos de 1 mês"" , ""antes de ""&amp; TO_TEXT( EDATE(P748, 1)), EDATE(P748,Q748)))"),"")</f>
        <v/>
      </c>
      <c r="S748" s="28"/>
      <c r="T748" s="28"/>
      <c r="U748" s="28"/>
      <c r="V748" s="66"/>
      <c r="W748" s="5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</row>
    <row r="749" ht="60.0" customHeight="1">
      <c r="A749" s="14" t="str">
        <f>if(H749&lt;&gt;"",VLOOKUP(H749,ID!$A$2:$C$999,3,FALSE),"") </f>
        <v/>
      </c>
      <c r="B749" s="15"/>
      <c r="C749" s="16"/>
      <c r="D749" s="89"/>
      <c r="E749" s="89"/>
      <c r="F749" s="85"/>
      <c r="G749" s="81"/>
      <c r="H749" s="85"/>
      <c r="I749" s="85"/>
      <c r="J749" s="85"/>
      <c r="K749" s="85"/>
      <c r="L749" s="85"/>
      <c r="M749" s="85"/>
      <c r="N749" s="66"/>
      <c r="O749" s="66"/>
      <c r="P749" s="66"/>
      <c r="Q749" s="28"/>
      <c r="R749" s="69" t="str">
        <f>IFERROR(__xludf.DUMMYFUNCTION("IF (OR( Q749 = """" , P749 =""""), """" , IF(Q749 = ""Menos de 1 mês"" , ""antes de ""&amp; TO_TEXT( EDATE(P749, 1)), EDATE(P749,Q749)))"),"")</f>
        <v/>
      </c>
      <c r="S749" s="28"/>
      <c r="T749" s="28"/>
      <c r="U749" s="28"/>
      <c r="V749" s="66"/>
      <c r="W749" s="5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</row>
    <row r="750" ht="60.0" customHeight="1">
      <c r="A750" s="14" t="str">
        <f>if(H750&lt;&gt;"",VLOOKUP(H750,ID!$A$2:$C$999,3,FALSE),"") </f>
        <v/>
      </c>
      <c r="B750" s="15"/>
      <c r="C750" s="16"/>
      <c r="D750" s="89"/>
      <c r="E750" s="89"/>
      <c r="F750" s="85"/>
      <c r="G750" s="81"/>
      <c r="H750" s="85"/>
      <c r="I750" s="85"/>
      <c r="J750" s="85"/>
      <c r="K750" s="85"/>
      <c r="L750" s="85"/>
      <c r="M750" s="85"/>
      <c r="N750" s="66"/>
      <c r="O750" s="66"/>
      <c r="P750" s="66"/>
      <c r="Q750" s="28"/>
      <c r="R750" s="69" t="str">
        <f>IFERROR(__xludf.DUMMYFUNCTION("IF (OR( Q750 = """" , P750 =""""), """" , IF(Q750 = ""Menos de 1 mês"" , ""antes de ""&amp; TO_TEXT( EDATE(P750, 1)), EDATE(P750,Q750)))"),"")</f>
        <v/>
      </c>
      <c r="S750" s="28"/>
      <c r="T750" s="28"/>
      <c r="U750" s="28"/>
      <c r="V750" s="66"/>
      <c r="W750" s="5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</row>
    <row r="751" ht="60.0" customHeight="1">
      <c r="A751" s="14" t="str">
        <f>if(H751&lt;&gt;"",VLOOKUP(H751,ID!$A$2:$C$999,3,FALSE),"") </f>
        <v/>
      </c>
      <c r="B751" s="15"/>
      <c r="C751" s="16"/>
      <c r="D751" s="89"/>
      <c r="E751" s="89"/>
      <c r="F751" s="85"/>
      <c r="G751" s="81"/>
      <c r="H751" s="85"/>
      <c r="I751" s="85"/>
      <c r="J751" s="85"/>
      <c r="K751" s="85"/>
      <c r="L751" s="85"/>
      <c r="M751" s="85"/>
      <c r="N751" s="66"/>
      <c r="O751" s="66"/>
      <c r="P751" s="66"/>
      <c r="Q751" s="28"/>
      <c r="R751" s="69" t="str">
        <f>IFERROR(__xludf.DUMMYFUNCTION("IF (OR( Q751 = """" , P751 =""""), """" , IF(Q751 = ""Menos de 1 mês"" , ""antes de ""&amp; TO_TEXT( EDATE(P751, 1)), EDATE(P751,Q751)))"),"")</f>
        <v/>
      </c>
      <c r="S751" s="28"/>
      <c r="T751" s="28"/>
      <c r="U751" s="28"/>
      <c r="V751" s="66"/>
      <c r="W751" s="5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</row>
    <row r="752" ht="60.0" customHeight="1">
      <c r="A752" s="14" t="str">
        <f>if(H752&lt;&gt;"",VLOOKUP(H752,ID!$A$2:$C$999,3,FALSE),"") </f>
        <v/>
      </c>
      <c r="B752" s="15"/>
      <c r="C752" s="16"/>
      <c r="D752" s="89"/>
      <c r="E752" s="89"/>
      <c r="F752" s="85"/>
      <c r="G752" s="81"/>
      <c r="H752" s="85"/>
      <c r="I752" s="85"/>
      <c r="J752" s="85"/>
      <c r="K752" s="85"/>
      <c r="L752" s="85"/>
      <c r="M752" s="85"/>
      <c r="N752" s="66"/>
      <c r="O752" s="66"/>
      <c r="P752" s="66"/>
      <c r="Q752" s="28"/>
      <c r="R752" s="69" t="str">
        <f>IFERROR(__xludf.DUMMYFUNCTION("IF (OR( Q752 = """" , P752 =""""), """" , IF(Q752 = ""Menos de 1 mês"" , ""antes de ""&amp; TO_TEXT( EDATE(P752, 1)), EDATE(P752,Q752)))"),"")</f>
        <v/>
      </c>
      <c r="S752" s="28"/>
      <c r="T752" s="28"/>
      <c r="U752" s="28"/>
      <c r="V752" s="66"/>
      <c r="W752" s="5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</row>
    <row r="753" ht="60.0" customHeight="1">
      <c r="A753" s="14" t="str">
        <f>if(H753&lt;&gt;"",VLOOKUP(H753,ID!$A$2:$C$999,3,FALSE),"") </f>
        <v/>
      </c>
      <c r="B753" s="15"/>
      <c r="C753" s="16"/>
      <c r="D753" s="89"/>
      <c r="E753" s="89"/>
      <c r="F753" s="85"/>
      <c r="G753" s="81"/>
      <c r="H753" s="85"/>
      <c r="I753" s="85"/>
      <c r="J753" s="85"/>
      <c r="K753" s="85"/>
      <c r="L753" s="85"/>
      <c r="M753" s="85"/>
      <c r="N753" s="66"/>
      <c r="O753" s="66"/>
      <c r="P753" s="66"/>
      <c r="Q753" s="28"/>
      <c r="R753" s="69" t="str">
        <f>IFERROR(__xludf.DUMMYFUNCTION("IF (OR( Q753 = """" , P753 =""""), """" , IF(Q753 = ""Menos de 1 mês"" , ""antes de ""&amp; TO_TEXT( EDATE(P753, 1)), EDATE(P753,Q753)))"),"")</f>
        <v/>
      </c>
      <c r="S753" s="28"/>
      <c r="T753" s="28"/>
      <c r="U753" s="28"/>
      <c r="V753" s="66"/>
      <c r="W753" s="5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</row>
    <row r="754" ht="60.0" customHeight="1">
      <c r="A754" s="14" t="str">
        <f>if(H754&lt;&gt;"",VLOOKUP(H754,ID!$A$2:$C$999,3,FALSE),"") </f>
        <v/>
      </c>
      <c r="B754" s="15"/>
      <c r="C754" s="16"/>
      <c r="D754" s="89"/>
      <c r="E754" s="89"/>
      <c r="F754" s="85"/>
      <c r="G754" s="81"/>
      <c r="H754" s="85"/>
      <c r="I754" s="85"/>
      <c r="J754" s="85"/>
      <c r="K754" s="85"/>
      <c r="L754" s="85"/>
      <c r="M754" s="85"/>
      <c r="N754" s="66"/>
      <c r="O754" s="66"/>
      <c r="P754" s="66"/>
      <c r="Q754" s="28"/>
      <c r="R754" s="69" t="str">
        <f>IFERROR(__xludf.DUMMYFUNCTION("IF (OR( Q754 = """" , P754 =""""), """" , IF(Q754 = ""Menos de 1 mês"" , ""antes de ""&amp; TO_TEXT( EDATE(P754, 1)), EDATE(P754,Q754)))"),"")</f>
        <v/>
      </c>
      <c r="S754" s="28"/>
      <c r="T754" s="28"/>
      <c r="U754" s="28"/>
      <c r="V754" s="66"/>
      <c r="W754" s="5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</row>
    <row r="755" ht="60.0" customHeight="1">
      <c r="A755" s="14" t="str">
        <f>if(H755&lt;&gt;"",VLOOKUP(H755,ID!$A$2:$C$999,3,FALSE),"") </f>
        <v/>
      </c>
      <c r="B755" s="15"/>
      <c r="C755" s="16"/>
      <c r="D755" s="89"/>
      <c r="E755" s="89"/>
      <c r="F755" s="85"/>
      <c r="G755" s="81"/>
      <c r="H755" s="85"/>
      <c r="I755" s="85"/>
      <c r="J755" s="85"/>
      <c r="K755" s="85"/>
      <c r="L755" s="85"/>
      <c r="M755" s="85"/>
      <c r="N755" s="66"/>
      <c r="O755" s="66"/>
      <c r="P755" s="66"/>
      <c r="Q755" s="28"/>
      <c r="R755" s="69" t="str">
        <f>IFERROR(__xludf.DUMMYFUNCTION("IF (OR( Q755 = """" , P755 =""""), """" , IF(Q755 = ""Menos de 1 mês"" , ""antes de ""&amp; TO_TEXT( EDATE(P755, 1)), EDATE(P755,Q755)))"),"")</f>
        <v/>
      </c>
      <c r="S755" s="28"/>
      <c r="T755" s="28"/>
      <c r="U755" s="28"/>
      <c r="V755" s="66"/>
      <c r="W755" s="5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</row>
    <row r="756" ht="60.0" customHeight="1">
      <c r="A756" s="14" t="str">
        <f>if(H756&lt;&gt;"",VLOOKUP(H756,ID!$A$2:$C$999,3,FALSE),"") </f>
        <v/>
      </c>
      <c r="B756" s="15"/>
      <c r="C756" s="16"/>
      <c r="D756" s="89"/>
      <c r="E756" s="89"/>
      <c r="F756" s="85"/>
      <c r="G756" s="81"/>
      <c r="H756" s="85"/>
      <c r="I756" s="85"/>
      <c r="J756" s="85"/>
      <c r="K756" s="85"/>
      <c r="L756" s="85"/>
      <c r="M756" s="85"/>
      <c r="N756" s="66"/>
      <c r="O756" s="66"/>
      <c r="P756" s="66"/>
      <c r="Q756" s="28"/>
      <c r="R756" s="69" t="str">
        <f>IFERROR(__xludf.DUMMYFUNCTION("IF (OR( Q756 = """" , P756 =""""), """" , IF(Q756 = ""Menos de 1 mês"" , ""antes de ""&amp; TO_TEXT( EDATE(P756, 1)), EDATE(P756,Q756)))"),"")</f>
        <v/>
      </c>
      <c r="S756" s="28"/>
      <c r="T756" s="28"/>
      <c r="U756" s="28"/>
      <c r="V756" s="66"/>
      <c r="W756" s="5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</row>
    <row r="757" ht="60.0" customHeight="1">
      <c r="A757" s="14" t="str">
        <f>if(H757&lt;&gt;"",VLOOKUP(H757,ID!$A$2:$C$999,3,FALSE),"") </f>
        <v/>
      </c>
      <c r="B757" s="15"/>
      <c r="C757" s="16"/>
      <c r="D757" s="89"/>
      <c r="E757" s="89"/>
      <c r="F757" s="85"/>
      <c r="G757" s="81"/>
      <c r="H757" s="85"/>
      <c r="I757" s="85"/>
      <c r="J757" s="85"/>
      <c r="K757" s="85"/>
      <c r="L757" s="85"/>
      <c r="M757" s="85"/>
      <c r="N757" s="66"/>
      <c r="O757" s="66"/>
      <c r="P757" s="66"/>
      <c r="Q757" s="28"/>
      <c r="R757" s="69" t="str">
        <f>IFERROR(__xludf.DUMMYFUNCTION("IF (OR( Q757 = """" , P757 =""""), """" , IF(Q757 = ""Menos de 1 mês"" , ""antes de ""&amp; TO_TEXT( EDATE(P757, 1)), EDATE(P757,Q757)))"),"")</f>
        <v/>
      </c>
      <c r="S757" s="28"/>
      <c r="T757" s="28"/>
      <c r="U757" s="28"/>
      <c r="V757" s="66"/>
      <c r="W757" s="5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</row>
    <row r="758" ht="60.0" customHeight="1">
      <c r="A758" s="14" t="str">
        <f>if(H758&lt;&gt;"",VLOOKUP(H758,ID!$A$2:$C$999,3,FALSE),"") </f>
        <v/>
      </c>
      <c r="B758" s="15"/>
      <c r="C758" s="16"/>
      <c r="D758" s="89"/>
      <c r="E758" s="89"/>
      <c r="F758" s="85"/>
      <c r="G758" s="81"/>
      <c r="H758" s="85"/>
      <c r="I758" s="85"/>
      <c r="J758" s="85"/>
      <c r="K758" s="85"/>
      <c r="L758" s="85"/>
      <c r="M758" s="85"/>
      <c r="N758" s="66"/>
      <c r="O758" s="66"/>
      <c r="P758" s="66"/>
      <c r="Q758" s="28"/>
      <c r="R758" s="69" t="str">
        <f>IFERROR(__xludf.DUMMYFUNCTION("IF (OR( Q758 = """" , P758 =""""), """" , IF(Q758 = ""Menos de 1 mês"" , ""antes de ""&amp; TO_TEXT( EDATE(P758, 1)), EDATE(P758,Q758)))"),"")</f>
        <v/>
      </c>
      <c r="S758" s="28"/>
      <c r="T758" s="28"/>
      <c r="U758" s="28"/>
      <c r="V758" s="66"/>
      <c r="W758" s="5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</row>
    <row r="759" ht="60.0" customHeight="1">
      <c r="A759" s="14" t="str">
        <f>if(H759&lt;&gt;"",VLOOKUP(H759,ID!$A$2:$C$999,3,FALSE),"") </f>
        <v/>
      </c>
      <c r="B759" s="15"/>
      <c r="C759" s="16"/>
      <c r="D759" s="89"/>
      <c r="E759" s="89"/>
      <c r="F759" s="85"/>
      <c r="G759" s="81"/>
      <c r="H759" s="85"/>
      <c r="I759" s="85"/>
      <c r="J759" s="85"/>
      <c r="K759" s="85"/>
      <c r="L759" s="85"/>
      <c r="M759" s="85"/>
      <c r="N759" s="66"/>
      <c r="O759" s="66"/>
      <c r="P759" s="66"/>
      <c r="Q759" s="28"/>
      <c r="R759" s="69" t="str">
        <f>IFERROR(__xludf.DUMMYFUNCTION("IF (OR( Q759 = """" , P759 =""""), """" , IF(Q759 = ""Menos de 1 mês"" , ""antes de ""&amp; TO_TEXT( EDATE(P759, 1)), EDATE(P759,Q759)))"),"")</f>
        <v/>
      </c>
      <c r="S759" s="28"/>
      <c r="T759" s="28"/>
      <c r="U759" s="28"/>
      <c r="V759" s="66"/>
      <c r="W759" s="5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</row>
    <row r="760" ht="60.0" customHeight="1">
      <c r="A760" s="14" t="str">
        <f>if(H760&lt;&gt;"",VLOOKUP(H760,ID!$A$2:$C$999,3,FALSE),"") </f>
        <v/>
      </c>
      <c r="B760" s="15"/>
      <c r="C760" s="16"/>
      <c r="D760" s="89"/>
      <c r="E760" s="89"/>
      <c r="F760" s="85"/>
      <c r="G760" s="81"/>
      <c r="H760" s="85"/>
      <c r="I760" s="85"/>
      <c r="J760" s="85"/>
      <c r="K760" s="85"/>
      <c r="L760" s="85"/>
      <c r="M760" s="85"/>
      <c r="N760" s="66"/>
      <c r="O760" s="66"/>
      <c r="P760" s="66"/>
      <c r="Q760" s="28"/>
      <c r="R760" s="69" t="str">
        <f>IFERROR(__xludf.DUMMYFUNCTION("IF (OR( Q760 = """" , P760 =""""), """" , IF(Q760 = ""Menos de 1 mês"" , ""antes de ""&amp; TO_TEXT( EDATE(P760, 1)), EDATE(P760,Q760)))"),"")</f>
        <v/>
      </c>
      <c r="S760" s="28"/>
      <c r="T760" s="28"/>
      <c r="U760" s="28"/>
      <c r="V760" s="66"/>
      <c r="W760" s="5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</row>
    <row r="761" ht="60.0" customHeight="1">
      <c r="A761" s="14" t="str">
        <f>if(H761&lt;&gt;"",VLOOKUP(H761,ID!$A$2:$C$999,3,FALSE),"") </f>
        <v/>
      </c>
      <c r="B761" s="15"/>
      <c r="C761" s="16"/>
      <c r="D761" s="89"/>
      <c r="E761" s="89"/>
      <c r="F761" s="85"/>
      <c r="G761" s="81"/>
      <c r="H761" s="85"/>
      <c r="I761" s="85"/>
      <c r="J761" s="85"/>
      <c r="K761" s="85"/>
      <c r="L761" s="85"/>
      <c r="M761" s="85"/>
      <c r="N761" s="66"/>
      <c r="O761" s="66"/>
      <c r="P761" s="66"/>
      <c r="Q761" s="28"/>
      <c r="R761" s="69" t="str">
        <f>IFERROR(__xludf.DUMMYFUNCTION("IF (OR( Q761 = """" , P761 =""""), """" , IF(Q761 = ""Menos de 1 mês"" , ""antes de ""&amp; TO_TEXT( EDATE(P761, 1)), EDATE(P761,Q761)))"),"")</f>
        <v/>
      </c>
      <c r="S761" s="28"/>
      <c r="T761" s="28"/>
      <c r="U761" s="28"/>
      <c r="V761" s="66"/>
      <c r="W761" s="5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</row>
    <row r="762" ht="60.0" customHeight="1">
      <c r="A762" s="14" t="str">
        <f>if(H762&lt;&gt;"",VLOOKUP(H762,ID!$A$2:$C$999,3,FALSE),"") </f>
        <v/>
      </c>
      <c r="B762" s="15"/>
      <c r="C762" s="16"/>
      <c r="D762" s="89"/>
      <c r="E762" s="89"/>
      <c r="F762" s="85"/>
      <c r="G762" s="81"/>
      <c r="H762" s="85"/>
      <c r="I762" s="85"/>
      <c r="J762" s="85"/>
      <c r="K762" s="85"/>
      <c r="L762" s="85"/>
      <c r="M762" s="85"/>
      <c r="N762" s="66"/>
      <c r="O762" s="66"/>
      <c r="P762" s="66"/>
      <c r="Q762" s="28"/>
      <c r="R762" s="69" t="str">
        <f>IFERROR(__xludf.DUMMYFUNCTION("IF (OR( Q762 = """" , P762 =""""), """" , IF(Q762 = ""Menos de 1 mês"" , ""antes de ""&amp; TO_TEXT( EDATE(P762, 1)), EDATE(P762,Q762)))"),"")</f>
        <v/>
      </c>
      <c r="S762" s="28"/>
      <c r="T762" s="28"/>
      <c r="U762" s="28"/>
      <c r="V762" s="66"/>
      <c r="W762" s="5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</row>
    <row r="763" ht="60.0" customHeight="1">
      <c r="A763" s="14" t="str">
        <f>if(H763&lt;&gt;"",VLOOKUP(H763,ID!$A$2:$C$999,3,FALSE),"") </f>
        <v/>
      </c>
      <c r="B763" s="15"/>
      <c r="C763" s="16"/>
      <c r="D763" s="89"/>
      <c r="E763" s="89"/>
      <c r="F763" s="85"/>
      <c r="G763" s="81"/>
      <c r="H763" s="85"/>
      <c r="I763" s="85"/>
      <c r="J763" s="85"/>
      <c r="K763" s="85"/>
      <c r="L763" s="85"/>
      <c r="M763" s="85"/>
      <c r="N763" s="66"/>
      <c r="O763" s="66"/>
      <c r="P763" s="66"/>
      <c r="Q763" s="28"/>
      <c r="R763" s="69" t="str">
        <f>IFERROR(__xludf.DUMMYFUNCTION("IF (OR( Q763 = """" , P763 =""""), """" , IF(Q763 = ""Menos de 1 mês"" , ""antes de ""&amp; TO_TEXT( EDATE(P763, 1)), EDATE(P763,Q763)))"),"")</f>
        <v/>
      </c>
      <c r="S763" s="28"/>
      <c r="T763" s="28"/>
      <c r="U763" s="28"/>
      <c r="V763" s="66"/>
      <c r="W763" s="5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</row>
    <row r="764" ht="60.0" customHeight="1">
      <c r="A764" s="14" t="str">
        <f>if(H764&lt;&gt;"",VLOOKUP(H764,ID!$A$2:$C$999,3,FALSE),"") </f>
        <v/>
      </c>
      <c r="B764" s="15"/>
      <c r="C764" s="16"/>
      <c r="D764" s="89"/>
      <c r="E764" s="89"/>
      <c r="F764" s="85"/>
      <c r="G764" s="81"/>
      <c r="H764" s="85"/>
      <c r="I764" s="85"/>
      <c r="J764" s="85"/>
      <c r="K764" s="85"/>
      <c r="L764" s="85"/>
      <c r="M764" s="85"/>
      <c r="N764" s="66"/>
      <c r="O764" s="66"/>
      <c r="P764" s="66"/>
      <c r="Q764" s="28"/>
      <c r="R764" s="69" t="str">
        <f>IFERROR(__xludf.DUMMYFUNCTION("IF (OR( Q764 = """" , P764 =""""), """" , IF(Q764 = ""Menos de 1 mês"" , ""antes de ""&amp; TO_TEXT( EDATE(P764, 1)), EDATE(P764,Q764)))"),"")</f>
        <v/>
      </c>
      <c r="S764" s="28"/>
      <c r="T764" s="28"/>
      <c r="U764" s="28"/>
      <c r="V764" s="66"/>
      <c r="W764" s="5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</row>
    <row r="765" ht="60.0" customHeight="1">
      <c r="A765" s="14" t="str">
        <f>if(H765&lt;&gt;"",VLOOKUP(H765,ID!$A$2:$C$999,3,FALSE),"") </f>
        <v/>
      </c>
      <c r="B765" s="15"/>
      <c r="C765" s="16"/>
      <c r="D765" s="89"/>
      <c r="E765" s="89"/>
      <c r="F765" s="85"/>
      <c r="G765" s="81"/>
      <c r="H765" s="85"/>
      <c r="I765" s="85"/>
      <c r="J765" s="85"/>
      <c r="K765" s="85"/>
      <c r="L765" s="85"/>
      <c r="M765" s="85"/>
      <c r="N765" s="66"/>
      <c r="O765" s="66"/>
      <c r="P765" s="66"/>
      <c r="Q765" s="28"/>
      <c r="R765" s="69" t="str">
        <f>IFERROR(__xludf.DUMMYFUNCTION("IF (OR( Q765 = """" , P765 =""""), """" , IF(Q765 = ""Menos de 1 mês"" , ""antes de ""&amp; TO_TEXT( EDATE(P765, 1)), EDATE(P765,Q765)))"),"")</f>
        <v/>
      </c>
      <c r="S765" s="28"/>
      <c r="T765" s="28"/>
      <c r="U765" s="28"/>
      <c r="V765" s="66"/>
      <c r="W765" s="5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</row>
    <row r="766" ht="60.0" customHeight="1">
      <c r="A766" s="14" t="str">
        <f>if(H766&lt;&gt;"",VLOOKUP(H766,ID!$A$2:$C$999,3,FALSE),"") </f>
        <v/>
      </c>
      <c r="B766" s="15"/>
      <c r="C766" s="16"/>
      <c r="D766" s="89"/>
      <c r="E766" s="89"/>
      <c r="F766" s="85"/>
      <c r="G766" s="81"/>
      <c r="H766" s="85"/>
      <c r="I766" s="85"/>
      <c r="J766" s="85"/>
      <c r="K766" s="85"/>
      <c r="L766" s="85"/>
      <c r="M766" s="85"/>
      <c r="N766" s="66"/>
      <c r="O766" s="66"/>
      <c r="P766" s="66"/>
      <c r="Q766" s="28"/>
      <c r="R766" s="69" t="str">
        <f>IFERROR(__xludf.DUMMYFUNCTION("IF (OR( Q766 = """" , P766 =""""), """" , IF(Q766 = ""Menos de 1 mês"" , ""antes de ""&amp; TO_TEXT( EDATE(P766, 1)), EDATE(P766,Q766)))"),"")</f>
        <v/>
      </c>
      <c r="S766" s="28"/>
      <c r="T766" s="28"/>
      <c r="U766" s="28"/>
      <c r="V766" s="66"/>
      <c r="W766" s="5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</row>
    <row r="767" ht="60.0" customHeight="1">
      <c r="A767" s="14" t="str">
        <f>if(H767&lt;&gt;"",VLOOKUP(H767,ID!$A$2:$C$999,3,FALSE),"") </f>
        <v/>
      </c>
      <c r="B767" s="15"/>
      <c r="C767" s="16"/>
      <c r="D767" s="89"/>
      <c r="E767" s="89"/>
      <c r="F767" s="85"/>
      <c r="G767" s="81"/>
      <c r="H767" s="85"/>
      <c r="I767" s="85"/>
      <c r="J767" s="85"/>
      <c r="K767" s="85"/>
      <c r="L767" s="85"/>
      <c r="M767" s="85"/>
      <c r="N767" s="66"/>
      <c r="O767" s="66"/>
      <c r="P767" s="66"/>
      <c r="Q767" s="28"/>
      <c r="R767" s="69" t="str">
        <f>IFERROR(__xludf.DUMMYFUNCTION("IF (OR( Q767 = """" , P767 =""""), """" , IF(Q767 = ""Menos de 1 mês"" , ""antes de ""&amp; TO_TEXT( EDATE(P767, 1)), EDATE(P767,Q767)))"),"")</f>
        <v/>
      </c>
      <c r="S767" s="28"/>
      <c r="T767" s="28"/>
      <c r="U767" s="28"/>
      <c r="V767" s="66"/>
      <c r="W767" s="5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</row>
    <row r="768" ht="60.0" customHeight="1">
      <c r="A768" s="14" t="str">
        <f>if(H768&lt;&gt;"",VLOOKUP(H768,ID!$A$2:$C$999,3,FALSE),"") </f>
        <v/>
      </c>
      <c r="B768" s="15"/>
      <c r="C768" s="16"/>
      <c r="D768" s="89"/>
      <c r="E768" s="89"/>
      <c r="F768" s="85"/>
      <c r="G768" s="81"/>
      <c r="H768" s="85"/>
      <c r="I768" s="85"/>
      <c r="J768" s="85"/>
      <c r="K768" s="85"/>
      <c r="L768" s="85"/>
      <c r="M768" s="85"/>
      <c r="N768" s="66"/>
      <c r="O768" s="66"/>
      <c r="P768" s="66"/>
      <c r="Q768" s="28"/>
      <c r="R768" s="69" t="str">
        <f>IFERROR(__xludf.DUMMYFUNCTION("IF (OR( Q768 = """" , P768 =""""), """" , IF(Q768 = ""Menos de 1 mês"" , ""antes de ""&amp; TO_TEXT( EDATE(P768, 1)), EDATE(P768,Q768)))"),"")</f>
        <v/>
      </c>
      <c r="S768" s="28"/>
      <c r="T768" s="28"/>
      <c r="U768" s="28"/>
      <c r="V768" s="66"/>
      <c r="W768" s="5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</row>
    <row r="769" ht="60.0" customHeight="1">
      <c r="A769" s="14" t="str">
        <f>if(H769&lt;&gt;"",VLOOKUP(H769,ID!$A$2:$C$999,3,FALSE),"") </f>
        <v/>
      </c>
      <c r="B769" s="15"/>
      <c r="C769" s="16"/>
      <c r="D769" s="89"/>
      <c r="E769" s="89"/>
      <c r="F769" s="85"/>
      <c r="G769" s="81"/>
      <c r="H769" s="85"/>
      <c r="I769" s="85"/>
      <c r="J769" s="85"/>
      <c r="K769" s="85"/>
      <c r="L769" s="85"/>
      <c r="M769" s="85"/>
      <c r="N769" s="66"/>
      <c r="O769" s="66"/>
      <c r="P769" s="66"/>
      <c r="Q769" s="28"/>
      <c r="R769" s="69" t="str">
        <f>IFERROR(__xludf.DUMMYFUNCTION("IF (OR( Q769 = """" , P769 =""""), """" , IF(Q769 = ""Menos de 1 mês"" , ""antes de ""&amp; TO_TEXT( EDATE(P769, 1)), EDATE(P769,Q769)))"),"")</f>
        <v/>
      </c>
      <c r="S769" s="28"/>
      <c r="T769" s="28"/>
      <c r="U769" s="28"/>
      <c r="V769" s="66"/>
      <c r="W769" s="5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</row>
    <row r="770" ht="60.0" customHeight="1">
      <c r="A770" s="14" t="str">
        <f>if(H770&lt;&gt;"",VLOOKUP(H770,ID!$A$2:$C$999,3,FALSE),"") </f>
        <v/>
      </c>
      <c r="B770" s="15"/>
      <c r="C770" s="16"/>
      <c r="D770" s="89"/>
      <c r="E770" s="89"/>
      <c r="F770" s="85"/>
      <c r="G770" s="81"/>
      <c r="H770" s="85"/>
      <c r="I770" s="85"/>
      <c r="J770" s="85"/>
      <c r="K770" s="85"/>
      <c r="L770" s="85"/>
      <c r="M770" s="85"/>
      <c r="N770" s="66"/>
      <c r="O770" s="66"/>
      <c r="P770" s="66"/>
      <c r="Q770" s="28"/>
      <c r="R770" s="69" t="str">
        <f>IFERROR(__xludf.DUMMYFUNCTION("IF (OR( Q770 = """" , P770 =""""), """" , IF(Q770 = ""Menos de 1 mês"" , ""antes de ""&amp; TO_TEXT( EDATE(P770, 1)), EDATE(P770,Q770)))"),"")</f>
        <v/>
      </c>
      <c r="S770" s="28"/>
      <c r="T770" s="28"/>
      <c r="U770" s="28"/>
      <c r="V770" s="66"/>
      <c r="W770" s="5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</row>
    <row r="771" ht="60.0" customHeight="1">
      <c r="A771" s="14" t="str">
        <f>if(H771&lt;&gt;"",VLOOKUP(H771,ID!$A$2:$C$999,3,FALSE),"") </f>
        <v/>
      </c>
      <c r="B771" s="15"/>
      <c r="C771" s="16"/>
      <c r="D771" s="89"/>
      <c r="E771" s="89"/>
      <c r="F771" s="85"/>
      <c r="G771" s="81"/>
      <c r="H771" s="85"/>
      <c r="I771" s="85"/>
      <c r="J771" s="85"/>
      <c r="K771" s="85"/>
      <c r="L771" s="85"/>
      <c r="M771" s="85"/>
      <c r="N771" s="66"/>
      <c r="O771" s="66"/>
      <c r="P771" s="66"/>
      <c r="Q771" s="28"/>
      <c r="R771" s="69" t="str">
        <f>IFERROR(__xludf.DUMMYFUNCTION("IF (OR( Q771 = """" , P771 =""""), """" , IF(Q771 = ""Menos de 1 mês"" , ""antes de ""&amp; TO_TEXT( EDATE(P771, 1)), EDATE(P771,Q771)))"),"")</f>
        <v/>
      </c>
      <c r="S771" s="28"/>
      <c r="T771" s="28"/>
      <c r="U771" s="28"/>
      <c r="V771" s="66"/>
      <c r="W771" s="5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</row>
    <row r="772" ht="60.0" customHeight="1">
      <c r="A772" s="14" t="str">
        <f>if(H772&lt;&gt;"",VLOOKUP(H772,ID!$A$2:$C$999,3,FALSE),"") </f>
        <v/>
      </c>
      <c r="B772" s="15"/>
      <c r="C772" s="16"/>
      <c r="D772" s="89"/>
      <c r="E772" s="89"/>
      <c r="F772" s="85"/>
      <c r="G772" s="81"/>
      <c r="H772" s="85"/>
      <c r="I772" s="85"/>
      <c r="J772" s="85"/>
      <c r="K772" s="85"/>
      <c r="L772" s="85"/>
      <c r="M772" s="85"/>
      <c r="N772" s="66"/>
      <c r="O772" s="66"/>
      <c r="P772" s="66"/>
      <c r="Q772" s="28"/>
      <c r="R772" s="69" t="str">
        <f>IFERROR(__xludf.DUMMYFUNCTION("IF (OR( Q772 = """" , P772 =""""), """" , IF(Q772 = ""Menos de 1 mês"" , ""antes de ""&amp; TO_TEXT( EDATE(P772, 1)), EDATE(P772,Q772)))"),"")</f>
        <v/>
      </c>
      <c r="S772" s="28"/>
      <c r="T772" s="28"/>
      <c r="U772" s="28"/>
      <c r="V772" s="66"/>
      <c r="W772" s="5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</row>
    <row r="773" ht="60.0" customHeight="1">
      <c r="A773" s="14" t="str">
        <f>if(H773&lt;&gt;"",VLOOKUP(H773,ID!$A$2:$C$999,3,FALSE),"") </f>
        <v/>
      </c>
      <c r="B773" s="15"/>
      <c r="C773" s="16"/>
      <c r="D773" s="89"/>
      <c r="E773" s="89"/>
      <c r="F773" s="85"/>
      <c r="G773" s="81"/>
      <c r="H773" s="85"/>
      <c r="I773" s="85"/>
      <c r="J773" s="85"/>
      <c r="K773" s="85"/>
      <c r="L773" s="85"/>
      <c r="M773" s="85"/>
      <c r="N773" s="66"/>
      <c r="O773" s="66"/>
      <c r="P773" s="66"/>
      <c r="Q773" s="28"/>
      <c r="R773" s="69" t="str">
        <f>IFERROR(__xludf.DUMMYFUNCTION("IF (OR( Q773 = """" , P773 =""""), """" , IF(Q773 = ""Menos de 1 mês"" , ""antes de ""&amp; TO_TEXT( EDATE(P773, 1)), EDATE(P773,Q773)))"),"")</f>
        <v/>
      </c>
      <c r="S773" s="28"/>
      <c r="T773" s="28"/>
      <c r="U773" s="28"/>
      <c r="V773" s="66"/>
      <c r="W773" s="5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</row>
    <row r="774" ht="60.0" customHeight="1">
      <c r="A774" s="14" t="str">
        <f>if(H774&lt;&gt;"",VLOOKUP(H774,ID!$A$2:$C$999,3,FALSE),"") </f>
        <v/>
      </c>
      <c r="B774" s="15"/>
      <c r="C774" s="16"/>
      <c r="D774" s="89"/>
      <c r="E774" s="89"/>
      <c r="F774" s="85"/>
      <c r="G774" s="81"/>
      <c r="H774" s="85"/>
      <c r="I774" s="85"/>
      <c r="J774" s="85"/>
      <c r="K774" s="85"/>
      <c r="L774" s="85"/>
      <c r="M774" s="85"/>
      <c r="N774" s="66"/>
      <c r="O774" s="66"/>
      <c r="P774" s="66"/>
      <c r="Q774" s="28"/>
      <c r="R774" s="69" t="str">
        <f>IFERROR(__xludf.DUMMYFUNCTION("IF (OR( Q774 = """" , P774 =""""), """" , IF(Q774 = ""Menos de 1 mês"" , ""antes de ""&amp; TO_TEXT( EDATE(P774, 1)), EDATE(P774,Q774)))"),"")</f>
        <v/>
      </c>
      <c r="S774" s="28"/>
      <c r="T774" s="28"/>
      <c r="U774" s="28"/>
      <c r="V774" s="66"/>
      <c r="W774" s="5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</row>
    <row r="775" ht="60.0" customHeight="1">
      <c r="A775" s="14" t="str">
        <f>if(H775&lt;&gt;"",VLOOKUP(H775,ID!$A$2:$C$999,3,FALSE),"") </f>
        <v/>
      </c>
      <c r="B775" s="15"/>
      <c r="C775" s="16"/>
      <c r="D775" s="89"/>
      <c r="E775" s="89"/>
      <c r="F775" s="85"/>
      <c r="G775" s="81"/>
      <c r="H775" s="85"/>
      <c r="I775" s="85"/>
      <c r="J775" s="85"/>
      <c r="K775" s="85"/>
      <c r="L775" s="85"/>
      <c r="M775" s="85"/>
      <c r="N775" s="66"/>
      <c r="O775" s="66"/>
      <c r="P775" s="66"/>
      <c r="Q775" s="28"/>
      <c r="R775" s="69" t="str">
        <f>IFERROR(__xludf.DUMMYFUNCTION("IF (OR( Q775 = """" , P775 =""""), """" , IF(Q775 = ""Menos de 1 mês"" , ""antes de ""&amp; TO_TEXT( EDATE(P775, 1)), EDATE(P775,Q775)))"),"")</f>
        <v/>
      </c>
      <c r="S775" s="28"/>
      <c r="T775" s="28"/>
      <c r="U775" s="28"/>
      <c r="V775" s="66"/>
      <c r="W775" s="5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</row>
    <row r="776" ht="60.0" customHeight="1">
      <c r="A776" s="14" t="str">
        <f>if(H776&lt;&gt;"",VLOOKUP(H776,ID!$A$2:$C$999,3,FALSE),"") </f>
        <v/>
      </c>
      <c r="B776" s="15"/>
      <c r="C776" s="16"/>
      <c r="D776" s="89"/>
      <c r="E776" s="89"/>
      <c r="F776" s="85"/>
      <c r="G776" s="81"/>
      <c r="H776" s="85"/>
      <c r="I776" s="85"/>
      <c r="J776" s="85"/>
      <c r="K776" s="85"/>
      <c r="L776" s="85"/>
      <c r="M776" s="85"/>
      <c r="N776" s="66"/>
      <c r="O776" s="66"/>
      <c r="P776" s="66"/>
      <c r="Q776" s="28"/>
      <c r="R776" s="69" t="str">
        <f>IFERROR(__xludf.DUMMYFUNCTION("IF (OR( Q776 = """" , P776 =""""), """" , IF(Q776 = ""Menos de 1 mês"" , ""antes de ""&amp; TO_TEXT( EDATE(P776, 1)), EDATE(P776,Q776)))"),"")</f>
        <v/>
      </c>
      <c r="S776" s="28"/>
      <c r="T776" s="28"/>
      <c r="U776" s="28"/>
      <c r="V776" s="66"/>
      <c r="W776" s="5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</row>
    <row r="777" ht="60.0" customHeight="1">
      <c r="A777" s="14" t="str">
        <f>if(H777&lt;&gt;"",VLOOKUP(H777,ID!$A$2:$C$999,3,FALSE),"") </f>
        <v/>
      </c>
      <c r="B777" s="15"/>
      <c r="C777" s="16"/>
      <c r="D777" s="89"/>
      <c r="E777" s="89"/>
      <c r="F777" s="85"/>
      <c r="G777" s="81"/>
      <c r="H777" s="85"/>
      <c r="I777" s="85"/>
      <c r="J777" s="85"/>
      <c r="K777" s="85"/>
      <c r="L777" s="85"/>
      <c r="M777" s="85"/>
      <c r="N777" s="66"/>
      <c r="O777" s="66"/>
      <c r="P777" s="66"/>
      <c r="Q777" s="28"/>
      <c r="R777" s="69" t="str">
        <f>IFERROR(__xludf.DUMMYFUNCTION("IF (OR( Q777 = """" , P777 =""""), """" , IF(Q777 = ""Menos de 1 mês"" , ""antes de ""&amp; TO_TEXT( EDATE(P777, 1)), EDATE(P777,Q777)))"),"")</f>
        <v/>
      </c>
      <c r="S777" s="28"/>
      <c r="T777" s="28"/>
      <c r="U777" s="28"/>
      <c r="V777" s="66"/>
      <c r="W777" s="5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</row>
    <row r="778" ht="60.0" customHeight="1">
      <c r="A778" s="14" t="str">
        <f>if(H778&lt;&gt;"",VLOOKUP(H778,ID!$A$2:$C$999,3,FALSE),"") </f>
        <v/>
      </c>
      <c r="B778" s="15"/>
      <c r="C778" s="16"/>
      <c r="D778" s="89"/>
      <c r="E778" s="89"/>
      <c r="F778" s="85"/>
      <c r="G778" s="81"/>
      <c r="H778" s="85"/>
      <c r="I778" s="85"/>
      <c r="J778" s="85"/>
      <c r="K778" s="85"/>
      <c r="L778" s="85"/>
      <c r="M778" s="85"/>
      <c r="N778" s="66"/>
      <c r="O778" s="66"/>
      <c r="P778" s="66"/>
      <c r="Q778" s="28"/>
      <c r="R778" s="69" t="str">
        <f>IFERROR(__xludf.DUMMYFUNCTION("IF (OR( Q778 = """" , P778 =""""), """" , IF(Q778 = ""Menos de 1 mês"" , ""antes de ""&amp; TO_TEXT( EDATE(P778, 1)), EDATE(P778,Q778)))"),"")</f>
        <v/>
      </c>
      <c r="S778" s="28"/>
      <c r="T778" s="28"/>
      <c r="U778" s="28"/>
      <c r="V778" s="66"/>
      <c r="W778" s="5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</row>
    <row r="779" ht="60.0" customHeight="1">
      <c r="A779" s="14" t="str">
        <f>if(H779&lt;&gt;"",VLOOKUP(H779,ID!$A$2:$C$999,3,FALSE),"") </f>
        <v/>
      </c>
      <c r="B779" s="15"/>
      <c r="C779" s="16"/>
      <c r="D779" s="89"/>
      <c r="E779" s="89"/>
      <c r="F779" s="85"/>
      <c r="G779" s="81"/>
      <c r="H779" s="85"/>
      <c r="I779" s="85"/>
      <c r="J779" s="85"/>
      <c r="K779" s="85"/>
      <c r="L779" s="85"/>
      <c r="M779" s="85"/>
      <c r="N779" s="66"/>
      <c r="O779" s="66"/>
      <c r="P779" s="66"/>
      <c r="Q779" s="28"/>
      <c r="R779" s="69" t="str">
        <f>IFERROR(__xludf.DUMMYFUNCTION("IF (OR( Q779 = """" , P779 =""""), """" , IF(Q779 = ""Menos de 1 mês"" , ""antes de ""&amp; TO_TEXT( EDATE(P779, 1)), EDATE(P779,Q779)))"),"")</f>
        <v/>
      </c>
      <c r="S779" s="28"/>
      <c r="T779" s="28"/>
      <c r="U779" s="28"/>
      <c r="V779" s="66"/>
      <c r="W779" s="5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</row>
    <row r="780" ht="60.0" customHeight="1">
      <c r="A780" s="14" t="str">
        <f>if(H780&lt;&gt;"",VLOOKUP(H780,ID!$A$2:$C$999,3,FALSE),"") </f>
        <v/>
      </c>
      <c r="B780" s="15"/>
      <c r="C780" s="16"/>
      <c r="D780" s="89"/>
      <c r="E780" s="89"/>
      <c r="F780" s="85"/>
      <c r="G780" s="81"/>
      <c r="H780" s="85"/>
      <c r="I780" s="85"/>
      <c r="J780" s="85"/>
      <c r="K780" s="85"/>
      <c r="L780" s="85"/>
      <c r="M780" s="85"/>
      <c r="N780" s="66"/>
      <c r="O780" s="66"/>
      <c r="P780" s="66"/>
      <c r="Q780" s="28"/>
      <c r="R780" s="69" t="str">
        <f>IFERROR(__xludf.DUMMYFUNCTION("IF (OR( Q780 = """" , P780 =""""), """" , IF(Q780 = ""Menos de 1 mês"" , ""antes de ""&amp; TO_TEXT( EDATE(P780, 1)), EDATE(P780,Q780)))"),"")</f>
        <v/>
      </c>
      <c r="S780" s="28"/>
      <c r="T780" s="28"/>
      <c r="U780" s="28"/>
      <c r="V780" s="66"/>
      <c r="W780" s="5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</row>
    <row r="781" ht="60.0" customHeight="1">
      <c r="A781" s="14" t="str">
        <f>if(H781&lt;&gt;"",VLOOKUP(H781,ID!$A$2:$C$999,3,FALSE),"") </f>
        <v/>
      </c>
      <c r="B781" s="15"/>
      <c r="C781" s="16"/>
      <c r="D781" s="89"/>
      <c r="E781" s="89"/>
      <c r="F781" s="85"/>
      <c r="G781" s="81"/>
      <c r="H781" s="85"/>
      <c r="I781" s="85"/>
      <c r="J781" s="85"/>
      <c r="K781" s="85"/>
      <c r="L781" s="85"/>
      <c r="M781" s="85"/>
      <c r="N781" s="66"/>
      <c r="O781" s="66"/>
      <c r="P781" s="66"/>
      <c r="Q781" s="28"/>
      <c r="R781" s="69" t="str">
        <f>IFERROR(__xludf.DUMMYFUNCTION("IF (OR( Q781 = """" , P781 =""""), """" , IF(Q781 = ""Menos de 1 mês"" , ""antes de ""&amp; TO_TEXT( EDATE(P781, 1)), EDATE(P781,Q781)))"),"")</f>
        <v/>
      </c>
      <c r="S781" s="28"/>
      <c r="T781" s="28"/>
      <c r="U781" s="28"/>
      <c r="V781" s="66"/>
      <c r="W781" s="5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</row>
    <row r="782" ht="60.0" customHeight="1">
      <c r="A782" s="14" t="str">
        <f>if(H782&lt;&gt;"",VLOOKUP(H782,ID!$A$2:$C$999,3,FALSE),"") </f>
        <v/>
      </c>
      <c r="B782" s="15"/>
      <c r="C782" s="16"/>
      <c r="D782" s="89"/>
      <c r="E782" s="89"/>
      <c r="F782" s="85"/>
      <c r="G782" s="81"/>
      <c r="H782" s="85"/>
      <c r="I782" s="85"/>
      <c r="J782" s="85"/>
      <c r="K782" s="85"/>
      <c r="L782" s="85"/>
      <c r="M782" s="85"/>
      <c r="N782" s="66"/>
      <c r="O782" s="66"/>
      <c r="P782" s="66"/>
      <c r="Q782" s="28"/>
      <c r="R782" s="69" t="str">
        <f>IFERROR(__xludf.DUMMYFUNCTION("IF (OR( Q782 = """" , P782 =""""), """" , IF(Q782 = ""Menos de 1 mês"" , ""antes de ""&amp; TO_TEXT( EDATE(P782, 1)), EDATE(P782,Q782)))"),"")</f>
        <v/>
      </c>
      <c r="S782" s="28"/>
      <c r="T782" s="28"/>
      <c r="U782" s="28"/>
      <c r="V782" s="66"/>
      <c r="W782" s="5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</row>
    <row r="783" ht="60.0" customHeight="1">
      <c r="A783" s="14" t="str">
        <f>if(H783&lt;&gt;"",VLOOKUP(H783,ID!$A$2:$C$999,3,FALSE),"") </f>
        <v/>
      </c>
      <c r="B783" s="15"/>
      <c r="C783" s="16"/>
      <c r="D783" s="89"/>
      <c r="E783" s="89"/>
      <c r="F783" s="85"/>
      <c r="G783" s="81"/>
      <c r="H783" s="85"/>
      <c r="I783" s="85"/>
      <c r="J783" s="85"/>
      <c r="K783" s="85"/>
      <c r="L783" s="85"/>
      <c r="M783" s="85"/>
      <c r="N783" s="66"/>
      <c r="O783" s="66"/>
      <c r="P783" s="66"/>
      <c r="Q783" s="28"/>
      <c r="R783" s="69" t="str">
        <f>IFERROR(__xludf.DUMMYFUNCTION("IF (OR( Q783 = """" , P783 =""""), """" , IF(Q783 = ""Menos de 1 mês"" , ""antes de ""&amp; TO_TEXT( EDATE(P783, 1)), EDATE(P783,Q783)))"),"")</f>
        <v/>
      </c>
      <c r="S783" s="28"/>
      <c r="T783" s="28"/>
      <c r="U783" s="28"/>
      <c r="V783" s="66"/>
      <c r="W783" s="5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</row>
    <row r="784" ht="60.0" customHeight="1">
      <c r="A784" s="14" t="str">
        <f>if(H784&lt;&gt;"",VLOOKUP(H784,ID!$A$2:$C$999,3,FALSE),"") </f>
        <v/>
      </c>
      <c r="B784" s="15"/>
      <c r="C784" s="16"/>
      <c r="D784" s="89"/>
      <c r="E784" s="89"/>
      <c r="F784" s="85"/>
      <c r="G784" s="81"/>
      <c r="H784" s="85"/>
      <c r="I784" s="85"/>
      <c r="J784" s="85"/>
      <c r="K784" s="85"/>
      <c r="L784" s="85"/>
      <c r="M784" s="85"/>
      <c r="N784" s="66"/>
      <c r="O784" s="66"/>
      <c r="P784" s="66"/>
      <c r="Q784" s="28"/>
      <c r="R784" s="69" t="str">
        <f>IFERROR(__xludf.DUMMYFUNCTION("IF (OR( Q784 = """" , P784 =""""), """" , IF(Q784 = ""Menos de 1 mês"" , ""antes de ""&amp; TO_TEXT( EDATE(P784, 1)), EDATE(P784,Q784)))"),"")</f>
        <v/>
      </c>
      <c r="S784" s="28"/>
      <c r="T784" s="28"/>
      <c r="U784" s="28"/>
      <c r="V784" s="66"/>
      <c r="W784" s="5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</row>
    <row r="785" ht="60.0" customHeight="1">
      <c r="A785" s="14" t="str">
        <f>if(H785&lt;&gt;"",VLOOKUP(H785,ID!$A$2:$C$999,3,FALSE),"") </f>
        <v/>
      </c>
      <c r="B785" s="15"/>
      <c r="C785" s="16"/>
      <c r="D785" s="89"/>
      <c r="E785" s="89"/>
      <c r="F785" s="85"/>
      <c r="G785" s="81"/>
      <c r="H785" s="85"/>
      <c r="I785" s="85"/>
      <c r="J785" s="85"/>
      <c r="K785" s="85"/>
      <c r="L785" s="85"/>
      <c r="M785" s="85"/>
      <c r="N785" s="66"/>
      <c r="O785" s="66"/>
      <c r="P785" s="66"/>
      <c r="Q785" s="28"/>
      <c r="R785" s="69" t="str">
        <f>IFERROR(__xludf.DUMMYFUNCTION("IF (OR( Q785 = """" , P785 =""""), """" , IF(Q785 = ""Menos de 1 mês"" , ""antes de ""&amp; TO_TEXT( EDATE(P785, 1)), EDATE(P785,Q785)))"),"")</f>
        <v/>
      </c>
      <c r="S785" s="28"/>
      <c r="T785" s="28"/>
      <c r="U785" s="28"/>
      <c r="V785" s="66"/>
      <c r="W785" s="5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</row>
    <row r="786" ht="60.0" customHeight="1">
      <c r="A786" s="14" t="str">
        <f>if(H786&lt;&gt;"",VLOOKUP(H786,ID!$A$2:$C$999,3,FALSE),"") </f>
        <v/>
      </c>
      <c r="B786" s="15"/>
      <c r="C786" s="16"/>
      <c r="D786" s="89"/>
      <c r="E786" s="89"/>
      <c r="F786" s="85"/>
      <c r="G786" s="81"/>
      <c r="H786" s="85"/>
      <c r="I786" s="85"/>
      <c r="J786" s="85"/>
      <c r="K786" s="85"/>
      <c r="L786" s="85"/>
      <c r="M786" s="85"/>
      <c r="N786" s="66"/>
      <c r="O786" s="66"/>
      <c r="P786" s="66"/>
      <c r="Q786" s="28"/>
      <c r="R786" s="69" t="str">
        <f>IFERROR(__xludf.DUMMYFUNCTION("IF (OR( Q786 = """" , P786 =""""), """" , IF(Q786 = ""Menos de 1 mês"" , ""antes de ""&amp; TO_TEXT( EDATE(P786, 1)), EDATE(P786,Q786)))"),"")</f>
        <v/>
      </c>
      <c r="S786" s="28"/>
      <c r="T786" s="28"/>
      <c r="U786" s="28"/>
      <c r="V786" s="66"/>
      <c r="W786" s="5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</row>
    <row r="787" ht="60.0" customHeight="1">
      <c r="A787" s="14" t="str">
        <f>if(H787&lt;&gt;"",VLOOKUP(H787,ID!$A$2:$C$999,3,FALSE),"") </f>
        <v/>
      </c>
      <c r="B787" s="15"/>
      <c r="C787" s="16"/>
      <c r="D787" s="89"/>
      <c r="E787" s="89"/>
      <c r="F787" s="85"/>
      <c r="G787" s="81"/>
      <c r="H787" s="85"/>
      <c r="I787" s="85"/>
      <c r="J787" s="85"/>
      <c r="K787" s="85"/>
      <c r="L787" s="85"/>
      <c r="M787" s="85"/>
      <c r="N787" s="66"/>
      <c r="O787" s="66"/>
      <c r="P787" s="66"/>
      <c r="Q787" s="28"/>
      <c r="R787" s="69" t="str">
        <f>IFERROR(__xludf.DUMMYFUNCTION("IF (OR( Q787 = """" , P787 =""""), """" , IF(Q787 = ""Menos de 1 mês"" , ""antes de ""&amp; TO_TEXT( EDATE(P787, 1)), EDATE(P787,Q787)))"),"")</f>
        <v/>
      </c>
      <c r="S787" s="28"/>
      <c r="T787" s="28"/>
      <c r="U787" s="28"/>
      <c r="V787" s="66"/>
      <c r="W787" s="5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</row>
    <row r="788" ht="60.0" customHeight="1">
      <c r="A788" s="14" t="str">
        <f>if(H788&lt;&gt;"",VLOOKUP(H788,ID!$A$2:$C$999,3,FALSE),"") </f>
        <v/>
      </c>
      <c r="B788" s="15"/>
      <c r="C788" s="16"/>
      <c r="D788" s="89"/>
      <c r="E788" s="89"/>
      <c r="F788" s="85"/>
      <c r="G788" s="81"/>
      <c r="H788" s="85"/>
      <c r="I788" s="85"/>
      <c r="J788" s="85"/>
      <c r="K788" s="85"/>
      <c r="L788" s="85"/>
      <c r="M788" s="85"/>
      <c r="N788" s="66"/>
      <c r="O788" s="66"/>
      <c r="P788" s="66"/>
      <c r="Q788" s="28"/>
      <c r="R788" s="69" t="str">
        <f>IFERROR(__xludf.DUMMYFUNCTION("IF (OR( Q788 = """" , P788 =""""), """" , IF(Q788 = ""Menos de 1 mês"" , ""antes de ""&amp; TO_TEXT( EDATE(P788, 1)), EDATE(P788,Q788)))"),"")</f>
        <v/>
      </c>
      <c r="S788" s="28"/>
      <c r="T788" s="28"/>
      <c r="U788" s="28"/>
      <c r="V788" s="66"/>
      <c r="W788" s="5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</row>
    <row r="789" ht="60.0" customHeight="1">
      <c r="A789" s="14" t="str">
        <f>if(H789&lt;&gt;"",VLOOKUP(H789,ID!$A$2:$C$999,3,FALSE),"") </f>
        <v/>
      </c>
      <c r="B789" s="15"/>
      <c r="C789" s="16"/>
      <c r="D789" s="89"/>
      <c r="E789" s="89"/>
      <c r="F789" s="85"/>
      <c r="G789" s="81"/>
      <c r="H789" s="85"/>
      <c r="I789" s="85"/>
      <c r="J789" s="85"/>
      <c r="K789" s="85"/>
      <c r="L789" s="85"/>
      <c r="M789" s="85"/>
      <c r="N789" s="66"/>
      <c r="O789" s="66"/>
      <c r="P789" s="66"/>
      <c r="Q789" s="28"/>
      <c r="R789" s="69" t="str">
        <f>IFERROR(__xludf.DUMMYFUNCTION("IF (OR( Q789 = """" , P789 =""""), """" , IF(Q789 = ""Menos de 1 mês"" , ""antes de ""&amp; TO_TEXT( EDATE(P789, 1)), EDATE(P789,Q789)))"),"")</f>
        <v/>
      </c>
      <c r="S789" s="28"/>
      <c r="T789" s="28"/>
      <c r="U789" s="28"/>
      <c r="V789" s="66"/>
      <c r="W789" s="5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</row>
    <row r="790" ht="60.0" customHeight="1">
      <c r="A790" s="14" t="str">
        <f>if(H790&lt;&gt;"",VLOOKUP(H790,ID!$A$2:$C$999,3,FALSE),"") </f>
        <v/>
      </c>
      <c r="B790" s="15"/>
      <c r="C790" s="16"/>
      <c r="D790" s="89"/>
      <c r="E790" s="89"/>
      <c r="F790" s="85"/>
      <c r="G790" s="81"/>
      <c r="H790" s="85"/>
      <c r="I790" s="85"/>
      <c r="J790" s="85"/>
      <c r="K790" s="85"/>
      <c r="L790" s="85"/>
      <c r="M790" s="85"/>
      <c r="N790" s="66"/>
      <c r="O790" s="66"/>
      <c r="P790" s="66"/>
      <c r="Q790" s="28"/>
      <c r="R790" s="69" t="str">
        <f>IFERROR(__xludf.DUMMYFUNCTION("IF (OR( Q790 = """" , P790 =""""), """" , IF(Q790 = ""Menos de 1 mês"" , ""antes de ""&amp; TO_TEXT( EDATE(P790, 1)), EDATE(P790,Q790)))"),"")</f>
        <v/>
      </c>
      <c r="S790" s="28"/>
      <c r="T790" s="28"/>
      <c r="U790" s="28"/>
      <c r="V790" s="66"/>
      <c r="W790" s="5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</row>
    <row r="791" ht="60.0" customHeight="1">
      <c r="A791" s="14" t="str">
        <f>if(H791&lt;&gt;"",VLOOKUP(H791,ID!$A$2:$C$999,3,FALSE),"") </f>
        <v/>
      </c>
      <c r="B791" s="15"/>
      <c r="C791" s="16"/>
      <c r="D791" s="89"/>
      <c r="E791" s="89"/>
      <c r="F791" s="85"/>
      <c r="G791" s="81"/>
      <c r="H791" s="85"/>
      <c r="I791" s="85"/>
      <c r="J791" s="85"/>
      <c r="K791" s="85"/>
      <c r="L791" s="85"/>
      <c r="M791" s="85"/>
      <c r="N791" s="66"/>
      <c r="O791" s="66"/>
      <c r="P791" s="66"/>
      <c r="Q791" s="28"/>
      <c r="R791" s="69" t="str">
        <f>IFERROR(__xludf.DUMMYFUNCTION("IF (OR( Q791 = """" , P791 =""""), """" , IF(Q791 = ""Menos de 1 mês"" , ""antes de ""&amp; TO_TEXT( EDATE(P791, 1)), EDATE(P791,Q791)))"),"")</f>
        <v/>
      </c>
      <c r="S791" s="28"/>
      <c r="T791" s="28"/>
      <c r="U791" s="28"/>
      <c r="V791" s="66"/>
      <c r="W791" s="5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</row>
    <row r="792" ht="60.0" customHeight="1">
      <c r="A792" s="14" t="str">
        <f>if(H792&lt;&gt;"",VLOOKUP(H792,ID!$A$2:$C$999,3,FALSE),"") </f>
        <v/>
      </c>
      <c r="B792" s="15"/>
      <c r="C792" s="16"/>
      <c r="D792" s="89"/>
      <c r="E792" s="89"/>
      <c r="F792" s="85"/>
      <c r="G792" s="81"/>
      <c r="H792" s="85"/>
      <c r="I792" s="85"/>
      <c r="J792" s="85"/>
      <c r="K792" s="85"/>
      <c r="L792" s="85"/>
      <c r="M792" s="85"/>
      <c r="N792" s="66"/>
      <c r="O792" s="66"/>
      <c r="P792" s="66"/>
      <c r="Q792" s="28"/>
      <c r="R792" s="69" t="str">
        <f>IFERROR(__xludf.DUMMYFUNCTION("IF (OR( Q792 = """" , P792 =""""), """" , IF(Q792 = ""Menos de 1 mês"" , ""antes de ""&amp; TO_TEXT( EDATE(P792, 1)), EDATE(P792,Q792)))"),"")</f>
        <v/>
      </c>
      <c r="S792" s="28"/>
      <c r="T792" s="28"/>
      <c r="U792" s="28"/>
      <c r="V792" s="66"/>
      <c r="W792" s="5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</row>
    <row r="793" ht="60.0" customHeight="1">
      <c r="A793" s="14" t="str">
        <f>if(H793&lt;&gt;"",VLOOKUP(H793,ID!$A$2:$C$999,3,FALSE),"") </f>
        <v/>
      </c>
      <c r="B793" s="15"/>
      <c r="C793" s="16"/>
      <c r="D793" s="89"/>
      <c r="E793" s="89"/>
      <c r="F793" s="85"/>
      <c r="G793" s="81"/>
      <c r="H793" s="85"/>
      <c r="I793" s="85"/>
      <c r="J793" s="85"/>
      <c r="K793" s="85"/>
      <c r="L793" s="85"/>
      <c r="M793" s="85"/>
      <c r="N793" s="66"/>
      <c r="O793" s="66"/>
      <c r="P793" s="66"/>
      <c r="Q793" s="28"/>
      <c r="R793" s="69" t="str">
        <f>IFERROR(__xludf.DUMMYFUNCTION("IF (OR( Q793 = """" , P793 =""""), """" , IF(Q793 = ""Menos de 1 mês"" , ""antes de ""&amp; TO_TEXT( EDATE(P793, 1)), EDATE(P793,Q793)))"),"")</f>
        <v/>
      </c>
      <c r="S793" s="28"/>
      <c r="T793" s="28"/>
      <c r="U793" s="28"/>
      <c r="V793" s="66"/>
      <c r="W793" s="5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</row>
    <row r="794" ht="60.0" customHeight="1">
      <c r="A794" s="14" t="str">
        <f>if(H794&lt;&gt;"",VLOOKUP(H794,ID!$A$2:$C$999,3,FALSE),"") </f>
        <v/>
      </c>
      <c r="B794" s="15"/>
      <c r="C794" s="16"/>
      <c r="D794" s="89"/>
      <c r="E794" s="89"/>
      <c r="F794" s="85"/>
      <c r="G794" s="81"/>
      <c r="H794" s="85"/>
      <c r="I794" s="85"/>
      <c r="J794" s="85"/>
      <c r="K794" s="85"/>
      <c r="L794" s="85"/>
      <c r="M794" s="85"/>
      <c r="N794" s="66"/>
      <c r="O794" s="66"/>
      <c r="P794" s="66"/>
      <c r="Q794" s="28"/>
      <c r="R794" s="69" t="str">
        <f>IFERROR(__xludf.DUMMYFUNCTION("IF (OR( Q794 = """" , P794 =""""), """" , IF(Q794 = ""Menos de 1 mês"" , ""antes de ""&amp; TO_TEXT( EDATE(P794, 1)), EDATE(P794,Q794)))"),"")</f>
        <v/>
      </c>
      <c r="S794" s="28"/>
      <c r="T794" s="28"/>
      <c r="U794" s="28"/>
      <c r="V794" s="66"/>
      <c r="W794" s="5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</row>
    <row r="795" ht="60.0" customHeight="1">
      <c r="A795" s="14" t="str">
        <f>if(H795&lt;&gt;"",VLOOKUP(H795,ID!$A$2:$C$999,3,FALSE),"") </f>
        <v/>
      </c>
      <c r="B795" s="15"/>
      <c r="C795" s="16"/>
      <c r="D795" s="89"/>
      <c r="E795" s="89"/>
      <c r="F795" s="85"/>
      <c r="G795" s="81"/>
      <c r="H795" s="85"/>
      <c r="I795" s="85"/>
      <c r="J795" s="85"/>
      <c r="K795" s="85"/>
      <c r="L795" s="85"/>
      <c r="M795" s="85"/>
      <c r="N795" s="66"/>
      <c r="O795" s="66"/>
      <c r="P795" s="66"/>
      <c r="Q795" s="28"/>
      <c r="R795" s="69" t="str">
        <f>IFERROR(__xludf.DUMMYFUNCTION("IF (OR( Q795 = """" , P795 =""""), """" , IF(Q795 = ""Menos de 1 mês"" , ""antes de ""&amp; TO_TEXT( EDATE(P795, 1)), EDATE(P795,Q795)))"),"")</f>
        <v/>
      </c>
      <c r="S795" s="28"/>
      <c r="T795" s="28"/>
      <c r="U795" s="28"/>
      <c r="V795" s="66"/>
      <c r="W795" s="5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</row>
    <row r="796" ht="60.0" customHeight="1">
      <c r="A796" s="14" t="str">
        <f>if(H796&lt;&gt;"",VLOOKUP(H796,ID!$A$2:$C$999,3,FALSE),"") </f>
        <v/>
      </c>
      <c r="B796" s="15"/>
      <c r="C796" s="16"/>
      <c r="D796" s="89"/>
      <c r="E796" s="89"/>
      <c r="F796" s="85"/>
      <c r="G796" s="81"/>
      <c r="H796" s="85"/>
      <c r="I796" s="85"/>
      <c r="J796" s="85"/>
      <c r="K796" s="85"/>
      <c r="L796" s="85"/>
      <c r="M796" s="85"/>
      <c r="N796" s="66"/>
      <c r="O796" s="66"/>
      <c r="P796" s="66"/>
      <c r="Q796" s="28"/>
      <c r="R796" s="69" t="str">
        <f>IFERROR(__xludf.DUMMYFUNCTION("IF (OR( Q796 = """" , P796 =""""), """" , IF(Q796 = ""Menos de 1 mês"" , ""antes de ""&amp; TO_TEXT( EDATE(P796, 1)), EDATE(P796,Q796)))"),"")</f>
        <v/>
      </c>
      <c r="S796" s="28"/>
      <c r="T796" s="28"/>
      <c r="U796" s="28"/>
      <c r="V796" s="66"/>
      <c r="W796" s="5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</row>
    <row r="797" ht="60.0" customHeight="1">
      <c r="A797" s="14" t="str">
        <f>if(H797&lt;&gt;"",VLOOKUP(H797,ID!$A$2:$C$999,3,FALSE),"") </f>
        <v/>
      </c>
      <c r="B797" s="15"/>
      <c r="C797" s="16"/>
      <c r="D797" s="89"/>
      <c r="E797" s="89"/>
      <c r="F797" s="85"/>
      <c r="G797" s="81"/>
      <c r="H797" s="85"/>
      <c r="I797" s="85"/>
      <c r="J797" s="85"/>
      <c r="K797" s="85"/>
      <c r="L797" s="85"/>
      <c r="M797" s="85"/>
      <c r="N797" s="66"/>
      <c r="O797" s="66"/>
      <c r="P797" s="66"/>
      <c r="Q797" s="28"/>
      <c r="R797" s="69" t="str">
        <f>IFERROR(__xludf.DUMMYFUNCTION("IF (OR( Q797 = """" , P797 =""""), """" , IF(Q797 = ""Menos de 1 mês"" , ""antes de ""&amp; TO_TEXT( EDATE(P797, 1)), EDATE(P797,Q797)))"),"")</f>
        <v/>
      </c>
      <c r="S797" s="28"/>
      <c r="T797" s="28"/>
      <c r="U797" s="28"/>
      <c r="V797" s="66"/>
      <c r="W797" s="5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</row>
    <row r="798" ht="60.0" customHeight="1">
      <c r="A798" s="14" t="str">
        <f>if(H798&lt;&gt;"",VLOOKUP(H798,ID!$A$2:$C$999,3,FALSE),"") </f>
        <v/>
      </c>
      <c r="B798" s="15"/>
      <c r="C798" s="16"/>
      <c r="D798" s="89"/>
      <c r="E798" s="89"/>
      <c r="F798" s="85"/>
      <c r="G798" s="81"/>
      <c r="H798" s="85"/>
      <c r="I798" s="85"/>
      <c r="J798" s="85"/>
      <c r="K798" s="85"/>
      <c r="L798" s="85"/>
      <c r="M798" s="85"/>
      <c r="N798" s="66"/>
      <c r="O798" s="66"/>
      <c r="P798" s="66"/>
      <c r="Q798" s="28"/>
      <c r="R798" s="69" t="str">
        <f>IFERROR(__xludf.DUMMYFUNCTION("IF (OR( Q798 = """" , P798 =""""), """" , IF(Q798 = ""Menos de 1 mês"" , ""antes de ""&amp; TO_TEXT( EDATE(P798, 1)), EDATE(P798,Q798)))"),"")</f>
        <v/>
      </c>
      <c r="S798" s="28"/>
      <c r="T798" s="28"/>
      <c r="U798" s="28"/>
      <c r="V798" s="66"/>
      <c r="W798" s="5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</row>
    <row r="799" ht="60.0" customHeight="1">
      <c r="A799" s="14" t="str">
        <f>if(H799&lt;&gt;"",VLOOKUP(H799,ID!$A$2:$C$999,3,FALSE),"") </f>
        <v/>
      </c>
      <c r="B799" s="15"/>
      <c r="C799" s="16"/>
      <c r="D799" s="89"/>
      <c r="E799" s="89"/>
      <c r="F799" s="85"/>
      <c r="G799" s="81"/>
      <c r="H799" s="85"/>
      <c r="I799" s="85"/>
      <c r="J799" s="85"/>
      <c r="K799" s="85"/>
      <c r="L799" s="85"/>
      <c r="M799" s="85"/>
      <c r="N799" s="66"/>
      <c r="O799" s="66"/>
      <c r="P799" s="66"/>
      <c r="Q799" s="28"/>
      <c r="R799" s="69" t="str">
        <f>IFERROR(__xludf.DUMMYFUNCTION("IF (OR( Q799 = """" , P799 =""""), """" , IF(Q799 = ""Menos de 1 mês"" , ""antes de ""&amp; TO_TEXT( EDATE(P799, 1)), EDATE(P799,Q799)))"),"")</f>
        <v/>
      </c>
      <c r="S799" s="28"/>
      <c r="T799" s="28"/>
      <c r="U799" s="28"/>
      <c r="V799" s="66"/>
      <c r="W799" s="5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</row>
    <row r="800" ht="60.0" customHeight="1">
      <c r="A800" s="14" t="str">
        <f>if(H800&lt;&gt;"",VLOOKUP(H800,ID!$A$2:$C$999,3,FALSE),"") </f>
        <v/>
      </c>
      <c r="B800" s="15"/>
      <c r="C800" s="16"/>
      <c r="D800" s="89"/>
      <c r="E800" s="89"/>
      <c r="F800" s="85"/>
      <c r="G800" s="81"/>
      <c r="H800" s="85"/>
      <c r="I800" s="85"/>
      <c r="J800" s="85"/>
      <c r="K800" s="85"/>
      <c r="L800" s="85"/>
      <c r="M800" s="85"/>
      <c r="N800" s="66"/>
      <c r="O800" s="66"/>
      <c r="P800" s="66"/>
      <c r="Q800" s="28"/>
      <c r="R800" s="69" t="str">
        <f>IFERROR(__xludf.DUMMYFUNCTION("IF (OR( Q800 = """" , P800 =""""), """" , IF(Q800 = ""Menos de 1 mês"" , ""antes de ""&amp; TO_TEXT( EDATE(P800, 1)), EDATE(P800,Q800)))"),"")</f>
        <v/>
      </c>
      <c r="S800" s="28"/>
      <c r="T800" s="28"/>
      <c r="U800" s="28"/>
      <c r="V800" s="66"/>
      <c r="W800" s="5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</row>
    <row r="801" ht="60.0" customHeight="1">
      <c r="A801" s="14" t="str">
        <f>if(H801&lt;&gt;"",VLOOKUP(H801,ID!$A$2:$C$999,3,FALSE),"") </f>
        <v/>
      </c>
      <c r="B801" s="15"/>
      <c r="C801" s="16"/>
      <c r="D801" s="89"/>
      <c r="E801" s="89"/>
      <c r="F801" s="85"/>
      <c r="G801" s="81"/>
      <c r="H801" s="85"/>
      <c r="I801" s="85"/>
      <c r="J801" s="85"/>
      <c r="K801" s="85"/>
      <c r="L801" s="85"/>
      <c r="M801" s="85"/>
      <c r="N801" s="66"/>
      <c r="O801" s="66"/>
      <c r="P801" s="66"/>
      <c r="Q801" s="28"/>
      <c r="R801" s="69" t="str">
        <f>IFERROR(__xludf.DUMMYFUNCTION("IF (OR( Q801 = """" , P801 =""""), """" , IF(Q801 = ""Menos de 1 mês"" , ""antes de ""&amp; TO_TEXT( EDATE(P801, 1)), EDATE(P801,Q801)))"),"")</f>
        <v/>
      </c>
      <c r="S801" s="28"/>
      <c r="T801" s="28"/>
      <c r="U801" s="28"/>
      <c r="V801" s="66"/>
      <c r="W801" s="5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</row>
    <row r="802" ht="60.0" customHeight="1">
      <c r="A802" s="14" t="str">
        <f>if(H802&lt;&gt;"",VLOOKUP(H802,ID!$A$2:$C$999,3,FALSE),"") </f>
        <v/>
      </c>
      <c r="B802" s="15"/>
      <c r="C802" s="16"/>
      <c r="D802" s="89"/>
      <c r="E802" s="89"/>
      <c r="F802" s="85"/>
      <c r="G802" s="81"/>
      <c r="H802" s="85"/>
      <c r="I802" s="85"/>
      <c r="J802" s="85"/>
      <c r="K802" s="85"/>
      <c r="L802" s="85"/>
      <c r="M802" s="85"/>
      <c r="N802" s="66"/>
      <c r="O802" s="66"/>
      <c r="P802" s="66"/>
      <c r="Q802" s="28"/>
      <c r="R802" s="69" t="str">
        <f>IFERROR(__xludf.DUMMYFUNCTION("IF (OR( Q802 = """" , P802 =""""), """" , IF(Q802 = ""Menos de 1 mês"" , ""antes de ""&amp; TO_TEXT( EDATE(P802, 1)), EDATE(P802,Q802)))"),"")</f>
        <v/>
      </c>
      <c r="S802" s="28"/>
      <c r="T802" s="28"/>
      <c r="U802" s="28"/>
      <c r="V802" s="66"/>
      <c r="W802" s="5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</row>
    <row r="803" ht="60.0" customHeight="1">
      <c r="A803" s="14" t="str">
        <f>if(H803&lt;&gt;"",VLOOKUP(H803,ID!$A$2:$C$999,3,FALSE),"") </f>
        <v/>
      </c>
      <c r="B803" s="15"/>
      <c r="C803" s="16"/>
      <c r="D803" s="89"/>
      <c r="E803" s="89"/>
      <c r="F803" s="85"/>
      <c r="G803" s="81"/>
      <c r="H803" s="85"/>
      <c r="I803" s="85"/>
      <c r="J803" s="85"/>
      <c r="K803" s="85"/>
      <c r="L803" s="85"/>
      <c r="M803" s="85"/>
      <c r="N803" s="66"/>
      <c r="O803" s="66"/>
      <c r="P803" s="66"/>
      <c r="Q803" s="28"/>
      <c r="R803" s="69" t="str">
        <f>IFERROR(__xludf.DUMMYFUNCTION("IF (OR( Q803 = """" , P803 =""""), """" , IF(Q803 = ""Menos de 1 mês"" , ""antes de ""&amp; TO_TEXT( EDATE(P803, 1)), EDATE(P803,Q803)))"),"")</f>
        <v/>
      </c>
      <c r="S803" s="28"/>
      <c r="T803" s="28"/>
      <c r="U803" s="28"/>
      <c r="V803" s="66"/>
      <c r="W803" s="5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</row>
    <row r="804" ht="60.0" customHeight="1">
      <c r="A804" s="14" t="str">
        <f>if(H804&lt;&gt;"",VLOOKUP(H804,ID!$A$2:$C$999,3,FALSE),"") </f>
        <v/>
      </c>
      <c r="B804" s="15"/>
      <c r="C804" s="16"/>
      <c r="D804" s="89"/>
      <c r="E804" s="89"/>
      <c r="F804" s="85"/>
      <c r="G804" s="81"/>
      <c r="H804" s="85"/>
      <c r="I804" s="85"/>
      <c r="J804" s="85"/>
      <c r="K804" s="85"/>
      <c r="L804" s="85"/>
      <c r="M804" s="85"/>
      <c r="N804" s="66"/>
      <c r="O804" s="66"/>
      <c r="P804" s="66"/>
      <c r="Q804" s="28"/>
      <c r="R804" s="69" t="str">
        <f>IFERROR(__xludf.DUMMYFUNCTION("IF (OR( Q804 = """" , P804 =""""), """" , IF(Q804 = ""Menos de 1 mês"" , ""antes de ""&amp; TO_TEXT( EDATE(P804, 1)), EDATE(P804,Q804)))"),"")</f>
        <v/>
      </c>
      <c r="S804" s="28"/>
      <c r="T804" s="28"/>
      <c r="U804" s="28"/>
      <c r="V804" s="66"/>
      <c r="W804" s="5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</row>
    <row r="805" ht="60.0" customHeight="1">
      <c r="A805" s="14" t="str">
        <f>if(H805&lt;&gt;"",VLOOKUP(H805,ID!$A$2:$C$999,3,FALSE),"") </f>
        <v/>
      </c>
      <c r="B805" s="15"/>
      <c r="C805" s="16"/>
      <c r="D805" s="89"/>
      <c r="E805" s="89"/>
      <c r="F805" s="85"/>
      <c r="G805" s="81"/>
      <c r="H805" s="85"/>
      <c r="I805" s="85"/>
      <c r="J805" s="85"/>
      <c r="K805" s="85"/>
      <c r="L805" s="85"/>
      <c r="M805" s="85"/>
      <c r="N805" s="66"/>
      <c r="O805" s="66"/>
      <c r="P805" s="66"/>
      <c r="Q805" s="28"/>
      <c r="R805" s="69" t="str">
        <f>IFERROR(__xludf.DUMMYFUNCTION("IF (OR( Q805 = """" , P805 =""""), """" , IF(Q805 = ""Menos de 1 mês"" , ""antes de ""&amp; TO_TEXT( EDATE(P805, 1)), EDATE(P805,Q805)))"),"")</f>
        <v/>
      </c>
      <c r="S805" s="28"/>
      <c r="T805" s="28"/>
      <c r="U805" s="28"/>
      <c r="V805" s="66"/>
      <c r="W805" s="5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</row>
    <row r="806" ht="60.0" customHeight="1">
      <c r="A806" s="14" t="str">
        <f>if(H806&lt;&gt;"",VLOOKUP(H806,ID!$A$2:$C$999,3,FALSE),"") </f>
        <v/>
      </c>
      <c r="B806" s="15"/>
      <c r="C806" s="16"/>
      <c r="D806" s="89"/>
      <c r="E806" s="89"/>
      <c r="F806" s="85"/>
      <c r="G806" s="81"/>
      <c r="H806" s="85"/>
      <c r="I806" s="85"/>
      <c r="J806" s="85"/>
      <c r="K806" s="85"/>
      <c r="L806" s="85"/>
      <c r="M806" s="85"/>
      <c r="N806" s="66"/>
      <c r="O806" s="66"/>
      <c r="P806" s="66"/>
      <c r="Q806" s="28"/>
      <c r="R806" s="69" t="str">
        <f>IFERROR(__xludf.DUMMYFUNCTION("IF (OR( Q806 = """" , P806 =""""), """" , IF(Q806 = ""Menos de 1 mês"" , ""antes de ""&amp; TO_TEXT( EDATE(P806, 1)), EDATE(P806,Q806)))"),"")</f>
        <v/>
      </c>
      <c r="S806" s="28"/>
      <c r="T806" s="28"/>
      <c r="U806" s="28"/>
      <c r="V806" s="66"/>
      <c r="W806" s="5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</row>
    <row r="807" ht="60.0" customHeight="1">
      <c r="A807" s="14" t="str">
        <f>if(H807&lt;&gt;"",VLOOKUP(H807,ID!$A$2:$C$999,3,FALSE),"") </f>
        <v/>
      </c>
      <c r="B807" s="15"/>
      <c r="C807" s="16"/>
      <c r="D807" s="89"/>
      <c r="E807" s="89"/>
      <c r="F807" s="85"/>
      <c r="G807" s="81"/>
      <c r="H807" s="85"/>
      <c r="I807" s="85"/>
      <c r="J807" s="85"/>
      <c r="K807" s="85"/>
      <c r="L807" s="85"/>
      <c r="M807" s="85"/>
      <c r="N807" s="66"/>
      <c r="O807" s="66"/>
      <c r="P807" s="66"/>
      <c r="Q807" s="28"/>
      <c r="R807" s="69" t="str">
        <f>IFERROR(__xludf.DUMMYFUNCTION("IF (OR( Q807 = """" , P807 =""""), """" , IF(Q807 = ""Menos de 1 mês"" , ""antes de ""&amp; TO_TEXT( EDATE(P807, 1)), EDATE(P807,Q807)))"),"")</f>
        <v/>
      </c>
      <c r="S807" s="28"/>
      <c r="T807" s="28"/>
      <c r="U807" s="28"/>
      <c r="V807" s="66"/>
      <c r="W807" s="5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</row>
    <row r="808" ht="60.0" customHeight="1">
      <c r="A808" s="14" t="str">
        <f>if(H808&lt;&gt;"",VLOOKUP(H808,ID!$A$2:$C$999,3,FALSE),"") </f>
        <v/>
      </c>
      <c r="B808" s="15"/>
      <c r="C808" s="16"/>
      <c r="D808" s="89"/>
      <c r="E808" s="89"/>
      <c r="F808" s="85"/>
      <c r="G808" s="81"/>
      <c r="H808" s="85"/>
      <c r="I808" s="85"/>
      <c r="J808" s="85"/>
      <c r="K808" s="85"/>
      <c r="L808" s="85"/>
      <c r="M808" s="85"/>
      <c r="N808" s="66"/>
      <c r="O808" s="66"/>
      <c r="P808" s="66"/>
      <c r="Q808" s="28"/>
      <c r="R808" s="69" t="str">
        <f>IFERROR(__xludf.DUMMYFUNCTION("IF (OR( Q808 = """" , P808 =""""), """" , IF(Q808 = ""Menos de 1 mês"" , ""antes de ""&amp; TO_TEXT( EDATE(P808, 1)), EDATE(P808,Q808)))"),"")</f>
        <v/>
      </c>
      <c r="S808" s="28"/>
      <c r="T808" s="28"/>
      <c r="U808" s="28"/>
      <c r="V808" s="66"/>
      <c r="W808" s="5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</row>
    <row r="809" ht="60.0" customHeight="1">
      <c r="A809" s="14" t="str">
        <f>if(H809&lt;&gt;"",VLOOKUP(H809,ID!$A$2:$C$999,3,FALSE),"") </f>
        <v/>
      </c>
      <c r="B809" s="15"/>
      <c r="C809" s="16"/>
      <c r="D809" s="89"/>
      <c r="E809" s="89"/>
      <c r="F809" s="85"/>
      <c r="G809" s="81"/>
      <c r="H809" s="85"/>
      <c r="I809" s="85"/>
      <c r="J809" s="85"/>
      <c r="K809" s="85"/>
      <c r="L809" s="85"/>
      <c r="M809" s="85"/>
      <c r="N809" s="66"/>
      <c r="O809" s="66"/>
      <c r="P809" s="66"/>
      <c r="Q809" s="28"/>
      <c r="R809" s="69" t="str">
        <f>IFERROR(__xludf.DUMMYFUNCTION("IF (OR( Q809 = """" , P809 =""""), """" , IF(Q809 = ""Menos de 1 mês"" , ""antes de ""&amp; TO_TEXT( EDATE(P809, 1)), EDATE(P809,Q809)))"),"")</f>
        <v/>
      </c>
      <c r="S809" s="28"/>
      <c r="T809" s="28"/>
      <c r="U809" s="28"/>
      <c r="V809" s="66"/>
      <c r="W809" s="5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</row>
    <row r="810" ht="60.0" customHeight="1">
      <c r="A810" s="14" t="str">
        <f>if(H810&lt;&gt;"",VLOOKUP(H810,ID!$A$2:$C$999,3,FALSE),"") </f>
        <v/>
      </c>
      <c r="B810" s="15"/>
      <c r="C810" s="16"/>
      <c r="D810" s="89"/>
      <c r="E810" s="89"/>
      <c r="F810" s="85"/>
      <c r="G810" s="81"/>
      <c r="H810" s="85"/>
      <c r="I810" s="85"/>
      <c r="J810" s="85"/>
      <c r="K810" s="85"/>
      <c r="L810" s="85"/>
      <c r="M810" s="85"/>
      <c r="N810" s="66"/>
      <c r="O810" s="66"/>
      <c r="P810" s="66"/>
      <c r="Q810" s="28"/>
      <c r="R810" s="69" t="str">
        <f>IFERROR(__xludf.DUMMYFUNCTION("IF (OR( Q810 = """" , P810 =""""), """" , IF(Q810 = ""Menos de 1 mês"" , ""antes de ""&amp; TO_TEXT( EDATE(P810, 1)), EDATE(P810,Q810)))"),"")</f>
        <v/>
      </c>
      <c r="S810" s="28"/>
      <c r="T810" s="28"/>
      <c r="U810" s="28"/>
      <c r="V810" s="66"/>
      <c r="W810" s="5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</row>
    <row r="811" ht="60.0" customHeight="1">
      <c r="A811" s="14" t="str">
        <f>if(H811&lt;&gt;"",VLOOKUP(H811,ID!$A$2:$C$999,3,FALSE),"") </f>
        <v/>
      </c>
      <c r="B811" s="15"/>
      <c r="C811" s="16"/>
      <c r="D811" s="89"/>
      <c r="E811" s="89"/>
      <c r="F811" s="85"/>
      <c r="G811" s="81"/>
      <c r="H811" s="85"/>
      <c r="I811" s="85"/>
      <c r="J811" s="85"/>
      <c r="K811" s="85"/>
      <c r="L811" s="85"/>
      <c r="M811" s="85"/>
      <c r="N811" s="66"/>
      <c r="O811" s="66"/>
      <c r="P811" s="66"/>
      <c r="Q811" s="28"/>
      <c r="R811" s="69" t="str">
        <f>IFERROR(__xludf.DUMMYFUNCTION("IF (OR( Q811 = """" , P811 =""""), """" , IF(Q811 = ""Menos de 1 mês"" , ""antes de ""&amp; TO_TEXT( EDATE(P811, 1)), EDATE(P811,Q811)))"),"")</f>
        <v/>
      </c>
      <c r="S811" s="28"/>
      <c r="T811" s="28"/>
      <c r="U811" s="28"/>
      <c r="V811" s="66"/>
      <c r="W811" s="5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</row>
    <row r="812" ht="60.0" customHeight="1">
      <c r="A812" s="14" t="str">
        <f>if(H812&lt;&gt;"",VLOOKUP(H812,ID!$A$2:$C$999,3,FALSE),"") </f>
        <v/>
      </c>
      <c r="B812" s="15"/>
      <c r="C812" s="16"/>
      <c r="D812" s="89"/>
      <c r="E812" s="89"/>
      <c r="F812" s="85"/>
      <c r="G812" s="81"/>
      <c r="H812" s="85"/>
      <c r="I812" s="85"/>
      <c r="J812" s="85"/>
      <c r="K812" s="85"/>
      <c r="L812" s="85"/>
      <c r="M812" s="85"/>
      <c r="N812" s="66"/>
      <c r="O812" s="66"/>
      <c r="P812" s="66"/>
      <c r="Q812" s="28"/>
      <c r="R812" s="69" t="str">
        <f>IFERROR(__xludf.DUMMYFUNCTION("IF (OR( Q812 = """" , P812 =""""), """" , IF(Q812 = ""Menos de 1 mês"" , ""antes de ""&amp; TO_TEXT( EDATE(P812, 1)), EDATE(P812,Q812)))"),"")</f>
        <v/>
      </c>
      <c r="S812" s="28"/>
      <c r="T812" s="28"/>
      <c r="U812" s="28"/>
      <c r="V812" s="66"/>
      <c r="W812" s="5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</row>
    <row r="813" ht="60.0" customHeight="1">
      <c r="A813" s="14" t="str">
        <f>if(H813&lt;&gt;"",VLOOKUP(H813,ID!$A$2:$C$999,3,FALSE),"") </f>
        <v/>
      </c>
      <c r="B813" s="15"/>
      <c r="C813" s="16"/>
      <c r="D813" s="89"/>
      <c r="E813" s="89"/>
      <c r="F813" s="85"/>
      <c r="G813" s="81"/>
      <c r="H813" s="85"/>
      <c r="I813" s="85"/>
      <c r="J813" s="85"/>
      <c r="K813" s="85"/>
      <c r="L813" s="85"/>
      <c r="M813" s="85"/>
      <c r="N813" s="66"/>
      <c r="O813" s="66"/>
      <c r="P813" s="66"/>
      <c r="Q813" s="28"/>
      <c r="R813" s="69" t="str">
        <f>IFERROR(__xludf.DUMMYFUNCTION("IF (OR( Q813 = """" , P813 =""""), """" , IF(Q813 = ""Menos de 1 mês"" , ""antes de ""&amp; TO_TEXT( EDATE(P813, 1)), EDATE(P813,Q813)))"),"")</f>
        <v/>
      </c>
      <c r="S813" s="28"/>
      <c r="T813" s="28"/>
      <c r="U813" s="28"/>
      <c r="V813" s="66"/>
      <c r="W813" s="5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</row>
    <row r="814" ht="60.0" customHeight="1">
      <c r="A814" s="14" t="str">
        <f>if(H814&lt;&gt;"",VLOOKUP(H814,ID!$A$2:$C$999,3,FALSE),"") </f>
        <v/>
      </c>
      <c r="B814" s="15"/>
      <c r="C814" s="16"/>
      <c r="D814" s="89"/>
      <c r="E814" s="89"/>
      <c r="F814" s="85"/>
      <c r="G814" s="81"/>
      <c r="H814" s="85"/>
      <c r="I814" s="85"/>
      <c r="J814" s="85"/>
      <c r="K814" s="85"/>
      <c r="L814" s="85"/>
      <c r="M814" s="85"/>
      <c r="N814" s="66"/>
      <c r="O814" s="66"/>
      <c r="P814" s="66"/>
      <c r="Q814" s="28"/>
      <c r="R814" s="69" t="str">
        <f>IFERROR(__xludf.DUMMYFUNCTION("IF (OR( Q814 = """" , P814 =""""), """" , IF(Q814 = ""Menos de 1 mês"" , ""antes de ""&amp; TO_TEXT( EDATE(P814, 1)), EDATE(P814,Q814)))"),"")</f>
        <v/>
      </c>
      <c r="S814" s="28"/>
      <c r="T814" s="28"/>
      <c r="U814" s="28"/>
      <c r="V814" s="66"/>
      <c r="W814" s="5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</row>
    <row r="815" ht="60.0" customHeight="1">
      <c r="A815" s="14" t="str">
        <f>if(H815&lt;&gt;"",VLOOKUP(H815,ID!$A$2:$C$999,3,FALSE),"") </f>
        <v/>
      </c>
      <c r="B815" s="15"/>
      <c r="C815" s="16"/>
      <c r="D815" s="89"/>
      <c r="E815" s="89"/>
      <c r="F815" s="85"/>
      <c r="G815" s="81"/>
      <c r="H815" s="85"/>
      <c r="I815" s="85"/>
      <c r="J815" s="85"/>
      <c r="K815" s="85"/>
      <c r="L815" s="85"/>
      <c r="M815" s="85"/>
      <c r="N815" s="66"/>
      <c r="O815" s="66"/>
      <c r="P815" s="66"/>
      <c r="Q815" s="28"/>
      <c r="R815" s="69" t="str">
        <f>IFERROR(__xludf.DUMMYFUNCTION("IF (OR( Q815 = """" , P815 =""""), """" , IF(Q815 = ""Menos de 1 mês"" , ""antes de ""&amp; TO_TEXT( EDATE(P815, 1)), EDATE(P815,Q815)))"),"")</f>
        <v/>
      </c>
      <c r="S815" s="28"/>
      <c r="T815" s="28"/>
      <c r="U815" s="28"/>
      <c r="V815" s="66"/>
      <c r="W815" s="5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</row>
    <row r="816" ht="60.0" customHeight="1">
      <c r="A816" s="14" t="str">
        <f>if(H816&lt;&gt;"",VLOOKUP(H816,ID!$A$2:$C$999,3,FALSE),"") </f>
        <v/>
      </c>
      <c r="B816" s="15"/>
      <c r="C816" s="16"/>
      <c r="D816" s="89"/>
      <c r="E816" s="89"/>
      <c r="F816" s="85"/>
      <c r="G816" s="81"/>
      <c r="H816" s="85"/>
      <c r="I816" s="85"/>
      <c r="J816" s="85"/>
      <c r="K816" s="85"/>
      <c r="L816" s="85"/>
      <c r="M816" s="85"/>
      <c r="N816" s="66"/>
      <c r="O816" s="66"/>
      <c r="P816" s="66"/>
      <c r="Q816" s="28"/>
      <c r="R816" s="69" t="str">
        <f>IFERROR(__xludf.DUMMYFUNCTION("IF (OR( Q816 = """" , P816 =""""), """" , IF(Q816 = ""Menos de 1 mês"" , ""antes de ""&amp; TO_TEXT( EDATE(P816, 1)), EDATE(P816,Q816)))"),"")</f>
        <v/>
      </c>
      <c r="S816" s="28"/>
      <c r="T816" s="28"/>
      <c r="U816" s="28"/>
      <c r="V816" s="66"/>
      <c r="W816" s="5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</row>
    <row r="817" ht="60.0" customHeight="1">
      <c r="A817" s="14" t="str">
        <f>if(H817&lt;&gt;"",VLOOKUP(H817,ID!$A$2:$C$999,3,FALSE),"") </f>
        <v/>
      </c>
      <c r="B817" s="15"/>
      <c r="C817" s="16"/>
      <c r="D817" s="89"/>
      <c r="E817" s="89"/>
      <c r="F817" s="85"/>
      <c r="G817" s="81"/>
      <c r="H817" s="85"/>
      <c r="I817" s="85"/>
      <c r="J817" s="85"/>
      <c r="K817" s="85"/>
      <c r="L817" s="85"/>
      <c r="M817" s="85"/>
      <c r="N817" s="66"/>
      <c r="O817" s="66"/>
      <c r="P817" s="66"/>
      <c r="Q817" s="28"/>
      <c r="R817" s="69" t="str">
        <f>IFERROR(__xludf.DUMMYFUNCTION("IF (OR( Q817 = """" , P817 =""""), """" , IF(Q817 = ""Menos de 1 mês"" , ""antes de ""&amp; TO_TEXT( EDATE(P817, 1)), EDATE(P817,Q817)))"),"")</f>
        <v/>
      </c>
      <c r="S817" s="28"/>
      <c r="T817" s="28"/>
      <c r="U817" s="28"/>
      <c r="V817" s="66"/>
      <c r="W817" s="5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</row>
    <row r="818" ht="60.0" customHeight="1">
      <c r="A818" s="14" t="str">
        <f>if(H818&lt;&gt;"",VLOOKUP(H818,ID!$A$2:$C$999,3,FALSE),"") </f>
        <v/>
      </c>
      <c r="B818" s="15"/>
      <c r="C818" s="16"/>
      <c r="D818" s="89"/>
      <c r="E818" s="89"/>
      <c r="F818" s="85"/>
      <c r="G818" s="81"/>
      <c r="H818" s="85"/>
      <c r="I818" s="85"/>
      <c r="J818" s="85"/>
      <c r="K818" s="85"/>
      <c r="L818" s="85"/>
      <c r="M818" s="85"/>
      <c r="N818" s="66"/>
      <c r="O818" s="66"/>
      <c r="P818" s="66"/>
      <c r="Q818" s="28"/>
      <c r="R818" s="69" t="str">
        <f>IFERROR(__xludf.DUMMYFUNCTION("IF (OR( Q818 = """" , P818 =""""), """" , IF(Q818 = ""Menos de 1 mês"" , ""antes de ""&amp; TO_TEXT( EDATE(P818, 1)), EDATE(P818,Q818)))"),"")</f>
        <v/>
      </c>
      <c r="S818" s="28"/>
      <c r="T818" s="28"/>
      <c r="U818" s="28"/>
      <c r="V818" s="66"/>
      <c r="W818" s="5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</row>
    <row r="819" ht="60.0" customHeight="1">
      <c r="A819" s="14" t="str">
        <f>if(H819&lt;&gt;"",VLOOKUP(H819,ID!$A$2:$C$999,3,FALSE),"") </f>
        <v/>
      </c>
      <c r="B819" s="15"/>
      <c r="C819" s="16"/>
      <c r="D819" s="89"/>
      <c r="E819" s="89"/>
      <c r="F819" s="85"/>
      <c r="G819" s="81"/>
      <c r="H819" s="85"/>
      <c r="I819" s="85"/>
      <c r="J819" s="85"/>
      <c r="K819" s="85"/>
      <c r="L819" s="85"/>
      <c r="M819" s="85"/>
      <c r="N819" s="66"/>
      <c r="O819" s="66"/>
      <c r="P819" s="66"/>
      <c r="Q819" s="28"/>
      <c r="R819" s="69" t="str">
        <f>IFERROR(__xludf.DUMMYFUNCTION("IF (OR( Q819 = """" , P819 =""""), """" , IF(Q819 = ""Menos de 1 mês"" , ""antes de ""&amp; TO_TEXT( EDATE(P819, 1)), EDATE(P819,Q819)))"),"")</f>
        <v/>
      </c>
      <c r="S819" s="28"/>
      <c r="T819" s="28"/>
      <c r="U819" s="28"/>
      <c r="V819" s="66"/>
      <c r="W819" s="5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</row>
    <row r="820" ht="60.0" customHeight="1">
      <c r="A820" s="14" t="str">
        <f>if(H820&lt;&gt;"",VLOOKUP(H820,ID!$A$2:$C$999,3,FALSE),"") </f>
        <v/>
      </c>
      <c r="B820" s="15"/>
      <c r="C820" s="16"/>
      <c r="D820" s="89"/>
      <c r="E820" s="89"/>
      <c r="F820" s="85"/>
      <c r="G820" s="81"/>
      <c r="H820" s="85"/>
      <c r="I820" s="85"/>
      <c r="J820" s="85"/>
      <c r="K820" s="85"/>
      <c r="L820" s="85"/>
      <c r="M820" s="85"/>
      <c r="N820" s="66"/>
      <c r="O820" s="66"/>
      <c r="P820" s="66"/>
      <c r="Q820" s="28"/>
      <c r="R820" s="69" t="str">
        <f>IFERROR(__xludf.DUMMYFUNCTION("IF (OR( Q820 = """" , P820 =""""), """" , IF(Q820 = ""Menos de 1 mês"" , ""antes de ""&amp; TO_TEXT( EDATE(P820, 1)), EDATE(P820,Q820)))"),"")</f>
        <v/>
      </c>
      <c r="S820" s="28"/>
      <c r="T820" s="28"/>
      <c r="U820" s="28"/>
      <c r="V820" s="66"/>
      <c r="W820" s="5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</row>
    <row r="821" ht="60.0" customHeight="1">
      <c r="A821" s="14" t="str">
        <f>if(H821&lt;&gt;"",VLOOKUP(H821,ID!$A$2:$C$999,3,FALSE),"") </f>
        <v/>
      </c>
      <c r="B821" s="15"/>
      <c r="C821" s="16"/>
      <c r="D821" s="89"/>
      <c r="E821" s="89"/>
      <c r="F821" s="85"/>
      <c r="G821" s="81"/>
      <c r="H821" s="85"/>
      <c r="I821" s="85"/>
      <c r="J821" s="85"/>
      <c r="K821" s="85"/>
      <c r="L821" s="85"/>
      <c r="M821" s="85"/>
      <c r="N821" s="66"/>
      <c r="O821" s="66"/>
      <c r="P821" s="66"/>
      <c r="Q821" s="28"/>
      <c r="R821" s="69" t="str">
        <f>IFERROR(__xludf.DUMMYFUNCTION("IF (OR( Q821 = """" , P821 =""""), """" , IF(Q821 = ""Menos de 1 mês"" , ""antes de ""&amp; TO_TEXT( EDATE(P821, 1)), EDATE(P821,Q821)))"),"")</f>
        <v/>
      </c>
      <c r="S821" s="28"/>
      <c r="T821" s="28"/>
      <c r="U821" s="28"/>
      <c r="V821" s="66"/>
      <c r="W821" s="5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</row>
    <row r="822" ht="60.0" customHeight="1">
      <c r="A822" s="14" t="str">
        <f>if(H822&lt;&gt;"",VLOOKUP(H822,ID!$A$2:$C$999,3,FALSE),"") </f>
        <v/>
      </c>
      <c r="B822" s="15"/>
      <c r="C822" s="16"/>
      <c r="D822" s="89"/>
      <c r="E822" s="89"/>
      <c r="F822" s="85"/>
      <c r="G822" s="81"/>
      <c r="H822" s="85"/>
      <c r="I822" s="85"/>
      <c r="J822" s="85"/>
      <c r="K822" s="85"/>
      <c r="L822" s="85"/>
      <c r="M822" s="85"/>
      <c r="N822" s="66"/>
      <c r="O822" s="66"/>
      <c r="P822" s="66"/>
      <c r="Q822" s="28"/>
      <c r="R822" s="69" t="str">
        <f>IFERROR(__xludf.DUMMYFUNCTION("IF (OR( Q822 = """" , P822 =""""), """" , IF(Q822 = ""Menos de 1 mês"" , ""antes de ""&amp; TO_TEXT( EDATE(P822, 1)), EDATE(P822,Q822)))"),"")</f>
        <v/>
      </c>
      <c r="S822" s="28"/>
      <c r="T822" s="28"/>
      <c r="U822" s="28"/>
      <c r="V822" s="66"/>
      <c r="W822" s="5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</row>
    <row r="823" ht="60.0" customHeight="1">
      <c r="A823" s="14" t="str">
        <f>if(H823&lt;&gt;"",VLOOKUP(H823,ID!$A$2:$C$999,3,FALSE),"") </f>
        <v/>
      </c>
      <c r="B823" s="15"/>
      <c r="C823" s="16"/>
      <c r="D823" s="89"/>
      <c r="E823" s="89"/>
      <c r="F823" s="85"/>
      <c r="G823" s="81"/>
      <c r="H823" s="85"/>
      <c r="I823" s="85"/>
      <c r="J823" s="85"/>
      <c r="K823" s="85"/>
      <c r="L823" s="85"/>
      <c r="M823" s="85"/>
      <c r="N823" s="66"/>
      <c r="O823" s="66"/>
      <c r="P823" s="66"/>
      <c r="Q823" s="28"/>
      <c r="R823" s="69" t="str">
        <f>IFERROR(__xludf.DUMMYFUNCTION("IF (OR( Q823 = """" , P823 =""""), """" , IF(Q823 = ""Menos de 1 mês"" , ""antes de ""&amp; TO_TEXT( EDATE(P823, 1)), EDATE(P823,Q823)))"),"")</f>
        <v/>
      </c>
      <c r="S823" s="28"/>
      <c r="T823" s="28"/>
      <c r="U823" s="28"/>
      <c r="V823" s="66"/>
      <c r="W823" s="5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</row>
    <row r="824" ht="60.0" customHeight="1">
      <c r="A824" s="14" t="str">
        <f>if(H824&lt;&gt;"",VLOOKUP(H824,ID!$A$2:$C$999,3,FALSE),"") </f>
        <v/>
      </c>
      <c r="B824" s="15"/>
      <c r="C824" s="16"/>
      <c r="D824" s="89"/>
      <c r="E824" s="89"/>
      <c r="F824" s="85"/>
      <c r="G824" s="81"/>
      <c r="H824" s="85"/>
      <c r="I824" s="85"/>
      <c r="J824" s="85"/>
      <c r="K824" s="85"/>
      <c r="L824" s="85"/>
      <c r="M824" s="85"/>
      <c r="N824" s="66"/>
      <c r="O824" s="66"/>
      <c r="P824" s="66"/>
      <c r="Q824" s="28"/>
      <c r="R824" s="69" t="str">
        <f>IFERROR(__xludf.DUMMYFUNCTION("IF (OR( Q824 = """" , P824 =""""), """" , IF(Q824 = ""Menos de 1 mês"" , ""antes de ""&amp; TO_TEXT( EDATE(P824, 1)), EDATE(P824,Q824)))"),"")</f>
        <v/>
      </c>
      <c r="S824" s="28"/>
      <c r="T824" s="28"/>
      <c r="U824" s="28"/>
      <c r="V824" s="66"/>
      <c r="W824" s="5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</row>
    <row r="825" ht="60.0" customHeight="1">
      <c r="A825" s="14" t="str">
        <f>if(H825&lt;&gt;"",VLOOKUP(H825,ID!$A$2:$C$999,3,FALSE),"") </f>
        <v/>
      </c>
      <c r="B825" s="15"/>
      <c r="C825" s="16"/>
      <c r="D825" s="89"/>
      <c r="E825" s="89"/>
      <c r="F825" s="85"/>
      <c r="G825" s="81"/>
      <c r="H825" s="85"/>
      <c r="I825" s="85"/>
      <c r="J825" s="85"/>
      <c r="K825" s="85"/>
      <c r="L825" s="85"/>
      <c r="M825" s="85"/>
      <c r="N825" s="66"/>
      <c r="O825" s="66"/>
      <c r="P825" s="66"/>
      <c r="Q825" s="28"/>
      <c r="R825" s="69" t="str">
        <f>IFERROR(__xludf.DUMMYFUNCTION("IF (OR( Q825 = """" , P825 =""""), """" , IF(Q825 = ""Menos de 1 mês"" , ""antes de ""&amp; TO_TEXT( EDATE(P825, 1)), EDATE(P825,Q825)))"),"")</f>
        <v/>
      </c>
      <c r="S825" s="28"/>
      <c r="T825" s="28"/>
      <c r="U825" s="28"/>
      <c r="V825" s="66"/>
      <c r="W825" s="5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</row>
    <row r="826" ht="60.0" customHeight="1">
      <c r="A826" s="14" t="str">
        <f>if(H826&lt;&gt;"",VLOOKUP(H826,ID!$A$2:$C$999,3,FALSE),"") </f>
        <v/>
      </c>
      <c r="B826" s="15"/>
      <c r="C826" s="16"/>
      <c r="D826" s="89"/>
      <c r="E826" s="89"/>
      <c r="F826" s="85"/>
      <c r="G826" s="81"/>
      <c r="H826" s="85"/>
      <c r="I826" s="85"/>
      <c r="J826" s="85"/>
      <c r="K826" s="85"/>
      <c r="L826" s="85"/>
      <c r="M826" s="85"/>
      <c r="N826" s="66"/>
      <c r="O826" s="66"/>
      <c r="P826" s="66"/>
      <c r="Q826" s="28"/>
      <c r="R826" s="69" t="str">
        <f>IFERROR(__xludf.DUMMYFUNCTION("IF (OR( Q826 = """" , P826 =""""), """" , IF(Q826 = ""Menos de 1 mês"" , ""antes de ""&amp; TO_TEXT( EDATE(P826, 1)), EDATE(P826,Q826)))"),"")</f>
        <v/>
      </c>
      <c r="S826" s="28"/>
      <c r="T826" s="28"/>
      <c r="U826" s="28"/>
      <c r="V826" s="66"/>
      <c r="W826" s="5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</row>
    <row r="827" ht="60.0" customHeight="1">
      <c r="A827" s="14" t="str">
        <f>if(H827&lt;&gt;"",VLOOKUP(H827,ID!$A$2:$C$999,3,FALSE),"") </f>
        <v/>
      </c>
      <c r="B827" s="15"/>
      <c r="C827" s="16"/>
      <c r="D827" s="89"/>
      <c r="E827" s="89"/>
      <c r="F827" s="85"/>
      <c r="G827" s="81"/>
      <c r="H827" s="85"/>
      <c r="I827" s="85"/>
      <c r="J827" s="85"/>
      <c r="K827" s="85"/>
      <c r="L827" s="85"/>
      <c r="M827" s="85"/>
      <c r="N827" s="66"/>
      <c r="O827" s="66"/>
      <c r="P827" s="66"/>
      <c r="Q827" s="28"/>
      <c r="R827" s="69" t="str">
        <f>IFERROR(__xludf.DUMMYFUNCTION("IF (OR( Q827 = """" , P827 =""""), """" , IF(Q827 = ""Menos de 1 mês"" , ""antes de ""&amp; TO_TEXT( EDATE(P827, 1)), EDATE(P827,Q827)))"),"")</f>
        <v/>
      </c>
      <c r="S827" s="28"/>
      <c r="T827" s="28"/>
      <c r="U827" s="28"/>
      <c r="V827" s="66"/>
      <c r="W827" s="5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</row>
    <row r="828" ht="60.0" customHeight="1">
      <c r="A828" s="14" t="str">
        <f>if(H828&lt;&gt;"",VLOOKUP(H828,ID!$A$2:$C$999,3,FALSE),"") </f>
        <v/>
      </c>
      <c r="B828" s="15"/>
      <c r="C828" s="16"/>
      <c r="D828" s="89"/>
      <c r="E828" s="89"/>
      <c r="F828" s="85"/>
      <c r="G828" s="81"/>
      <c r="H828" s="85"/>
      <c r="I828" s="85"/>
      <c r="J828" s="85"/>
      <c r="K828" s="85"/>
      <c r="L828" s="85"/>
      <c r="M828" s="85"/>
      <c r="N828" s="66"/>
      <c r="O828" s="66"/>
      <c r="P828" s="66"/>
      <c r="Q828" s="28"/>
      <c r="R828" s="69" t="str">
        <f>IFERROR(__xludf.DUMMYFUNCTION("IF (OR( Q828 = """" , P828 =""""), """" , IF(Q828 = ""Menos de 1 mês"" , ""antes de ""&amp; TO_TEXT( EDATE(P828, 1)), EDATE(P828,Q828)))"),"")</f>
        <v/>
      </c>
      <c r="S828" s="28"/>
      <c r="T828" s="28"/>
      <c r="U828" s="28"/>
      <c r="V828" s="66"/>
      <c r="W828" s="5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</row>
    <row r="829" ht="60.0" customHeight="1">
      <c r="A829" s="14" t="str">
        <f>if(H829&lt;&gt;"",VLOOKUP(H829,ID!$A$2:$C$999,3,FALSE),"") </f>
        <v/>
      </c>
      <c r="B829" s="15"/>
      <c r="C829" s="16"/>
      <c r="D829" s="89"/>
      <c r="E829" s="89"/>
      <c r="F829" s="85"/>
      <c r="G829" s="81"/>
      <c r="H829" s="85"/>
      <c r="I829" s="85"/>
      <c r="J829" s="85"/>
      <c r="K829" s="85"/>
      <c r="L829" s="85"/>
      <c r="M829" s="85"/>
      <c r="N829" s="66"/>
      <c r="O829" s="66"/>
      <c r="P829" s="66"/>
      <c r="Q829" s="28"/>
      <c r="R829" s="69" t="str">
        <f>IFERROR(__xludf.DUMMYFUNCTION("IF (OR( Q829 = """" , P829 =""""), """" , IF(Q829 = ""Menos de 1 mês"" , ""antes de ""&amp; TO_TEXT( EDATE(P829, 1)), EDATE(P829,Q829)))"),"")</f>
        <v/>
      </c>
      <c r="S829" s="28"/>
      <c r="T829" s="28"/>
      <c r="U829" s="28"/>
      <c r="V829" s="66"/>
      <c r="W829" s="5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</row>
    <row r="830" ht="60.0" customHeight="1">
      <c r="A830" s="14" t="str">
        <f>if(H830&lt;&gt;"",VLOOKUP(H830,ID!$A$2:$C$999,3,FALSE),"") </f>
        <v/>
      </c>
      <c r="B830" s="15"/>
      <c r="C830" s="16"/>
      <c r="D830" s="89"/>
      <c r="E830" s="89"/>
      <c r="F830" s="85"/>
      <c r="G830" s="81"/>
      <c r="H830" s="85"/>
      <c r="I830" s="85"/>
      <c r="J830" s="85"/>
      <c r="K830" s="85"/>
      <c r="L830" s="85"/>
      <c r="M830" s="85"/>
      <c r="N830" s="66"/>
      <c r="O830" s="66"/>
      <c r="P830" s="66"/>
      <c r="Q830" s="28"/>
      <c r="R830" s="69" t="str">
        <f>IFERROR(__xludf.DUMMYFUNCTION("IF (OR( Q830 = """" , P830 =""""), """" , IF(Q830 = ""Menos de 1 mês"" , ""antes de ""&amp; TO_TEXT( EDATE(P830, 1)), EDATE(P830,Q830)))"),"")</f>
        <v/>
      </c>
      <c r="S830" s="28"/>
      <c r="T830" s="28"/>
      <c r="U830" s="28"/>
      <c r="V830" s="66"/>
      <c r="W830" s="5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</row>
    <row r="831" ht="60.0" customHeight="1">
      <c r="A831" s="14" t="str">
        <f>if(H831&lt;&gt;"",VLOOKUP(H831,ID!$A$2:$C$999,3,FALSE),"") </f>
        <v/>
      </c>
      <c r="B831" s="15"/>
      <c r="C831" s="16"/>
      <c r="D831" s="89"/>
      <c r="E831" s="89"/>
      <c r="F831" s="85"/>
      <c r="G831" s="81"/>
      <c r="H831" s="85"/>
      <c r="I831" s="85"/>
      <c r="J831" s="85"/>
      <c r="K831" s="85"/>
      <c r="L831" s="85"/>
      <c r="M831" s="85"/>
      <c r="N831" s="66"/>
      <c r="O831" s="66"/>
      <c r="P831" s="66"/>
      <c r="Q831" s="28"/>
      <c r="R831" s="69" t="str">
        <f>IFERROR(__xludf.DUMMYFUNCTION("IF (OR( Q831 = """" , P831 =""""), """" , IF(Q831 = ""Menos de 1 mês"" , ""antes de ""&amp; TO_TEXT( EDATE(P831, 1)), EDATE(P831,Q831)))"),"")</f>
        <v/>
      </c>
      <c r="S831" s="28"/>
      <c r="T831" s="28"/>
      <c r="U831" s="28"/>
      <c r="V831" s="66"/>
      <c r="W831" s="5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</row>
    <row r="832" ht="60.0" customHeight="1">
      <c r="A832" s="14" t="str">
        <f>if(H832&lt;&gt;"",VLOOKUP(H832,ID!$A$2:$C$999,3,FALSE),"") </f>
        <v/>
      </c>
      <c r="B832" s="15"/>
      <c r="C832" s="16"/>
      <c r="D832" s="89"/>
      <c r="E832" s="89"/>
      <c r="F832" s="85"/>
      <c r="G832" s="81"/>
      <c r="H832" s="85"/>
      <c r="I832" s="85"/>
      <c r="J832" s="85"/>
      <c r="K832" s="85"/>
      <c r="L832" s="85"/>
      <c r="M832" s="85"/>
      <c r="N832" s="66"/>
      <c r="O832" s="66"/>
      <c r="P832" s="66"/>
      <c r="Q832" s="28"/>
      <c r="R832" s="69" t="str">
        <f>IFERROR(__xludf.DUMMYFUNCTION("IF (OR( Q832 = """" , P832 =""""), """" , IF(Q832 = ""Menos de 1 mês"" , ""antes de ""&amp; TO_TEXT( EDATE(P832, 1)), EDATE(P832,Q832)))"),"")</f>
        <v/>
      </c>
      <c r="S832" s="28"/>
      <c r="T832" s="28"/>
      <c r="U832" s="28"/>
      <c r="V832" s="66"/>
      <c r="W832" s="5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</row>
    <row r="833" ht="60.0" customHeight="1">
      <c r="A833" s="14" t="str">
        <f>if(H833&lt;&gt;"",VLOOKUP(H833,ID!$A$2:$C$999,3,FALSE),"") </f>
        <v/>
      </c>
      <c r="B833" s="15"/>
      <c r="C833" s="16"/>
      <c r="D833" s="89"/>
      <c r="E833" s="89"/>
      <c r="F833" s="85"/>
      <c r="G833" s="81"/>
      <c r="H833" s="85"/>
      <c r="I833" s="85"/>
      <c r="J833" s="85"/>
      <c r="K833" s="85"/>
      <c r="L833" s="85"/>
      <c r="M833" s="85"/>
      <c r="N833" s="66"/>
      <c r="O833" s="66"/>
      <c r="P833" s="66"/>
      <c r="Q833" s="28"/>
      <c r="R833" s="69" t="str">
        <f>IFERROR(__xludf.DUMMYFUNCTION("IF (OR( Q833 = """" , P833 =""""), """" , IF(Q833 = ""Menos de 1 mês"" , ""antes de ""&amp; TO_TEXT( EDATE(P833, 1)), EDATE(P833,Q833)))"),"")</f>
        <v/>
      </c>
      <c r="S833" s="28"/>
      <c r="T833" s="28"/>
      <c r="U833" s="28"/>
      <c r="V833" s="66"/>
      <c r="W833" s="5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</row>
    <row r="834" ht="60.0" customHeight="1">
      <c r="A834" s="14" t="str">
        <f>if(H834&lt;&gt;"",VLOOKUP(H834,ID!$A$2:$C$999,3,FALSE),"") </f>
        <v/>
      </c>
      <c r="B834" s="15"/>
      <c r="C834" s="16"/>
      <c r="D834" s="89"/>
      <c r="E834" s="89"/>
      <c r="F834" s="85"/>
      <c r="G834" s="81"/>
      <c r="H834" s="85"/>
      <c r="I834" s="85"/>
      <c r="J834" s="85"/>
      <c r="K834" s="85"/>
      <c r="L834" s="85"/>
      <c r="M834" s="85"/>
      <c r="N834" s="66"/>
      <c r="O834" s="66"/>
      <c r="P834" s="66"/>
      <c r="Q834" s="28"/>
      <c r="R834" s="69" t="str">
        <f>IFERROR(__xludf.DUMMYFUNCTION("IF (OR( Q834 = """" , P834 =""""), """" , IF(Q834 = ""Menos de 1 mês"" , ""antes de ""&amp; TO_TEXT( EDATE(P834, 1)), EDATE(P834,Q834)))"),"")</f>
        <v/>
      </c>
      <c r="S834" s="28"/>
      <c r="T834" s="28"/>
      <c r="U834" s="28"/>
      <c r="V834" s="66"/>
      <c r="W834" s="5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</row>
    <row r="835" ht="60.0" customHeight="1">
      <c r="A835" s="14" t="str">
        <f>if(H835&lt;&gt;"",VLOOKUP(H835,ID!$A$2:$C$999,3,FALSE),"") </f>
        <v/>
      </c>
      <c r="B835" s="15"/>
      <c r="C835" s="16"/>
      <c r="D835" s="89"/>
      <c r="E835" s="89"/>
      <c r="F835" s="85"/>
      <c r="G835" s="81"/>
      <c r="H835" s="85"/>
      <c r="I835" s="85"/>
      <c r="J835" s="85"/>
      <c r="K835" s="85"/>
      <c r="L835" s="85"/>
      <c r="M835" s="85"/>
      <c r="N835" s="66"/>
      <c r="O835" s="66"/>
      <c r="P835" s="66"/>
      <c r="Q835" s="28"/>
      <c r="R835" s="69" t="str">
        <f>IFERROR(__xludf.DUMMYFUNCTION("IF (OR( Q835 = """" , P835 =""""), """" , IF(Q835 = ""Menos de 1 mês"" , ""antes de ""&amp; TO_TEXT( EDATE(P835, 1)), EDATE(P835,Q835)))"),"")</f>
        <v/>
      </c>
      <c r="S835" s="28"/>
      <c r="T835" s="28"/>
      <c r="U835" s="28"/>
      <c r="V835" s="66"/>
      <c r="W835" s="5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</row>
    <row r="836" ht="60.0" customHeight="1">
      <c r="A836" s="14" t="str">
        <f>if(H836&lt;&gt;"",VLOOKUP(H836,ID!$A$2:$C$999,3,FALSE),"") </f>
        <v/>
      </c>
      <c r="B836" s="15"/>
      <c r="C836" s="16"/>
      <c r="D836" s="89"/>
      <c r="E836" s="89"/>
      <c r="F836" s="85"/>
      <c r="G836" s="81"/>
      <c r="H836" s="85"/>
      <c r="I836" s="85"/>
      <c r="J836" s="85"/>
      <c r="K836" s="85"/>
      <c r="L836" s="85"/>
      <c r="M836" s="85"/>
      <c r="N836" s="66"/>
      <c r="O836" s="66"/>
      <c r="P836" s="66"/>
      <c r="Q836" s="28"/>
      <c r="R836" s="69" t="str">
        <f>IFERROR(__xludf.DUMMYFUNCTION("IF (OR( Q836 = """" , P836 =""""), """" , IF(Q836 = ""Menos de 1 mês"" , ""antes de ""&amp; TO_TEXT( EDATE(P836, 1)), EDATE(P836,Q836)))"),"")</f>
        <v/>
      </c>
      <c r="S836" s="28"/>
      <c r="T836" s="28"/>
      <c r="U836" s="28"/>
      <c r="V836" s="66"/>
      <c r="W836" s="5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</row>
    <row r="837" ht="60.0" customHeight="1">
      <c r="A837" s="14" t="str">
        <f>if(H837&lt;&gt;"",VLOOKUP(H837,ID!$A$2:$C$999,3,FALSE),"") </f>
        <v/>
      </c>
      <c r="B837" s="15"/>
      <c r="C837" s="16"/>
      <c r="D837" s="89"/>
      <c r="E837" s="89"/>
      <c r="F837" s="85"/>
      <c r="G837" s="81"/>
      <c r="H837" s="85"/>
      <c r="I837" s="85"/>
      <c r="J837" s="85"/>
      <c r="K837" s="85"/>
      <c r="L837" s="85"/>
      <c r="M837" s="85"/>
      <c r="N837" s="66"/>
      <c r="O837" s="66"/>
      <c r="P837" s="66"/>
      <c r="Q837" s="28"/>
      <c r="R837" s="69" t="str">
        <f>IFERROR(__xludf.DUMMYFUNCTION("IF (OR( Q837 = """" , P837 =""""), """" , IF(Q837 = ""Menos de 1 mês"" , ""antes de ""&amp; TO_TEXT( EDATE(P837, 1)), EDATE(P837,Q837)))"),"")</f>
        <v/>
      </c>
      <c r="S837" s="28"/>
      <c r="T837" s="28"/>
      <c r="U837" s="28"/>
      <c r="V837" s="66"/>
      <c r="W837" s="5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</row>
    <row r="838" ht="60.0" customHeight="1">
      <c r="A838" s="14" t="str">
        <f>if(H838&lt;&gt;"",VLOOKUP(H838,ID!$A$2:$C$999,3,FALSE),"") </f>
        <v/>
      </c>
      <c r="B838" s="15"/>
      <c r="C838" s="16"/>
      <c r="D838" s="89"/>
      <c r="E838" s="89"/>
      <c r="F838" s="85"/>
      <c r="G838" s="81"/>
      <c r="H838" s="85"/>
      <c r="I838" s="85"/>
      <c r="J838" s="85"/>
      <c r="K838" s="85"/>
      <c r="L838" s="85"/>
      <c r="M838" s="85"/>
      <c r="N838" s="66"/>
      <c r="O838" s="66"/>
      <c r="P838" s="66"/>
      <c r="Q838" s="28"/>
      <c r="R838" s="69" t="str">
        <f>IFERROR(__xludf.DUMMYFUNCTION("IF (OR( Q838 = """" , P838 =""""), """" , IF(Q838 = ""Menos de 1 mês"" , ""antes de ""&amp; TO_TEXT( EDATE(P838, 1)), EDATE(P838,Q838)))"),"")</f>
        <v/>
      </c>
      <c r="S838" s="28"/>
      <c r="T838" s="28"/>
      <c r="U838" s="28"/>
      <c r="V838" s="66"/>
      <c r="W838" s="5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</row>
    <row r="839" ht="60.0" customHeight="1">
      <c r="A839" s="14" t="str">
        <f>if(H839&lt;&gt;"",VLOOKUP(H839,ID!$A$2:$C$999,3,FALSE),"") </f>
        <v/>
      </c>
      <c r="B839" s="15"/>
      <c r="C839" s="16"/>
      <c r="D839" s="89"/>
      <c r="E839" s="89"/>
      <c r="F839" s="85"/>
      <c r="G839" s="81"/>
      <c r="H839" s="85"/>
      <c r="I839" s="85"/>
      <c r="J839" s="85"/>
      <c r="K839" s="85"/>
      <c r="L839" s="85"/>
      <c r="M839" s="85"/>
      <c r="N839" s="66"/>
      <c r="O839" s="66"/>
      <c r="P839" s="66"/>
      <c r="Q839" s="28"/>
      <c r="R839" s="69" t="str">
        <f>IFERROR(__xludf.DUMMYFUNCTION("IF (OR( Q839 = """" , P839 =""""), """" , IF(Q839 = ""Menos de 1 mês"" , ""antes de ""&amp; TO_TEXT( EDATE(P839, 1)), EDATE(P839,Q839)))"),"")</f>
        <v/>
      </c>
      <c r="S839" s="28"/>
      <c r="T839" s="28"/>
      <c r="U839" s="28"/>
      <c r="V839" s="66"/>
      <c r="W839" s="5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</row>
    <row r="840" ht="60.0" customHeight="1">
      <c r="A840" s="14" t="str">
        <f>if(H840&lt;&gt;"",VLOOKUP(H840,ID!$A$2:$C$999,3,FALSE),"") </f>
        <v/>
      </c>
      <c r="B840" s="15"/>
      <c r="C840" s="16"/>
      <c r="D840" s="89"/>
      <c r="E840" s="89"/>
      <c r="F840" s="85"/>
      <c r="G840" s="81"/>
      <c r="H840" s="85"/>
      <c r="I840" s="85"/>
      <c r="J840" s="85"/>
      <c r="K840" s="85"/>
      <c r="L840" s="85"/>
      <c r="M840" s="85"/>
      <c r="N840" s="66"/>
      <c r="O840" s="66"/>
      <c r="P840" s="66"/>
      <c r="Q840" s="28"/>
      <c r="R840" s="69" t="str">
        <f>IFERROR(__xludf.DUMMYFUNCTION("IF (OR( Q840 = """" , P840 =""""), """" , IF(Q840 = ""Menos de 1 mês"" , ""antes de ""&amp; TO_TEXT( EDATE(P840, 1)), EDATE(P840,Q840)))"),"")</f>
        <v/>
      </c>
      <c r="S840" s="28"/>
      <c r="T840" s="28"/>
      <c r="U840" s="28"/>
      <c r="V840" s="66"/>
      <c r="W840" s="5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</row>
    <row r="841" ht="60.0" customHeight="1">
      <c r="A841" s="14" t="str">
        <f>if(H841&lt;&gt;"",VLOOKUP(H841,ID!$A$2:$C$999,3,FALSE),"") </f>
        <v/>
      </c>
      <c r="B841" s="15"/>
      <c r="C841" s="16"/>
      <c r="D841" s="89"/>
      <c r="E841" s="89"/>
      <c r="F841" s="85"/>
      <c r="G841" s="81"/>
      <c r="H841" s="85"/>
      <c r="I841" s="85"/>
      <c r="J841" s="85"/>
      <c r="K841" s="85"/>
      <c r="L841" s="85"/>
      <c r="M841" s="85"/>
      <c r="N841" s="66"/>
      <c r="O841" s="66"/>
      <c r="P841" s="66"/>
      <c r="Q841" s="28"/>
      <c r="R841" s="69" t="str">
        <f>IFERROR(__xludf.DUMMYFUNCTION("IF (OR( Q841 = """" , P841 =""""), """" , IF(Q841 = ""Menos de 1 mês"" , ""antes de ""&amp; TO_TEXT( EDATE(P841, 1)), EDATE(P841,Q841)))"),"")</f>
        <v/>
      </c>
      <c r="S841" s="28"/>
      <c r="T841" s="28"/>
      <c r="U841" s="28"/>
      <c r="V841" s="66"/>
      <c r="W841" s="5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</row>
    <row r="842" ht="60.0" customHeight="1">
      <c r="A842" s="14" t="str">
        <f>if(H842&lt;&gt;"",VLOOKUP(H842,ID!$A$2:$C$999,3,FALSE),"") </f>
        <v/>
      </c>
      <c r="B842" s="15"/>
      <c r="C842" s="16"/>
      <c r="D842" s="89"/>
      <c r="E842" s="89"/>
      <c r="F842" s="85"/>
      <c r="G842" s="81"/>
      <c r="H842" s="85"/>
      <c r="I842" s="85"/>
      <c r="J842" s="85"/>
      <c r="K842" s="85"/>
      <c r="L842" s="85"/>
      <c r="M842" s="85"/>
      <c r="N842" s="66"/>
      <c r="O842" s="66"/>
      <c r="P842" s="66"/>
      <c r="Q842" s="28"/>
      <c r="R842" s="69" t="str">
        <f>IFERROR(__xludf.DUMMYFUNCTION("IF (OR( Q842 = """" , P842 =""""), """" , IF(Q842 = ""Menos de 1 mês"" , ""antes de ""&amp; TO_TEXT( EDATE(P842, 1)), EDATE(P842,Q842)))"),"")</f>
        <v/>
      </c>
      <c r="S842" s="28"/>
      <c r="T842" s="28"/>
      <c r="U842" s="28"/>
      <c r="V842" s="66"/>
      <c r="W842" s="5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</row>
    <row r="843" ht="60.0" customHeight="1">
      <c r="A843" s="14" t="str">
        <f>if(H843&lt;&gt;"",VLOOKUP(H843,ID!$A$2:$C$999,3,FALSE),"") </f>
        <v/>
      </c>
      <c r="B843" s="15"/>
      <c r="C843" s="16"/>
      <c r="D843" s="89"/>
      <c r="E843" s="89"/>
      <c r="F843" s="85"/>
      <c r="G843" s="81"/>
      <c r="H843" s="85"/>
      <c r="I843" s="85"/>
      <c r="J843" s="85"/>
      <c r="K843" s="85"/>
      <c r="L843" s="85"/>
      <c r="M843" s="85"/>
      <c r="N843" s="66"/>
      <c r="O843" s="66"/>
      <c r="P843" s="66"/>
      <c r="Q843" s="28"/>
      <c r="R843" s="69" t="str">
        <f>IFERROR(__xludf.DUMMYFUNCTION("IF (OR( Q843 = """" , P843 =""""), """" , IF(Q843 = ""Menos de 1 mês"" , ""antes de ""&amp; TO_TEXT( EDATE(P843, 1)), EDATE(P843,Q843)))"),"")</f>
        <v/>
      </c>
      <c r="S843" s="28"/>
      <c r="T843" s="28"/>
      <c r="U843" s="28"/>
      <c r="V843" s="66"/>
      <c r="W843" s="5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</row>
    <row r="844" ht="60.0" customHeight="1">
      <c r="A844" s="14" t="str">
        <f>if(H844&lt;&gt;"",VLOOKUP(H844,ID!$A$2:$C$999,3,FALSE),"") </f>
        <v/>
      </c>
      <c r="B844" s="15"/>
      <c r="C844" s="16"/>
      <c r="D844" s="89"/>
      <c r="E844" s="89"/>
      <c r="F844" s="85"/>
      <c r="G844" s="81"/>
      <c r="H844" s="85"/>
      <c r="I844" s="85"/>
      <c r="J844" s="85"/>
      <c r="K844" s="85"/>
      <c r="L844" s="85"/>
      <c r="M844" s="85"/>
      <c r="N844" s="66"/>
      <c r="O844" s="66"/>
      <c r="P844" s="66"/>
      <c r="Q844" s="28"/>
      <c r="R844" s="69" t="str">
        <f>IFERROR(__xludf.DUMMYFUNCTION("IF (OR( Q844 = """" , P844 =""""), """" , IF(Q844 = ""Menos de 1 mês"" , ""antes de ""&amp; TO_TEXT( EDATE(P844, 1)), EDATE(P844,Q844)))"),"")</f>
        <v/>
      </c>
      <c r="S844" s="28"/>
      <c r="T844" s="28"/>
      <c r="U844" s="28"/>
      <c r="V844" s="66"/>
      <c r="W844" s="5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</row>
    <row r="845" ht="60.0" customHeight="1">
      <c r="A845" s="14" t="str">
        <f>if(H845&lt;&gt;"",VLOOKUP(H845,ID!$A$2:$C$999,3,FALSE),"") </f>
        <v/>
      </c>
      <c r="B845" s="15"/>
      <c r="C845" s="16"/>
      <c r="D845" s="89"/>
      <c r="E845" s="89"/>
      <c r="F845" s="85"/>
      <c r="G845" s="81"/>
      <c r="H845" s="85"/>
      <c r="I845" s="85"/>
      <c r="J845" s="85"/>
      <c r="K845" s="85"/>
      <c r="L845" s="85"/>
      <c r="M845" s="85"/>
      <c r="N845" s="66"/>
      <c r="O845" s="66"/>
      <c r="P845" s="66"/>
      <c r="Q845" s="28"/>
      <c r="R845" s="69" t="str">
        <f>IFERROR(__xludf.DUMMYFUNCTION("IF (OR( Q845 = """" , P845 =""""), """" , IF(Q845 = ""Menos de 1 mês"" , ""antes de ""&amp; TO_TEXT( EDATE(P845, 1)), EDATE(P845,Q845)))"),"")</f>
        <v/>
      </c>
      <c r="S845" s="28"/>
      <c r="T845" s="28"/>
      <c r="U845" s="28"/>
      <c r="V845" s="66"/>
      <c r="W845" s="5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</row>
    <row r="846" ht="60.0" customHeight="1">
      <c r="A846" s="14" t="str">
        <f>if(H846&lt;&gt;"",VLOOKUP(H846,ID!$A$2:$C$999,3,FALSE),"") </f>
        <v/>
      </c>
      <c r="B846" s="15"/>
      <c r="C846" s="16"/>
      <c r="D846" s="89"/>
      <c r="E846" s="89"/>
      <c r="F846" s="85"/>
      <c r="G846" s="81"/>
      <c r="H846" s="85"/>
      <c r="I846" s="85"/>
      <c r="J846" s="85"/>
      <c r="K846" s="85"/>
      <c r="L846" s="85"/>
      <c r="M846" s="85"/>
      <c r="N846" s="66"/>
      <c r="O846" s="66"/>
      <c r="P846" s="66"/>
      <c r="Q846" s="28"/>
      <c r="R846" s="69" t="str">
        <f>IFERROR(__xludf.DUMMYFUNCTION("IF (OR( Q846 = """" , P846 =""""), """" , IF(Q846 = ""Menos de 1 mês"" , ""antes de ""&amp; TO_TEXT( EDATE(P846, 1)), EDATE(P846,Q846)))"),"")</f>
        <v/>
      </c>
      <c r="S846" s="28"/>
      <c r="T846" s="28"/>
      <c r="U846" s="28"/>
      <c r="V846" s="66"/>
      <c r="W846" s="5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</row>
    <row r="847" ht="60.0" customHeight="1">
      <c r="A847" s="14" t="str">
        <f>if(H847&lt;&gt;"",VLOOKUP(H847,ID!$A$2:$C$999,3,FALSE),"") </f>
        <v/>
      </c>
      <c r="B847" s="15"/>
      <c r="C847" s="16"/>
      <c r="D847" s="89"/>
      <c r="E847" s="89"/>
      <c r="F847" s="85"/>
      <c r="G847" s="81"/>
      <c r="H847" s="85"/>
      <c r="I847" s="85"/>
      <c r="J847" s="85"/>
      <c r="K847" s="85"/>
      <c r="L847" s="85"/>
      <c r="M847" s="85"/>
      <c r="N847" s="66"/>
      <c r="O847" s="66"/>
      <c r="P847" s="66"/>
      <c r="Q847" s="28"/>
      <c r="R847" s="69" t="str">
        <f>IFERROR(__xludf.DUMMYFUNCTION("IF (OR( Q847 = """" , P847 =""""), """" , IF(Q847 = ""Menos de 1 mês"" , ""antes de ""&amp; TO_TEXT( EDATE(P847, 1)), EDATE(P847,Q847)))"),"")</f>
        <v/>
      </c>
      <c r="S847" s="28"/>
      <c r="T847" s="28"/>
      <c r="U847" s="28"/>
      <c r="V847" s="66"/>
      <c r="W847" s="5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</row>
    <row r="848" ht="60.0" customHeight="1">
      <c r="A848" s="14" t="str">
        <f>if(H848&lt;&gt;"",VLOOKUP(H848,ID!$A$2:$C$999,3,FALSE),"") </f>
        <v/>
      </c>
      <c r="B848" s="15"/>
      <c r="C848" s="16"/>
      <c r="D848" s="89"/>
      <c r="E848" s="89"/>
      <c r="F848" s="85"/>
      <c r="G848" s="81"/>
      <c r="H848" s="85"/>
      <c r="I848" s="85"/>
      <c r="J848" s="85"/>
      <c r="K848" s="85"/>
      <c r="L848" s="85"/>
      <c r="M848" s="85"/>
      <c r="N848" s="66"/>
      <c r="O848" s="66"/>
      <c r="P848" s="66"/>
      <c r="Q848" s="28"/>
      <c r="R848" s="69" t="str">
        <f>IFERROR(__xludf.DUMMYFUNCTION("IF (OR( Q848 = """" , P848 =""""), """" , IF(Q848 = ""Menos de 1 mês"" , ""antes de ""&amp; TO_TEXT( EDATE(P848, 1)), EDATE(P848,Q848)))"),"")</f>
        <v/>
      </c>
      <c r="S848" s="28"/>
      <c r="T848" s="28"/>
      <c r="U848" s="28"/>
      <c r="V848" s="66"/>
      <c r="W848" s="5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</row>
    <row r="849" ht="60.0" customHeight="1">
      <c r="A849" s="14" t="str">
        <f>if(H849&lt;&gt;"",VLOOKUP(H849,ID!$A$2:$C$999,3,FALSE),"") </f>
        <v/>
      </c>
      <c r="B849" s="15"/>
      <c r="C849" s="16"/>
      <c r="D849" s="89"/>
      <c r="E849" s="89"/>
      <c r="F849" s="85"/>
      <c r="G849" s="81"/>
      <c r="H849" s="85"/>
      <c r="I849" s="85"/>
      <c r="J849" s="85"/>
      <c r="K849" s="85"/>
      <c r="L849" s="85"/>
      <c r="M849" s="85"/>
      <c r="N849" s="66"/>
      <c r="O849" s="66"/>
      <c r="P849" s="66"/>
      <c r="Q849" s="28"/>
      <c r="R849" s="69" t="str">
        <f>IFERROR(__xludf.DUMMYFUNCTION("IF (OR( Q849 = """" , P849 =""""), """" , IF(Q849 = ""Menos de 1 mês"" , ""antes de ""&amp; TO_TEXT( EDATE(P849, 1)), EDATE(P849,Q849)))"),"")</f>
        <v/>
      </c>
      <c r="S849" s="28"/>
      <c r="T849" s="28"/>
      <c r="U849" s="28"/>
      <c r="V849" s="66"/>
      <c r="W849" s="5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</row>
    <row r="850" ht="60.0" customHeight="1">
      <c r="A850" s="14" t="str">
        <f>if(H850&lt;&gt;"",VLOOKUP(H850,ID!$A$2:$C$999,3,FALSE),"") </f>
        <v/>
      </c>
      <c r="B850" s="15"/>
      <c r="C850" s="16"/>
      <c r="D850" s="89"/>
      <c r="E850" s="89"/>
      <c r="F850" s="85"/>
      <c r="G850" s="81"/>
      <c r="H850" s="85"/>
      <c r="I850" s="85"/>
      <c r="J850" s="85"/>
      <c r="K850" s="85"/>
      <c r="L850" s="85"/>
      <c r="M850" s="85"/>
      <c r="N850" s="66"/>
      <c r="O850" s="66"/>
      <c r="P850" s="66"/>
      <c r="Q850" s="28"/>
      <c r="R850" s="69" t="str">
        <f>IFERROR(__xludf.DUMMYFUNCTION("IF (OR( Q850 = """" , P850 =""""), """" , IF(Q850 = ""Menos de 1 mês"" , ""antes de ""&amp; TO_TEXT( EDATE(P850, 1)), EDATE(P850,Q850)))"),"")</f>
        <v/>
      </c>
      <c r="S850" s="28"/>
      <c r="T850" s="28"/>
      <c r="U850" s="28"/>
      <c r="V850" s="66"/>
      <c r="W850" s="5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</row>
    <row r="851" ht="60.0" customHeight="1">
      <c r="A851" s="14" t="str">
        <f>if(H851&lt;&gt;"",VLOOKUP(H851,ID!$A$2:$C$999,3,FALSE),"") </f>
        <v/>
      </c>
      <c r="B851" s="15"/>
      <c r="C851" s="16"/>
      <c r="D851" s="89"/>
      <c r="E851" s="89"/>
      <c r="F851" s="85"/>
      <c r="G851" s="81"/>
      <c r="H851" s="85"/>
      <c r="I851" s="85"/>
      <c r="J851" s="85"/>
      <c r="K851" s="85"/>
      <c r="L851" s="85"/>
      <c r="M851" s="85"/>
      <c r="N851" s="66"/>
      <c r="O851" s="66"/>
      <c r="P851" s="66"/>
      <c r="Q851" s="28"/>
      <c r="R851" s="69" t="str">
        <f>IFERROR(__xludf.DUMMYFUNCTION("IF (OR( Q851 = """" , P851 =""""), """" , IF(Q851 = ""Menos de 1 mês"" , ""antes de ""&amp; TO_TEXT( EDATE(P851, 1)), EDATE(P851,Q851)))"),"")</f>
        <v/>
      </c>
      <c r="S851" s="28"/>
      <c r="T851" s="28"/>
      <c r="U851" s="28"/>
      <c r="V851" s="66"/>
      <c r="W851" s="5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</row>
    <row r="852" ht="60.0" customHeight="1">
      <c r="A852" s="14" t="str">
        <f>if(H852&lt;&gt;"",VLOOKUP(H852,ID!$A$2:$C$999,3,FALSE),"") </f>
        <v/>
      </c>
      <c r="B852" s="15"/>
      <c r="C852" s="16"/>
      <c r="D852" s="89"/>
      <c r="E852" s="89"/>
      <c r="F852" s="85"/>
      <c r="G852" s="81"/>
      <c r="H852" s="85"/>
      <c r="I852" s="85"/>
      <c r="J852" s="85"/>
      <c r="K852" s="85"/>
      <c r="L852" s="85"/>
      <c r="M852" s="85"/>
      <c r="N852" s="66"/>
      <c r="O852" s="66"/>
      <c r="P852" s="66"/>
      <c r="Q852" s="28"/>
      <c r="R852" s="69" t="str">
        <f>IFERROR(__xludf.DUMMYFUNCTION("IF (OR( Q852 = """" , P852 =""""), """" , IF(Q852 = ""Menos de 1 mês"" , ""antes de ""&amp; TO_TEXT( EDATE(P852, 1)), EDATE(P852,Q852)))"),"")</f>
        <v/>
      </c>
      <c r="S852" s="28"/>
      <c r="T852" s="28"/>
      <c r="U852" s="28"/>
      <c r="V852" s="66"/>
      <c r="W852" s="5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</row>
    <row r="853" ht="60.0" customHeight="1">
      <c r="A853" s="14" t="str">
        <f>if(H853&lt;&gt;"",VLOOKUP(H853,ID!$A$2:$C$999,3,FALSE),"") </f>
        <v/>
      </c>
      <c r="B853" s="15"/>
      <c r="C853" s="16"/>
      <c r="D853" s="89"/>
      <c r="E853" s="89"/>
      <c r="F853" s="85"/>
      <c r="G853" s="81"/>
      <c r="H853" s="85"/>
      <c r="I853" s="85"/>
      <c r="J853" s="85"/>
      <c r="K853" s="85"/>
      <c r="L853" s="85"/>
      <c r="M853" s="85"/>
      <c r="N853" s="66"/>
      <c r="O853" s="66"/>
      <c r="P853" s="66"/>
      <c r="Q853" s="28"/>
      <c r="R853" s="69" t="str">
        <f>IFERROR(__xludf.DUMMYFUNCTION("IF (OR( Q853 = """" , P853 =""""), """" , IF(Q853 = ""Menos de 1 mês"" , ""antes de ""&amp; TO_TEXT( EDATE(P853, 1)), EDATE(P853,Q853)))"),"")</f>
        <v/>
      </c>
      <c r="S853" s="28"/>
      <c r="T853" s="28"/>
      <c r="U853" s="28"/>
      <c r="V853" s="66"/>
      <c r="W853" s="5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</row>
    <row r="854" ht="60.0" customHeight="1">
      <c r="A854" s="14" t="str">
        <f>if(H854&lt;&gt;"",VLOOKUP(H854,ID!$A$2:$C$999,3,FALSE),"") </f>
        <v/>
      </c>
      <c r="B854" s="15"/>
      <c r="C854" s="16"/>
      <c r="D854" s="89"/>
      <c r="E854" s="89"/>
      <c r="F854" s="85"/>
      <c r="G854" s="81"/>
      <c r="H854" s="85"/>
      <c r="I854" s="85"/>
      <c r="J854" s="85"/>
      <c r="K854" s="85"/>
      <c r="L854" s="85"/>
      <c r="M854" s="85"/>
      <c r="N854" s="66"/>
      <c r="O854" s="66"/>
      <c r="P854" s="66"/>
      <c r="Q854" s="28"/>
      <c r="R854" s="69" t="str">
        <f>IFERROR(__xludf.DUMMYFUNCTION("IF (OR( Q854 = """" , P854 =""""), """" , IF(Q854 = ""Menos de 1 mês"" , ""antes de ""&amp; TO_TEXT( EDATE(P854, 1)), EDATE(P854,Q854)))"),"")</f>
        <v/>
      </c>
      <c r="S854" s="28"/>
      <c r="T854" s="28"/>
      <c r="U854" s="28"/>
      <c r="V854" s="66"/>
      <c r="W854" s="5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</row>
    <row r="855" ht="60.0" customHeight="1">
      <c r="A855" s="14" t="str">
        <f>if(H855&lt;&gt;"",VLOOKUP(H855,ID!$A$2:$C$999,3,FALSE),"") </f>
        <v/>
      </c>
      <c r="B855" s="15"/>
      <c r="C855" s="16"/>
      <c r="D855" s="89"/>
      <c r="E855" s="89"/>
      <c r="F855" s="85"/>
      <c r="G855" s="81"/>
      <c r="H855" s="85"/>
      <c r="I855" s="85"/>
      <c r="J855" s="85"/>
      <c r="K855" s="85"/>
      <c r="L855" s="85"/>
      <c r="M855" s="85"/>
      <c r="N855" s="66"/>
      <c r="O855" s="66"/>
      <c r="P855" s="66"/>
      <c r="Q855" s="28"/>
      <c r="R855" s="69" t="str">
        <f>IFERROR(__xludf.DUMMYFUNCTION("IF (OR( Q855 = """" , P855 =""""), """" , IF(Q855 = ""Menos de 1 mês"" , ""antes de ""&amp; TO_TEXT( EDATE(P855, 1)), EDATE(P855,Q855)))"),"")</f>
        <v/>
      </c>
      <c r="S855" s="28"/>
      <c r="T855" s="28"/>
      <c r="U855" s="28"/>
      <c r="V855" s="66"/>
      <c r="W855" s="5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</row>
    <row r="856" ht="60.0" customHeight="1">
      <c r="A856" s="14" t="str">
        <f>if(H856&lt;&gt;"",VLOOKUP(H856,ID!$A$2:$C$999,3,FALSE),"") </f>
        <v/>
      </c>
      <c r="B856" s="15"/>
      <c r="C856" s="16"/>
      <c r="D856" s="89"/>
      <c r="E856" s="89"/>
      <c r="F856" s="85"/>
      <c r="G856" s="81"/>
      <c r="H856" s="85"/>
      <c r="I856" s="85"/>
      <c r="J856" s="85"/>
      <c r="K856" s="85"/>
      <c r="L856" s="85"/>
      <c r="M856" s="85"/>
      <c r="N856" s="66"/>
      <c r="O856" s="66"/>
      <c r="P856" s="66"/>
      <c r="Q856" s="28"/>
      <c r="R856" s="69" t="str">
        <f>IFERROR(__xludf.DUMMYFUNCTION("IF (OR( Q856 = """" , P856 =""""), """" , IF(Q856 = ""Menos de 1 mês"" , ""antes de ""&amp; TO_TEXT( EDATE(P856, 1)), EDATE(P856,Q856)))"),"")</f>
        <v/>
      </c>
      <c r="S856" s="28"/>
      <c r="T856" s="28"/>
      <c r="U856" s="28"/>
      <c r="V856" s="66"/>
      <c r="W856" s="5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</row>
    <row r="857" ht="60.0" customHeight="1">
      <c r="A857" s="14" t="str">
        <f>if(H857&lt;&gt;"",VLOOKUP(H857,ID!$A$2:$C$999,3,FALSE),"") </f>
        <v/>
      </c>
      <c r="B857" s="15"/>
      <c r="C857" s="16"/>
      <c r="D857" s="89"/>
      <c r="E857" s="89"/>
      <c r="F857" s="85"/>
      <c r="G857" s="81"/>
      <c r="H857" s="85"/>
      <c r="I857" s="85"/>
      <c r="J857" s="85"/>
      <c r="K857" s="85"/>
      <c r="L857" s="85"/>
      <c r="M857" s="85"/>
      <c r="N857" s="66"/>
      <c r="O857" s="66"/>
      <c r="P857" s="66"/>
      <c r="Q857" s="28"/>
      <c r="R857" s="69" t="str">
        <f>IFERROR(__xludf.DUMMYFUNCTION("IF (OR( Q857 = """" , P857 =""""), """" , IF(Q857 = ""Menos de 1 mês"" , ""antes de ""&amp; TO_TEXT( EDATE(P857, 1)), EDATE(P857,Q857)))"),"")</f>
        <v/>
      </c>
      <c r="S857" s="28"/>
      <c r="T857" s="28"/>
      <c r="U857" s="28"/>
      <c r="V857" s="66"/>
      <c r="W857" s="5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</row>
    <row r="858" ht="60.0" customHeight="1">
      <c r="A858" s="14" t="str">
        <f>if(H858&lt;&gt;"",VLOOKUP(H858,ID!$A$2:$C$999,3,FALSE),"") </f>
        <v/>
      </c>
      <c r="B858" s="15"/>
      <c r="C858" s="16"/>
      <c r="D858" s="89"/>
      <c r="E858" s="89"/>
      <c r="F858" s="85"/>
      <c r="G858" s="81"/>
      <c r="H858" s="85"/>
      <c r="I858" s="85"/>
      <c r="J858" s="85"/>
      <c r="K858" s="85"/>
      <c r="L858" s="85"/>
      <c r="M858" s="85"/>
      <c r="N858" s="66"/>
      <c r="O858" s="66"/>
      <c r="P858" s="66"/>
      <c r="Q858" s="28"/>
      <c r="R858" s="69" t="str">
        <f>IFERROR(__xludf.DUMMYFUNCTION("IF (OR( Q858 = """" , P858 =""""), """" , IF(Q858 = ""Menos de 1 mês"" , ""antes de ""&amp; TO_TEXT( EDATE(P858, 1)), EDATE(P858,Q858)))"),"")</f>
        <v/>
      </c>
      <c r="S858" s="28"/>
      <c r="T858" s="28"/>
      <c r="U858" s="28"/>
      <c r="V858" s="66"/>
      <c r="W858" s="5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</row>
    <row r="859" ht="60.0" customHeight="1">
      <c r="A859" s="14" t="str">
        <f>if(H859&lt;&gt;"",VLOOKUP(H859,ID!$A$2:$C$999,3,FALSE),"") </f>
        <v/>
      </c>
      <c r="B859" s="15"/>
      <c r="C859" s="16"/>
      <c r="D859" s="89"/>
      <c r="E859" s="89"/>
      <c r="F859" s="85"/>
      <c r="G859" s="81"/>
      <c r="H859" s="85"/>
      <c r="I859" s="85"/>
      <c r="J859" s="85"/>
      <c r="K859" s="85"/>
      <c r="L859" s="85"/>
      <c r="M859" s="85"/>
      <c r="N859" s="66"/>
      <c r="O859" s="66"/>
      <c r="P859" s="66"/>
      <c r="Q859" s="28"/>
      <c r="R859" s="69" t="str">
        <f>IFERROR(__xludf.DUMMYFUNCTION("IF (OR( Q859 = """" , P859 =""""), """" , IF(Q859 = ""Menos de 1 mês"" , ""antes de ""&amp; TO_TEXT( EDATE(P859, 1)), EDATE(P859,Q859)))"),"")</f>
        <v/>
      </c>
      <c r="S859" s="28"/>
      <c r="T859" s="28"/>
      <c r="U859" s="28"/>
      <c r="V859" s="66"/>
      <c r="W859" s="5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  <c r="AJ859" s="28"/>
    </row>
    <row r="860" ht="60.0" customHeight="1">
      <c r="A860" s="14" t="str">
        <f>if(H860&lt;&gt;"",VLOOKUP(H860,ID!$A$2:$C$999,3,FALSE),"") </f>
        <v/>
      </c>
      <c r="B860" s="15"/>
      <c r="C860" s="16"/>
      <c r="D860" s="89"/>
      <c r="E860" s="89"/>
      <c r="F860" s="85"/>
      <c r="G860" s="81"/>
      <c r="H860" s="85"/>
      <c r="I860" s="85"/>
      <c r="J860" s="85"/>
      <c r="K860" s="85"/>
      <c r="L860" s="85"/>
      <c r="M860" s="85"/>
      <c r="N860" s="66"/>
      <c r="O860" s="66"/>
      <c r="P860" s="66"/>
      <c r="Q860" s="28"/>
      <c r="R860" s="69" t="str">
        <f>IFERROR(__xludf.DUMMYFUNCTION("IF (OR( Q860 = """" , P860 =""""), """" , IF(Q860 = ""Menos de 1 mês"" , ""antes de ""&amp; TO_TEXT( EDATE(P860, 1)), EDATE(P860,Q860)))"),"")</f>
        <v/>
      </c>
      <c r="S860" s="28"/>
      <c r="T860" s="28"/>
      <c r="U860" s="28"/>
      <c r="V860" s="66"/>
      <c r="W860" s="5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</row>
    <row r="861" ht="60.0" customHeight="1">
      <c r="A861" s="14" t="str">
        <f>if(H861&lt;&gt;"",VLOOKUP(H861,ID!$A$2:$C$999,3,FALSE),"") </f>
        <v/>
      </c>
      <c r="B861" s="15"/>
      <c r="C861" s="16"/>
      <c r="D861" s="89"/>
      <c r="E861" s="89"/>
      <c r="F861" s="85"/>
      <c r="G861" s="81"/>
      <c r="H861" s="85"/>
      <c r="I861" s="85"/>
      <c r="J861" s="85"/>
      <c r="K861" s="85"/>
      <c r="L861" s="85"/>
      <c r="M861" s="85"/>
      <c r="N861" s="66"/>
      <c r="O861" s="66"/>
      <c r="P861" s="66"/>
      <c r="Q861" s="28"/>
      <c r="R861" s="69" t="str">
        <f>IFERROR(__xludf.DUMMYFUNCTION("IF (OR( Q861 = """" , P861 =""""), """" , IF(Q861 = ""Menos de 1 mês"" , ""antes de ""&amp; TO_TEXT( EDATE(P861, 1)), EDATE(P861,Q861)))"),"")</f>
        <v/>
      </c>
      <c r="S861" s="28"/>
      <c r="T861" s="28"/>
      <c r="U861" s="28"/>
      <c r="V861" s="66"/>
      <c r="W861" s="5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</row>
    <row r="862" ht="60.0" customHeight="1">
      <c r="A862" s="14" t="str">
        <f>if(H862&lt;&gt;"",VLOOKUP(H862,ID!$A$2:$C$999,3,FALSE),"") </f>
        <v/>
      </c>
      <c r="B862" s="15"/>
      <c r="C862" s="16"/>
      <c r="D862" s="89"/>
      <c r="E862" s="89"/>
      <c r="F862" s="85"/>
      <c r="G862" s="81"/>
      <c r="H862" s="85"/>
      <c r="I862" s="85"/>
      <c r="J862" s="85"/>
      <c r="K862" s="85"/>
      <c r="L862" s="85"/>
      <c r="M862" s="85"/>
      <c r="N862" s="66"/>
      <c r="O862" s="66"/>
      <c r="P862" s="66"/>
      <c r="Q862" s="28"/>
      <c r="R862" s="69" t="str">
        <f>IFERROR(__xludf.DUMMYFUNCTION("IF (OR( Q862 = """" , P862 =""""), """" , IF(Q862 = ""Menos de 1 mês"" , ""antes de ""&amp; TO_TEXT( EDATE(P862, 1)), EDATE(P862,Q862)))"),"")</f>
        <v/>
      </c>
      <c r="S862" s="28"/>
      <c r="T862" s="28"/>
      <c r="U862" s="28"/>
      <c r="V862" s="66"/>
      <c r="W862" s="5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  <c r="AJ862" s="28"/>
    </row>
    <row r="863" ht="60.0" customHeight="1">
      <c r="A863" s="14" t="str">
        <f>if(H863&lt;&gt;"",VLOOKUP(H863,ID!$A$2:$C$999,3,FALSE),"") </f>
        <v/>
      </c>
      <c r="B863" s="15"/>
      <c r="C863" s="16"/>
      <c r="D863" s="89"/>
      <c r="E863" s="89"/>
      <c r="F863" s="85"/>
      <c r="G863" s="81"/>
      <c r="H863" s="85"/>
      <c r="I863" s="85"/>
      <c r="J863" s="85"/>
      <c r="K863" s="85"/>
      <c r="L863" s="85"/>
      <c r="M863" s="85"/>
      <c r="N863" s="66"/>
      <c r="O863" s="66"/>
      <c r="P863" s="66"/>
      <c r="Q863" s="28"/>
      <c r="R863" s="69" t="str">
        <f>IFERROR(__xludf.DUMMYFUNCTION("IF (OR( Q863 = """" , P863 =""""), """" , IF(Q863 = ""Menos de 1 mês"" , ""antes de ""&amp; TO_TEXT( EDATE(P863, 1)), EDATE(P863,Q863)))"),"")</f>
        <v/>
      </c>
      <c r="S863" s="28"/>
      <c r="T863" s="28"/>
      <c r="U863" s="28"/>
      <c r="V863" s="66"/>
      <c r="W863" s="5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</row>
    <row r="864" ht="60.0" customHeight="1">
      <c r="A864" s="14" t="str">
        <f>if(H864&lt;&gt;"",VLOOKUP(H864,ID!$A$2:$C$999,3,FALSE),"") </f>
        <v/>
      </c>
      <c r="B864" s="15"/>
      <c r="C864" s="16"/>
      <c r="D864" s="89"/>
      <c r="E864" s="89"/>
      <c r="F864" s="85"/>
      <c r="G864" s="81"/>
      <c r="H864" s="85"/>
      <c r="I864" s="85"/>
      <c r="J864" s="85"/>
      <c r="K864" s="85"/>
      <c r="L864" s="85"/>
      <c r="M864" s="85"/>
      <c r="N864" s="66"/>
      <c r="O864" s="66"/>
      <c r="P864" s="66"/>
      <c r="Q864" s="28"/>
      <c r="R864" s="69" t="str">
        <f>IFERROR(__xludf.DUMMYFUNCTION("IF (OR( Q864 = """" , P864 =""""), """" , IF(Q864 = ""Menos de 1 mês"" , ""antes de ""&amp; TO_TEXT( EDATE(P864, 1)), EDATE(P864,Q864)))"),"")</f>
        <v/>
      </c>
      <c r="S864" s="28"/>
      <c r="T864" s="28"/>
      <c r="U864" s="28"/>
      <c r="V864" s="66"/>
      <c r="W864" s="5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</row>
    <row r="865" ht="60.0" customHeight="1">
      <c r="A865" s="14" t="str">
        <f>if(H865&lt;&gt;"",VLOOKUP(H865,ID!$A$2:$C$999,3,FALSE),"") </f>
        <v/>
      </c>
      <c r="B865" s="15"/>
      <c r="C865" s="16"/>
      <c r="D865" s="89"/>
      <c r="E865" s="89"/>
      <c r="F865" s="85"/>
      <c r="G865" s="81"/>
      <c r="H865" s="85"/>
      <c r="I865" s="85"/>
      <c r="J865" s="85"/>
      <c r="K865" s="85"/>
      <c r="L865" s="85"/>
      <c r="M865" s="85"/>
      <c r="N865" s="66"/>
      <c r="O865" s="66"/>
      <c r="P865" s="66"/>
      <c r="Q865" s="28"/>
      <c r="R865" s="69" t="str">
        <f>IFERROR(__xludf.DUMMYFUNCTION("IF (OR( Q865 = """" , P865 =""""), """" , IF(Q865 = ""Menos de 1 mês"" , ""antes de ""&amp; TO_TEXT( EDATE(P865, 1)), EDATE(P865,Q865)))"),"")</f>
        <v/>
      </c>
      <c r="S865" s="28"/>
      <c r="T865" s="28"/>
      <c r="U865" s="28"/>
      <c r="V865" s="66"/>
      <c r="W865" s="5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</row>
    <row r="866" ht="60.0" customHeight="1">
      <c r="A866" s="14" t="str">
        <f>if(H866&lt;&gt;"",VLOOKUP(H866,ID!$A$2:$C$999,3,FALSE),"") </f>
        <v/>
      </c>
      <c r="B866" s="15"/>
      <c r="C866" s="16"/>
      <c r="D866" s="89"/>
      <c r="E866" s="89"/>
      <c r="F866" s="85"/>
      <c r="G866" s="81"/>
      <c r="H866" s="85"/>
      <c r="I866" s="85"/>
      <c r="J866" s="85"/>
      <c r="K866" s="85"/>
      <c r="L866" s="85"/>
      <c r="M866" s="85"/>
      <c r="N866" s="66"/>
      <c r="O866" s="66"/>
      <c r="P866" s="66"/>
      <c r="Q866" s="28"/>
      <c r="R866" s="69" t="str">
        <f>IFERROR(__xludf.DUMMYFUNCTION("IF (OR( Q866 = """" , P866 =""""), """" , IF(Q866 = ""Menos de 1 mês"" , ""antes de ""&amp; TO_TEXT( EDATE(P866, 1)), EDATE(P866,Q866)))"),"")</f>
        <v/>
      </c>
      <c r="S866" s="28"/>
      <c r="T866" s="28"/>
      <c r="U866" s="28"/>
      <c r="V866" s="66"/>
      <c r="W866" s="5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</row>
    <row r="867" ht="60.0" customHeight="1">
      <c r="A867" s="14" t="str">
        <f>if(H867&lt;&gt;"",VLOOKUP(H867,ID!$A$2:$C$999,3,FALSE),"") </f>
        <v/>
      </c>
      <c r="B867" s="15"/>
      <c r="C867" s="16"/>
      <c r="D867" s="89"/>
      <c r="E867" s="89"/>
      <c r="F867" s="85"/>
      <c r="G867" s="81"/>
      <c r="H867" s="85"/>
      <c r="I867" s="85"/>
      <c r="J867" s="85"/>
      <c r="K867" s="85"/>
      <c r="L867" s="85"/>
      <c r="M867" s="85"/>
      <c r="N867" s="66"/>
      <c r="O867" s="66"/>
      <c r="P867" s="66"/>
      <c r="Q867" s="28"/>
      <c r="R867" s="69" t="str">
        <f>IFERROR(__xludf.DUMMYFUNCTION("IF (OR( Q867 = """" , P867 =""""), """" , IF(Q867 = ""Menos de 1 mês"" , ""antes de ""&amp; TO_TEXT( EDATE(P867, 1)), EDATE(P867,Q867)))"),"")</f>
        <v/>
      </c>
      <c r="S867" s="28"/>
      <c r="T867" s="28"/>
      <c r="U867" s="28"/>
      <c r="V867" s="66"/>
      <c r="W867" s="5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</row>
    <row r="868" ht="60.0" customHeight="1">
      <c r="A868" s="14" t="str">
        <f>if(H868&lt;&gt;"",VLOOKUP(H868,ID!$A$2:$C$999,3,FALSE),"") </f>
        <v/>
      </c>
      <c r="B868" s="15"/>
      <c r="C868" s="16"/>
      <c r="D868" s="89"/>
      <c r="E868" s="89"/>
      <c r="F868" s="85"/>
      <c r="G868" s="81"/>
      <c r="H868" s="85"/>
      <c r="I868" s="85"/>
      <c r="J868" s="85"/>
      <c r="K868" s="85"/>
      <c r="L868" s="85"/>
      <c r="M868" s="85"/>
      <c r="N868" s="66"/>
      <c r="O868" s="66"/>
      <c r="P868" s="66"/>
      <c r="Q868" s="28"/>
      <c r="R868" s="69" t="str">
        <f>IFERROR(__xludf.DUMMYFUNCTION("IF (OR( Q868 = """" , P868 =""""), """" , IF(Q868 = ""Menos de 1 mês"" , ""antes de ""&amp; TO_TEXT( EDATE(P868, 1)), EDATE(P868,Q868)))"),"")</f>
        <v/>
      </c>
      <c r="S868" s="28"/>
      <c r="T868" s="28"/>
      <c r="U868" s="28"/>
      <c r="V868" s="66"/>
      <c r="W868" s="5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</row>
    <row r="869" ht="60.0" customHeight="1">
      <c r="A869" s="14" t="str">
        <f>if(H869&lt;&gt;"",VLOOKUP(H869,ID!$A$2:$C$999,3,FALSE),"") </f>
        <v/>
      </c>
      <c r="B869" s="15"/>
      <c r="C869" s="16"/>
      <c r="D869" s="89"/>
      <c r="E869" s="89"/>
      <c r="F869" s="85"/>
      <c r="G869" s="81"/>
      <c r="H869" s="85"/>
      <c r="I869" s="85"/>
      <c r="J869" s="85"/>
      <c r="K869" s="85"/>
      <c r="L869" s="85"/>
      <c r="M869" s="85"/>
      <c r="N869" s="66"/>
      <c r="O869" s="66"/>
      <c r="P869" s="66"/>
      <c r="Q869" s="28"/>
      <c r="R869" s="69" t="str">
        <f>IFERROR(__xludf.DUMMYFUNCTION("IF (OR( Q869 = """" , P869 =""""), """" , IF(Q869 = ""Menos de 1 mês"" , ""antes de ""&amp; TO_TEXT( EDATE(P869, 1)), EDATE(P869,Q869)))"),"")</f>
        <v/>
      </c>
      <c r="S869" s="28"/>
      <c r="T869" s="28"/>
      <c r="U869" s="28"/>
      <c r="V869" s="66"/>
      <c r="W869" s="5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  <c r="AJ869" s="28"/>
    </row>
    <row r="870" ht="60.0" customHeight="1">
      <c r="A870" s="14" t="str">
        <f>if(H870&lt;&gt;"",VLOOKUP(H870,ID!$A$2:$C$999,3,FALSE),"") </f>
        <v/>
      </c>
      <c r="B870" s="15"/>
      <c r="C870" s="16"/>
      <c r="D870" s="89"/>
      <c r="E870" s="89"/>
      <c r="F870" s="85"/>
      <c r="G870" s="81"/>
      <c r="H870" s="85"/>
      <c r="I870" s="85"/>
      <c r="J870" s="85"/>
      <c r="K870" s="85"/>
      <c r="L870" s="85"/>
      <c r="M870" s="85"/>
      <c r="N870" s="66"/>
      <c r="O870" s="66"/>
      <c r="P870" s="66"/>
      <c r="Q870" s="28"/>
      <c r="R870" s="69" t="str">
        <f>IFERROR(__xludf.DUMMYFUNCTION("IF (OR( Q870 = """" , P870 =""""), """" , IF(Q870 = ""Menos de 1 mês"" , ""antes de ""&amp; TO_TEXT( EDATE(P870, 1)), EDATE(P870,Q870)))"),"")</f>
        <v/>
      </c>
      <c r="S870" s="28"/>
      <c r="T870" s="28"/>
      <c r="U870" s="28"/>
      <c r="V870" s="66"/>
      <c r="W870" s="5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  <c r="AJ870" s="28"/>
    </row>
    <row r="871" ht="60.0" customHeight="1">
      <c r="A871" s="14" t="str">
        <f>if(H871&lt;&gt;"",VLOOKUP(H871,ID!$A$2:$C$999,3,FALSE),"") </f>
        <v/>
      </c>
      <c r="B871" s="15"/>
      <c r="C871" s="16"/>
      <c r="D871" s="89"/>
      <c r="E871" s="89"/>
      <c r="F871" s="85"/>
      <c r="G871" s="81"/>
      <c r="H871" s="85"/>
      <c r="I871" s="85"/>
      <c r="J871" s="85"/>
      <c r="K871" s="85"/>
      <c r="L871" s="85"/>
      <c r="M871" s="85"/>
      <c r="N871" s="66"/>
      <c r="O871" s="66"/>
      <c r="P871" s="66"/>
      <c r="Q871" s="28"/>
      <c r="R871" s="69" t="str">
        <f>IFERROR(__xludf.DUMMYFUNCTION("IF (OR( Q871 = """" , P871 =""""), """" , IF(Q871 = ""Menos de 1 mês"" , ""antes de ""&amp; TO_TEXT( EDATE(P871, 1)), EDATE(P871,Q871)))"),"")</f>
        <v/>
      </c>
      <c r="S871" s="28"/>
      <c r="T871" s="28"/>
      <c r="U871" s="28"/>
      <c r="V871" s="66"/>
      <c r="W871" s="5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</row>
    <row r="872" ht="60.0" customHeight="1">
      <c r="A872" s="14" t="str">
        <f>if(H872&lt;&gt;"",VLOOKUP(H872,ID!$A$2:$C$999,3,FALSE),"") </f>
        <v/>
      </c>
      <c r="B872" s="15"/>
      <c r="C872" s="16"/>
      <c r="D872" s="89"/>
      <c r="E872" s="89"/>
      <c r="F872" s="85"/>
      <c r="G872" s="81"/>
      <c r="H872" s="85"/>
      <c r="I872" s="85"/>
      <c r="J872" s="85"/>
      <c r="K872" s="85"/>
      <c r="L872" s="85"/>
      <c r="M872" s="85"/>
      <c r="N872" s="66"/>
      <c r="O872" s="66"/>
      <c r="P872" s="66"/>
      <c r="Q872" s="28"/>
      <c r="R872" s="69" t="str">
        <f>IFERROR(__xludf.DUMMYFUNCTION("IF (OR( Q872 = """" , P872 =""""), """" , IF(Q872 = ""Menos de 1 mês"" , ""antes de ""&amp; TO_TEXT( EDATE(P872, 1)), EDATE(P872,Q872)))"),"")</f>
        <v/>
      </c>
      <c r="S872" s="28"/>
      <c r="T872" s="28"/>
      <c r="U872" s="28"/>
      <c r="V872" s="66"/>
      <c r="W872" s="5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8"/>
    </row>
    <row r="873" ht="60.0" customHeight="1">
      <c r="A873" s="14" t="str">
        <f>if(H873&lt;&gt;"",VLOOKUP(H873,ID!$A$2:$C$999,3,FALSE),"") </f>
        <v/>
      </c>
      <c r="B873" s="15"/>
      <c r="C873" s="16"/>
      <c r="D873" s="89"/>
      <c r="E873" s="89"/>
      <c r="F873" s="85"/>
      <c r="G873" s="81"/>
      <c r="H873" s="85"/>
      <c r="I873" s="85"/>
      <c r="J873" s="85"/>
      <c r="K873" s="85"/>
      <c r="L873" s="85"/>
      <c r="M873" s="85"/>
      <c r="N873" s="66"/>
      <c r="O873" s="66"/>
      <c r="P873" s="66"/>
      <c r="Q873" s="28"/>
      <c r="R873" s="69" t="str">
        <f>IFERROR(__xludf.DUMMYFUNCTION("IF (OR( Q873 = """" , P873 =""""), """" , IF(Q873 = ""Menos de 1 mês"" , ""antes de ""&amp; TO_TEXT( EDATE(P873, 1)), EDATE(P873,Q873)))"),"")</f>
        <v/>
      </c>
      <c r="S873" s="28"/>
      <c r="T873" s="28"/>
      <c r="U873" s="28"/>
      <c r="V873" s="66"/>
      <c r="W873" s="5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</row>
    <row r="874" ht="60.0" customHeight="1">
      <c r="A874" s="14" t="str">
        <f>if(H874&lt;&gt;"",VLOOKUP(H874,ID!$A$2:$C$999,3,FALSE),"") </f>
        <v/>
      </c>
      <c r="B874" s="15"/>
      <c r="C874" s="16"/>
      <c r="D874" s="89"/>
      <c r="E874" s="89"/>
      <c r="F874" s="85"/>
      <c r="G874" s="81"/>
      <c r="H874" s="85"/>
      <c r="I874" s="85"/>
      <c r="J874" s="85"/>
      <c r="K874" s="85"/>
      <c r="L874" s="85"/>
      <c r="M874" s="85"/>
      <c r="N874" s="66"/>
      <c r="O874" s="66"/>
      <c r="P874" s="66"/>
      <c r="Q874" s="28"/>
      <c r="R874" s="69" t="str">
        <f>IFERROR(__xludf.DUMMYFUNCTION("IF (OR( Q874 = """" , P874 =""""), """" , IF(Q874 = ""Menos de 1 mês"" , ""antes de ""&amp; TO_TEXT( EDATE(P874, 1)), EDATE(P874,Q874)))"),"")</f>
        <v/>
      </c>
      <c r="S874" s="28"/>
      <c r="T874" s="28"/>
      <c r="U874" s="28"/>
      <c r="V874" s="66"/>
      <c r="W874" s="5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</row>
    <row r="875" ht="60.0" customHeight="1">
      <c r="A875" s="14" t="str">
        <f>if(H875&lt;&gt;"",VLOOKUP(H875,ID!$A$2:$C$999,3,FALSE),"") </f>
        <v/>
      </c>
      <c r="B875" s="15"/>
      <c r="C875" s="16"/>
      <c r="D875" s="89"/>
      <c r="E875" s="89"/>
      <c r="F875" s="85"/>
      <c r="G875" s="81"/>
      <c r="H875" s="85"/>
      <c r="I875" s="85"/>
      <c r="J875" s="85"/>
      <c r="K875" s="85"/>
      <c r="L875" s="85"/>
      <c r="M875" s="85"/>
      <c r="N875" s="66"/>
      <c r="O875" s="66"/>
      <c r="P875" s="66"/>
      <c r="Q875" s="28"/>
      <c r="R875" s="69" t="str">
        <f>IFERROR(__xludf.DUMMYFUNCTION("IF (OR( Q875 = """" , P875 =""""), """" , IF(Q875 = ""Menos de 1 mês"" , ""antes de ""&amp; TO_TEXT( EDATE(P875, 1)), EDATE(P875,Q875)))"),"")</f>
        <v/>
      </c>
      <c r="S875" s="28"/>
      <c r="T875" s="28"/>
      <c r="U875" s="28"/>
      <c r="V875" s="66"/>
      <c r="W875" s="5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</row>
    <row r="876" ht="60.0" customHeight="1">
      <c r="A876" s="14" t="str">
        <f>if(H876&lt;&gt;"",VLOOKUP(H876,ID!$A$2:$C$999,3,FALSE),"") </f>
        <v/>
      </c>
      <c r="B876" s="15"/>
      <c r="C876" s="16"/>
      <c r="D876" s="89"/>
      <c r="E876" s="89"/>
      <c r="F876" s="85"/>
      <c r="G876" s="81"/>
      <c r="H876" s="85"/>
      <c r="I876" s="85"/>
      <c r="J876" s="85"/>
      <c r="K876" s="85"/>
      <c r="L876" s="85"/>
      <c r="M876" s="85"/>
      <c r="N876" s="66"/>
      <c r="O876" s="66"/>
      <c r="P876" s="66"/>
      <c r="Q876" s="28"/>
      <c r="R876" s="69" t="str">
        <f>IFERROR(__xludf.DUMMYFUNCTION("IF (OR( Q876 = """" , P876 =""""), """" , IF(Q876 = ""Menos de 1 mês"" , ""antes de ""&amp; TO_TEXT( EDATE(P876, 1)), EDATE(P876,Q876)))"),"")</f>
        <v/>
      </c>
      <c r="S876" s="28"/>
      <c r="T876" s="28"/>
      <c r="U876" s="28"/>
      <c r="V876" s="66"/>
      <c r="W876" s="5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8"/>
    </row>
    <row r="877" ht="60.0" customHeight="1">
      <c r="A877" s="14" t="str">
        <f>if(H877&lt;&gt;"",VLOOKUP(H877,ID!$A$2:$C$999,3,FALSE),"") </f>
        <v/>
      </c>
      <c r="B877" s="15"/>
      <c r="C877" s="16"/>
      <c r="D877" s="89"/>
      <c r="E877" s="89"/>
      <c r="F877" s="85"/>
      <c r="G877" s="81"/>
      <c r="H877" s="85"/>
      <c r="I877" s="85"/>
      <c r="J877" s="85"/>
      <c r="K877" s="85"/>
      <c r="L877" s="85"/>
      <c r="M877" s="85"/>
      <c r="N877" s="66"/>
      <c r="O877" s="66"/>
      <c r="P877" s="66"/>
      <c r="Q877" s="28"/>
      <c r="R877" s="69" t="str">
        <f>IFERROR(__xludf.DUMMYFUNCTION("IF (OR( Q877 = """" , P877 =""""), """" , IF(Q877 = ""Menos de 1 mês"" , ""antes de ""&amp; TO_TEXT( EDATE(P877, 1)), EDATE(P877,Q877)))"),"")</f>
        <v/>
      </c>
      <c r="S877" s="28"/>
      <c r="T877" s="28"/>
      <c r="U877" s="28"/>
      <c r="V877" s="66"/>
      <c r="W877" s="5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</row>
    <row r="878" ht="60.0" customHeight="1">
      <c r="A878" s="14" t="str">
        <f>if(H878&lt;&gt;"",VLOOKUP(H878,ID!$A$2:$C$999,3,FALSE),"") </f>
        <v/>
      </c>
      <c r="B878" s="15"/>
      <c r="C878" s="16"/>
      <c r="D878" s="89"/>
      <c r="E878" s="89"/>
      <c r="F878" s="85"/>
      <c r="G878" s="81"/>
      <c r="H878" s="85"/>
      <c r="I878" s="85"/>
      <c r="J878" s="85"/>
      <c r="K878" s="85"/>
      <c r="L878" s="85"/>
      <c r="M878" s="85"/>
      <c r="N878" s="66"/>
      <c r="O878" s="66"/>
      <c r="P878" s="66"/>
      <c r="Q878" s="28"/>
      <c r="R878" s="69" t="str">
        <f>IFERROR(__xludf.DUMMYFUNCTION("IF (OR( Q878 = """" , P878 =""""), """" , IF(Q878 = ""Menos de 1 mês"" , ""antes de ""&amp; TO_TEXT( EDATE(P878, 1)), EDATE(P878,Q878)))"),"")</f>
        <v/>
      </c>
      <c r="S878" s="28"/>
      <c r="T878" s="28"/>
      <c r="U878" s="28"/>
      <c r="V878" s="66"/>
      <c r="W878" s="5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  <c r="AJ878" s="28"/>
    </row>
    <row r="879" ht="60.0" customHeight="1">
      <c r="A879" s="14" t="str">
        <f>if(H879&lt;&gt;"",VLOOKUP(H879,ID!$A$2:$C$999,3,FALSE),"") </f>
        <v/>
      </c>
      <c r="B879" s="15"/>
      <c r="C879" s="16"/>
      <c r="D879" s="89"/>
      <c r="E879" s="89"/>
      <c r="F879" s="85"/>
      <c r="G879" s="81"/>
      <c r="H879" s="85"/>
      <c r="I879" s="85"/>
      <c r="J879" s="85"/>
      <c r="K879" s="85"/>
      <c r="L879" s="85"/>
      <c r="M879" s="85"/>
      <c r="N879" s="66"/>
      <c r="O879" s="66"/>
      <c r="P879" s="66"/>
      <c r="Q879" s="28"/>
      <c r="R879" s="69" t="str">
        <f>IFERROR(__xludf.DUMMYFUNCTION("IF (OR( Q879 = """" , P879 =""""), """" , IF(Q879 = ""Menos de 1 mês"" , ""antes de ""&amp; TO_TEXT( EDATE(P879, 1)), EDATE(P879,Q879)))"),"")</f>
        <v/>
      </c>
      <c r="S879" s="28"/>
      <c r="T879" s="28"/>
      <c r="U879" s="28"/>
      <c r="V879" s="66"/>
      <c r="W879" s="5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</row>
    <row r="880" ht="60.0" customHeight="1">
      <c r="A880" s="14" t="str">
        <f>if(H880&lt;&gt;"",VLOOKUP(H880,ID!$A$2:$C$999,3,FALSE),"") </f>
        <v/>
      </c>
      <c r="B880" s="15"/>
      <c r="C880" s="16"/>
      <c r="D880" s="89"/>
      <c r="E880" s="89"/>
      <c r="F880" s="85"/>
      <c r="G880" s="81"/>
      <c r="H880" s="85"/>
      <c r="I880" s="85"/>
      <c r="J880" s="85"/>
      <c r="K880" s="85"/>
      <c r="L880" s="85"/>
      <c r="M880" s="85"/>
      <c r="N880" s="66"/>
      <c r="O880" s="66"/>
      <c r="P880" s="66"/>
      <c r="Q880" s="28"/>
      <c r="R880" s="69" t="str">
        <f>IFERROR(__xludf.DUMMYFUNCTION("IF (OR( Q880 = """" , P880 =""""), """" , IF(Q880 = ""Menos de 1 mês"" , ""antes de ""&amp; TO_TEXT( EDATE(P880, 1)), EDATE(P880,Q880)))"),"")</f>
        <v/>
      </c>
      <c r="S880" s="28"/>
      <c r="T880" s="28"/>
      <c r="U880" s="28"/>
      <c r="V880" s="66"/>
      <c r="W880" s="5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</row>
    <row r="881" ht="60.0" customHeight="1">
      <c r="A881" s="14" t="str">
        <f>if(H881&lt;&gt;"",VLOOKUP(H881,ID!$A$2:$C$999,3,FALSE),"") </f>
        <v/>
      </c>
      <c r="B881" s="15"/>
      <c r="C881" s="16"/>
      <c r="D881" s="89"/>
      <c r="E881" s="89"/>
      <c r="F881" s="85"/>
      <c r="G881" s="81"/>
      <c r="H881" s="85"/>
      <c r="I881" s="85"/>
      <c r="J881" s="85"/>
      <c r="K881" s="85"/>
      <c r="L881" s="85"/>
      <c r="M881" s="85"/>
      <c r="N881" s="66"/>
      <c r="O881" s="66"/>
      <c r="P881" s="66"/>
      <c r="Q881" s="28"/>
      <c r="R881" s="69" t="str">
        <f>IFERROR(__xludf.DUMMYFUNCTION("IF (OR( Q881 = """" , P881 =""""), """" , IF(Q881 = ""Menos de 1 mês"" , ""antes de ""&amp; TO_TEXT( EDATE(P881, 1)), EDATE(P881,Q881)))"),"")</f>
        <v/>
      </c>
      <c r="S881" s="28"/>
      <c r="T881" s="28"/>
      <c r="U881" s="28"/>
      <c r="V881" s="66"/>
      <c r="W881" s="5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</row>
    <row r="882" ht="60.0" customHeight="1">
      <c r="A882" s="14" t="str">
        <f>if(H882&lt;&gt;"",VLOOKUP(H882,ID!$A$2:$C$999,3,FALSE),"") </f>
        <v/>
      </c>
      <c r="B882" s="15"/>
      <c r="C882" s="16"/>
      <c r="D882" s="89"/>
      <c r="E882" s="89"/>
      <c r="F882" s="85"/>
      <c r="G882" s="81"/>
      <c r="H882" s="85"/>
      <c r="I882" s="85"/>
      <c r="J882" s="85"/>
      <c r="K882" s="85"/>
      <c r="L882" s="85"/>
      <c r="M882" s="85"/>
      <c r="N882" s="66"/>
      <c r="O882" s="66"/>
      <c r="P882" s="66"/>
      <c r="Q882" s="28"/>
      <c r="R882" s="69" t="str">
        <f>IFERROR(__xludf.DUMMYFUNCTION("IF (OR( Q882 = """" , P882 =""""), """" , IF(Q882 = ""Menos de 1 mês"" , ""antes de ""&amp; TO_TEXT( EDATE(P882, 1)), EDATE(P882,Q882)))"),"")</f>
        <v/>
      </c>
      <c r="S882" s="28"/>
      <c r="T882" s="28"/>
      <c r="U882" s="28"/>
      <c r="V882" s="66"/>
      <c r="W882" s="5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  <c r="AJ882" s="28"/>
    </row>
    <row r="883" ht="60.0" customHeight="1">
      <c r="A883" s="14" t="str">
        <f>if(H883&lt;&gt;"",VLOOKUP(H883,ID!$A$2:$C$999,3,FALSE),"") </f>
        <v/>
      </c>
      <c r="B883" s="15"/>
      <c r="C883" s="16"/>
      <c r="D883" s="89"/>
      <c r="E883" s="89"/>
      <c r="F883" s="85"/>
      <c r="G883" s="81"/>
      <c r="H883" s="85"/>
      <c r="I883" s="85"/>
      <c r="J883" s="85"/>
      <c r="K883" s="85"/>
      <c r="L883" s="85"/>
      <c r="M883" s="85"/>
      <c r="N883" s="66"/>
      <c r="O883" s="66"/>
      <c r="P883" s="66"/>
      <c r="Q883" s="28"/>
      <c r="R883" s="69" t="str">
        <f>IFERROR(__xludf.DUMMYFUNCTION("IF (OR( Q883 = """" , P883 =""""), """" , IF(Q883 = ""Menos de 1 mês"" , ""antes de ""&amp; TO_TEXT( EDATE(P883, 1)), EDATE(P883,Q883)))"),"")</f>
        <v/>
      </c>
      <c r="S883" s="28"/>
      <c r="T883" s="28"/>
      <c r="U883" s="28"/>
      <c r="V883" s="66"/>
      <c r="W883" s="5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  <c r="AJ883" s="28"/>
    </row>
    <row r="884" ht="60.0" customHeight="1">
      <c r="A884" s="14" t="str">
        <f>if(H884&lt;&gt;"",VLOOKUP(H884,ID!$A$2:$C$999,3,FALSE),"") </f>
        <v/>
      </c>
      <c r="B884" s="15"/>
      <c r="C884" s="16"/>
      <c r="D884" s="89"/>
      <c r="E884" s="89"/>
      <c r="F884" s="85"/>
      <c r="G884" s="81"/>
      <c r="H884" s="85"/>
      <c r="I884" s="85"/>
      <c r="J884" s="85"/>
      <c r="K884" s="85"/>
      <c r="L884" s="85"/>
      <c r="M884" s="85"/>
      <c r="N884" s="66"/>
      <c r="O884" s="66"/>
      <c r="P884" s="66"/>
      <c r="Q884" s="28"/>
      <c r="R884" s="69" t="str">
        <f>IFERROR(__xludf.DUMMYFUNCTION("IF (OR( Q884 = """" , P884 =""""), """" , IF(Q884 = ""Menos de 1 mês"" , ""antes de ""&amp; TO_TEXT( EDATE(P884, 1)), EDATE(P884,Q884)))"),"")</f>
        <v/>
      </c>
      <c r="S884" s="28"/>
      <c r="T884" s="28"/>
      <c r="U884" s="28"/>
      <c r="V884" s="66"/>
      <c r="W884" s="5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  <c r="AJ884" s="28"/>
    </row>
    <row r="885" ht="60.0" customHeight="1">
      <c r="A885" s="14" t="str">
        <f>if(H885&lt;&gt;"",VLOOKUP(H885,ID!$A$2:$C$999,3,FALSE),"") </f>
        <v/>
      </c>
      <c r="B885" s="15"/>
      <c r="C885" s="16"/>
      <c r="D885" s="89"/>
      <c r="E885" s="89"/>
      <c r="F885" s="85"/>
      <c r="G885" s="81"/>
      <c r="H885" s="85"/>
      <c r="I885" s="85"/>
      <c r="J885" s="85"/>
      <c r="K885" s="85"/>
      <c r="L885" s="85"/>
      <c r="M885" s="85"/>
      <c r="N885" s="66"/>
      <c r="O885" s="66"/>
      <c r="P885" s="66"/>
      <c r="Q885" s="28"/>
      <c r="R885" s="69" t="str">
        <f>IFERROR(__xludf.DUMMYFUNCTION("IF (OR( Q885 = """" , P885 =""""), """" , IF(Q885 = ""Menos de 1 mês"" , ""antes de ""&amp; TO_TEXT( EDATE(P885, 1)), EDATE(P885,Q885)))"),"")</f>
        <v/>
      </c>
      <c r="S885" s="28"/>
      <c r="T885" s="28"/>
      <c r="U885" s="28"/>
      <c r="V885" s="66"/>
      <c r="W885" s="5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</row>
    <row r="886" ht="60.0" customHeight="1">
      <c r="A886" s="14" t="str">
        <f>if(H886&lt;&gt;"",VLOOKUP(H886,ID!$A$2:$C$999,3,FALSE),"") </f>
        <v/>
      </c>
      <c r="B886" s="15"/>
      <c r="C886" s="16"/>
      <c r="D886" s="89"/>
      <c r="E886" s="89"/>
      <c r="F886" s="85"/>
      <c r="G886" s="81"/>
      <c r="H886" s="85"/>
      <c r="I886" s="85"/>
      <c r="J886" s="85"/>
      <c r="K886" s="85"/>
      <c r="L886" s="85"/>
      <c r="M886" s="85"/>
      <c r="N886" s="66"/>
      <c r="O886" s="66"/>
      <c r="P886" s="66"/>
      <c r="Q886" s="28"/>
      <c r="R886" s="69" t="str">
        <f>IFERROR(__xludf.DUMMYFUNCTION("IF (OR( Q886 = """" , P886 =""""), """" , IF(Q886 = ""Menos de 1 mês"" , ""antes de ""&amp; TO_TEXT( EDATE(P886, 1)), EDATE(P886,Q886)))"),"")</f>
        <v/>
      </c>
      <c r="S886" s="28"/>
      <c r="T886" s="28"/>
      <c r="U886" s="28"/>
      <c r="V886" s="66"/>
      <c r="W886" s="5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</row>
    <row r="887" ht="60.0" customHeight="1">
      <c r="A887" s="14" t="str">
        <f>if(H887&lt;&gt;"",VLOOKUP(H887,ID!$A$2:$C$999,3,FALSE),"") </f>
        <v/>
      </c>
      <c r="B887" s="15"/>
      <c r="C887" s="16"/>
      <c r="D887" s="89"/>
      <c r="E887" s="89"/>
      <c r="F887" s="85"/>
      <c r="G887" s="81"/>
      <c r="H887" s="85"/>
      <c r="I887" s="85"/>
      <c r="J887" s="85"/>
      <c r="K887" s="85"/>
      <c r="L887" s="85"/>
      <c r="M887" s="85"/>
      <c r="N887" s="66"/>
      <c r="O887" s="66"/>
      <c r="P887" s="66"/>
      <c r="Q887" s="28"/>
      <c r="R887" s="69" t="str">
        <f>IFERROR(__xludf.DUMMYFUNCTION("IF (OR( Q887 = """" , P887 =""""), """" , IF(Q887 = ""Menos de 1 mês"" , ""antes de ""&amp; TO_TEXT( EDATE(P887, 1)), EDATE(P887,Q887)))"),"")</f>
        <v/>
      </c>
      <c r="S887" s="28"/>
      <c r="T887" s="28"/>
      <c r="U887" s="28"/>
      <c r="V887" s="66"/>
      <c r="W887" s="5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</row>
    <row r="888" ht="60.0" customHeight="1">
      <c r="A888" s="14" t="str">
        <f>if(H888&lt;&gt;"",VLOOKUP(H888,ID!$A$2:$C$999,3,FALSE),"") </f>
        <v/>
      </c>
      <c r="B888" s="15"/>
      <c r="C888" s="16"/>
      <c r="D888" s="89"/>
      <c r="E888" s="89"/>
      <c r="F888" s="85"/>
      <c r="G888" s="81"/>
      <c r="H888" s="85"/>
      <c r="I888" s="85"/>
      <c r="J888" s="85"/>
      <c r="K888" s="85"/>
      <c r="L888" s="85"/>
      <c r="M888" s="85"/>
      <c r="N888" s="66"/>
      <c r="O888" s="66"/>
      <c r="P888" s="66"/>
      <c r="Q888" s="28"/>
      <c r="R888" s="69" t="str">
        <f>IFERROR(__xludf.DUMMYFUNCTION("IF (OR( Q888 = """" , P888 =""""), """" , IF(Q888 = ""Menos de 1 mês"" , ""antes de ""&amp; TO_TEXT( EDATE(P888, 1)), EDATE(P888,Q888)))"),"")</f>
        <v/>
      </c>
      <c r="S888" s="28"/>
      <c r="T888" s="28"/>
      <c r="U888" s="28"/>
      <c r="V888" s="66"/>
      <c r="W888" s="5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</row>
    <row r="889" ht="60.0" customHeight="1">
      <c r="A889" s="14" t="str">
        <f>if(H889&lt;&gt;"",VLOOKUP(H889,ID!$A$2:$C$999,3,FALSE),"") </f>
        <v/>
      </c>
      <c r="B889" s="15"/>
      <c r="C889" s="16"/>
      <c r="D889" s="89"/>
      <c r="E889" s="89"/>
      <c r="F889" s="85"/>
      <c r="G889" s="81"/>
      <c r="H889" s="85"/>
      <c r="I889" s="85"/>
      <c r="J889" s="85"/>
      <c r="K889" s="85"/>
      <c r="L889" s="85"/>
      <c r="M889" s="85"/>
      <c r="N889" s="66"/>
      <c r="O889" s="66"/>
      <c r="P889" s="66"/>
      <c r="Q889" s="28"/>
      <c r="R889" s="69" t="str">
        <f>IFERROR(__xludf.DUMMYFUNCTION("IF (OR( Q889 = """" , P889 =""""), """" , IF(Q889 = ""Menos de 1 mês"" , ""antes de ""&amp; TO_TEXT( EDATE(P889, 1)), EDATE(P889,Q889)))"),"")</f>
        <v/>
      </c>
      <c r="S889" s="28"/>
      <c r="T889" s="28"/>
      <c r="U889" s="28"/>
      <c r="V889" s="66"/>
      <c r="W889" s="5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  <c r="AJ889" s="28"/>
    </row>
    <row r="890" ht="60.0" customHeight="1">
      <c r="A890" s="14" t="str">
        <f>if(H890&lt;&gt;"",VLOOKUP(H890,ID!$A$2:$C$999,3,FALSE),"") </f>
        <v/>
      </c>
      <c r="B890" s="15"/>
      <c r="C890" s="16"/>
      <c r="D890" s="89"/>
      <c r="E890" s="89"/>
      <c r="F890" s="85"/>
      <c r="G890" s="81"/>
      <c r="H890" s="85"/>
      <c r="I890" s="85"/>
      <c r="J890" s="85"/>
      <c r="K890" s="85"/>
      <c r="L890" s="85"/>
      <c r="M890" s="85"/>
      <c r="N890" s="66"/>
      <c r="O890" s="66"/>
      <c r="P890" s="66"/>
      <c r="Q890" s="28"/>
      <c r="R890" s="69" t="str">
        <f>IFERROR(__xludf.DUMMYFUNCTION("IF (OR( Q890 = """" , P890 =""""), """" , IF(Q890 = ""Menos de 1 mês"" , ""antes de ""&amp; TO_TEXT( EDATE(P890, 1)), EDATE(P890,Q890)))"),"")</f>
        <v/>
      </c>
      <c r="S890" s="28"/>
      <c r="T890" s="28"/>
      <c r="U890" s="28"/>
      <c r="V890" s="66"/>
      <c r="W890" s="5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</row>
    <row r="891" ht="60.0" customHeight="1">
      <c r="A891" s="14" t="str">
        <f>if(H891&lt;&gt;"",VLOOKUP(H891,ID!$A$2:$C$999,3,FALSE),"") </f>
        <v/>
      </c>
      <c r="B891" s="15"/>
      <c r="C891" s="16"/>
      <c r="D891" s="89"/>
      <c r="E891" s="89"/>
      <c r="F891" s="85"/>
      <c r="G891" s="81"/>
      <c r="H891" s="85"/>
      <c r="I891" s="85"/>
      <c r="J891" s="85"/>
      <c r="K891" s="85"/>
      <c r="L891" s="85"/>
      <c r="M891" s="85"/>
      <c r="N891" s="66"/>
      <c r="O891" s="66"/>
      <c r="P891" s="66"/>
      <c r="Q891" s="28"/>
      <c r="R891" s="69" t="str">
        <f>IFERROR(__xludf.DUMMYFUNCTION("IF (OR( Q891 = """" , P891 =""""), """" , IF(Q891 = ""Menos de 1 mês"" , ""antes de ""&amp; TO_TEXT( EDATE(P891, 1)), EDATE(P891,Q891)))"),"")</f>
        <v/>
      </c>
      <c r="S891" s="28"/>
      <c r="T891" s="28"/>
      <c r="U891" s="28"/>
      <c r="V891" s="66"/>
      <c r="W891" s="5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</row>
    <row r="892" ht="60.0" customHeight="1">
      <c r="A892" s="14" t="str">
        <f>if(H892&lt;&gt;"",VLOOKUP(H892,ID!$A$2:$C$999,3,FALSE),"") </f>
        <v/>
      </c>
      <c r="B892" s="15"/>
      <c r="C892" s="16"/>
      <c r="D892" s="89"/>
      <c r="E892" s="89"/>
      <c r="F892" s="85"/>
      <c r="G892" s="81"/>
      <c r="H892" s="85"/>
      <c r="I892" s="85"/>
      <c r="J892" s="85"/>
      <c r="K892" s="85"/>
      <c r="L892" s="85"/>
      <c r="M892" s="85"/>
      <c r="N892" s="66"/>
      <c r="O892" s="66"/>
      <c r="P892" s="66"/>
      <c r="Q892" s="28"/>
      <c r="R892" s="69" t="str">
        <f>IFERROR(__xludf.DUMMYFUNCTION("IF (OR( Q892 = """" , P892 =""""), """" , IF(Q892 = ""Menos de 1 mês"" , ""antes de ""&amp; TO_TEXT( EDATE(P892, 1)), EDATE(P892,Q892)))"),"")</f>
        <v/>
      </c>
      <c r="S892" s="28"/>
      <c r="T892" s="28"/>
      <c r="U892" s="28"/>
      <c r="V892" s="66"/>
      <c r="W892" s="5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</row>
    <row r="893" ht="60.0" customHeight="1">
      <c r="A893" s="14" t="str">
        <f>if(H893&lt;&gt;"",VLOOKUP(H893,ID!$A$2:$C$999,3,FALSE),"") </f>
        <v/>
      </c>
      <c r="B893" s="15"/>
      <c r="C893" s="16"/>
      <c r="D893" s="89"/>
      <c r="E893" s="89"/>
      <c r="F893" s="85"/>
      <c r="G893" s="81"/>
      <c r="H893" s="85"/>
      <c r="I893" s="85"/>
      <c r="J893" s="85"/>
      <c r="K893" s="85"/>
      <c r="L893" s="85"/>
      <c r="M893" s="85"/>
      <c r="N893" s="66"/>
      <c r="O893" s="66"/>
      <c r="P893" s="66"/>
      <c r="Q893" s="28"/>
      <c r="R893" s="69" t="str">
        <f>IFERROR(__xludf.DUMMYFUNCTION("IF (OR( Q893 = """" , P893 =""""), """" , IF(Q893 = ""Menos de 1 mês"" , ""antes de ""&amp; TO_TEXT( EDATE(P893, 1)), EDATE(P893,Q893)))"),"")</f>
        <v/>
      </c>
      <c r="S893" s="28"/>
      <c r="T893" s="28"/>
      <c r="U893" s="28"/>
      <c r="V893" s="66"/>
      <c r="W893" s="5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</row>
    <row r="894" ht="60.0" customHeight="1">
      <c r="A894" s="14" t="str">
        <f>if(H894&lt;&gt;"",VLOOKUP(H894,ID!$A$2:$C$999,3,FALSE),"") </f>
        <v/>
      </c>
      <c r="B894" s="15"/>
      <c r="C894" s="16"/>
      <c r="D894" s="89"/>
      <c r="E894" s="89"/>
      <c r="F894" s="85"/>
      <c r="G894" s="81"/>
      <c r="H894" s="85"/>
      <c r="I894" s="85"/>
      <c r="J894" s="85"/>
      <c r="K894" s="85"/>
      <c r="L894" s="85"/>
      <c r="M894" s="85"/>
      <c r="N894" s="66"/>
      <c r="O894" s="66"/>
      <c r="P894" s="66"/>
      <c r="Q894" s="28"/>
      <c r="R894" s="69" t="str">
        <f>IFERROR(__xludf.DUMMYFUNCTION("IF (OR( Q894 = """" , P894 =""""), """" , IF(Q894 = ""Menos de 1 mês"" , ""antes de ""&amp; TO_TEXT( EDATE(P894, 1)), EDATE(P894,Q894)))"),"")</f>
        <v/>
      </c>
      <c r="S894" s="28"/>
      <c r="T894" s="28"/>
      <c r="U894" s="28"/>
      <c r="V894" s="66"/>
      <c r="W894" s="5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</row>
    <row r="895" ht="60.0" customHeight="1">
      <c r="A895" s="14" t="str">
        <f>if(H895&lt;&gt;"",VLOOKUP(H895,ID!$A$2:$C$999,3,FALSE),"") </f>
        <v/>
      </c>
      <c r="B895" s="15"/>
      <c r="C895" s="16"/>
      <c r="D895" s="89"/>
      <c r="E895" s="89"/>
      <c r="F895" s="85"/>
      <c r="G895" s="81"/>
      <c r="H895" s="85"/>
      <c r="I895" s="85"/>
      <c r="J895" s="85"/>
      <c r="K895" s="85"/>
      <c r="L895" s="85"/>
      <c r="M895" s="85"/>
      <c r="N895" s="66"/>
      <c r="O895" s="66"/>
      <c r="P895" s="66"/>
      <c r="Q895" s="28"/>
      <c r="R895" s="69" t="str">
        <f>IFERROR(__xludf.DUMMYFUNCTION("IF (OR( Q895 = """" , P895 =""""), """" , IF(Q895 = ""Menos de 1 mês"" , ""antes de ""&amp; TO_TEXT( EDATE(P895, 1)), EDATE(P895,Q895)))"),"")</f>
        <v/>
      </c>
      <c r="S895" s="28"/>
      <c r="T895" s="28"/>
      <c r="U895" s="28"/>
      <c r="V895" s="66"/>
      <c r="W895" s="5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  <c r="AJ895" s="28"/>
    </row>
    <row r="896" ht="60.0" customHeight="1">
      <c r="A896" s="14" t="str">
        <f>if(H896&lt;&gt;"",VLOOKUP(H896,ID!$A$2:$C$999,3,FALSE),"") </f>
        <v/>
      </c>
      <c r="B896" s="15"/>
      <c r="C896" s="16"/>
      <c r="D896" s="89"/>
      <c r="E896" s="89"/>
      <c r="F896" s="85"/>
      <c r="G896" s="81"/>
      <c r="H896" s="85"/>
      <c r="I896" s="85"/>
      <c r="J896" s="85"/>
      <c r="K896" s="85"/>
      <c r="L896" s="85"/>
      <c r="M896" s="85"/>
      <c r="N896" s="66"/>
      <c r="O896" s="66"/>
      <c r="P896" s="66"/>
      <c r="Q896" s="28"/>
      <c r="R896" s="69" t="str">
        <f>IFERROR(__xludf.DUMMYFUNCTION("IF (OR( Q896 = """" , P896 =""""), """" , IF(Q896 = ""Menos de 1 mês"" , ""antes de ""&amp; TO_TEXT( EDATE(P896, 1)), EDATE(P896,Q896)))"),"")</f>
        <v/>
      </c>
      <c r="S896" s="28"/>
      <c r="T896" s="28"/>
      <c r="U896" s="28"/>
      <c r="V896" s="66"/>
      <c r="W896" s="5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  <c r="AJ896" s="28"/>
    </row>
    <row r="897" ht="60.0" customHeight="1">
      <c r="A897" s="14" t="str">
        <f>if(H897&lt;&gt;"",VLOOKUP(H897,ID!$A$2:$C$999,3,FALSE),"") </f>
        <v/>
      </c>
      <c r="B897" s="15"/>
      <c r="C897" s="16"/>
      <c r="D897" s="89"/>
      <c r="E897" s="89"/>
      <c r="F897" s="85"/>
      <c r="G897" s="81"/>
      <c r="H897" s="85"/>
      <c r="I897" s="85"/>
      <c r="J897" s="85"/>
      <c r="K897" s="85"/>
      <c r="L897" s="85"/>
      <c r="M897" s="85"/>
      <c r="N897" s="66"/>
      <c r="O897" s="66"/>
      <c r="P897" s="66"/>
      <c r="Q897" s="28"/>
      <c r="R897" s="69" t="str">
        <f>IFERROR(__xludf.DUMMYFUNCTION("IF (OR( Q897 = """" , P897 =""""), """" , IF(Q897 = ""Menos de 1 mês"" , ""antes de ""&amp; TO_TEXT( EDATE(P897, 1)), EDATE(P897,Q897)))"),"")</f>
        <v/>
      </c>
      <c r="S897" s="28"/>
      <c r="T897" s="28"/>
      <c r="U897" s="28"/>
      <c r="V897" s="66"/>
      <c r="W897" s="5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</row>
    <row r="898" ht="60.0" customHeight="1">
      <c r="A898" s="14" t="str">
        <f>if(H898&lt;&gt;"",VLOOKUP(H898,ID!$A$2:$C$999,3,FALSE),"") </f>
        <v/>
      </c>
      <c r="B898" s="15"/>
      <c r="C898" s="16"/>
      <c r="D898" s="89"/>
      <c r="E898" s="89"/>
      <c r="F898" s="85"/>
      <c r="G898" s="81"/>
      <c r="H898" s="85"/>
      <c r="I898" s="85"/>
      <c r="J898" s="85"/>
      <c r="K898" s="85"/>
      <c r="L898" s="85"/>
      <c r="M898" s="85"/>
      <c r="N898" s="66"/>
      <c r="O898" s="66"/>
      <c r="P898" s="66"/>
      <c r="Q898" s="28"/>
      <c r="R898" s="69" t="str">
        <f>IFERROR(__xludf.DUMMYFUNCTION("IF (OR( Q898 = """" , P898 =""""), """" , IF(Q898 = ""Menos de 1 mês"" , ""antes de ""&amp; TO_TEXT( EDATE(P898, 1)), EDATE(P898,Q898)))"),"")</f>
        <v/>
      </c>
      <c r="S898" s="28"/>
      <c r="T898" s="28"/>
      <c r="U898" s="28"/>
      <c r="V898" s="66"/>
      <c r="W898" s="5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  <c r="AJ898" s="28"/>
    </row>
    <row r="899" ht="60.0" customHeight="1">
      <c r="A899" s="14" t="str">
        <f>if(H899&lt;&gt;"",VLOOKUP(H899,ID!$A$2:$C$999,3,FALSE),"") </f>
        <v/>
      </c>
      <c r="B899" s="15"/>
      <c r="C899" s="16"/>
      <c r="D899" s="89"/>
      <c r="E899" s="89"/>
      <c r="F899" s="85"/>
      <c r="G899" s="81"/>
      <c r="H899" s="85"/>
      <c r="I899" s="85"/>
      <c r="J899" s="85"/>
      <c r="K899" s="85"/>
      <c r="L899" s="85"/>
      <c r="M899" s="85"/>
      <c r="N899" s="66"/>
      <c r="O899" s="66"/>
      <c r="P899" s="66"/>
      <c r="Q899" s="28"/>
      <c r="R899" s="69" t="str">
        <f>IFERROR(__xludf.DUMMYFUNCTION("IF (OR( Q899 = """" , P899 =""""), """" , IF(Q899 = ""Menos de 1 mês"" , ""antes de ""&amp; TO_TEXT( EDATE(P899, 1)), EDATE(P899,Q899)))"),"")</f>
        <v/>
      </c>
      <c r="S899" s="28"/>
      <c r="T899" s="28"/>
      <c r="U899" s="28"/>
      <c r="V899" s="66"/>
      <c r="W899" s="5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</row>
    <row r="900" ht="60.0" customHeight="1">
      <c r="A900" s="14" t="str">
        <f>if(H900&lt;&gt;"",VLOOKUP(H900,ID!$A$2:$C$999,3,FALSE),"") </f>
        <v/>
      </c>
      <c r="B900" s="15"/>
      <c r="C900" s="16"/>
      <c r="D900" s="89"/>
      <c r="E900" s="89"/>
      <c r="F900" s="85"/>
      <c r="G900" s="81"/>
      <c r="H900" s="85"/>
      <c r="I900" s="85"/>
      <c r="J900" s="85"/>
      <c r="K900" s="85"/>
      <c r="L900" s="85"/>
      <c r="M900" s="85"/>
      <c r="N900" s="66"/>
      <c r="O900" s="66"/>
      <c r="P900" s="66"/>
      <c r="Q900" s="28"/>
      <c r="R900" s="69" t="str">
        <f>IFERROR(__xludf.DUMMYFUNCTION("IF (OR( Q900 = """" , P900 =""""), """" , IF(Q900 = ""Menos de 1 mês"" , ""antes de ""&amp; TO_TEXT( EDATE(P900, 1)), EDATE(P900,Q900)))"),"")</f>
        <v/>
      </c>
      <c r="S900" s="28"/>
      <c r="T900" s="28"/>
      <c r="U900" s="28"/>
      <c r="V900" s="66"/>
      <c r="W900" s="5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</row>
    <row r="901" ht="60.0" customHeight="1">
      <c r="A901" s="14" t="str">
        <f>if(H901&lt;&gt;"",VLOOKUP(H901,ID!$A$2:$C$999,3,FALSE),"") </f>
        <v/>
      </c>
      <c r="B901" s="15"/>
      <c r="C901" s="16"/>
      <c r="D901" s="89"/>
      <c r="E901" s="89"/>
      <c r="F901" s="85"/>
      <c r="G901" s="81"/>
      <c r="H901" s="85"/>
      <c r="I901" s="85"/>
      <c r="J901" s="85"/>
      <c r="K901" s="85"/>
      <c r="L901" s="85"/>
      <c r="M901" s="85"/>
      <c r="N901" s="66"/>
      <c r="O901" s="66"/>
      <c r="P901" s="66"/>
      <c r="Q901" s="28"/>
      <c r="R901" s="69" t="str">
        <f>IFERROR(__xludf.DUMMYFUNCTION("IF (OR( Q901 = """" , P901 =""""), """" , IF(Q901 = ""Menos de 1 mês"" , ""antes de ""&amp; TO_TEXT( EDATE(P901, 1)), EDATE(P901,Q901)))"),"")</f>
        <v/>
      </c>
      <c r="S901" s="28"/>
      <c r="T901" s="28"/>
      <c r="U901" s="28"/>
      <c r="V901" s="66"/>
      <c r="W901" s="5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</row>
    <row r="902" ht="60.0" customHeight="1">
      <c r="A902" s="14" t="str">
        <f>if(H902&lt;&gt;"",VLOOKUP(H902,ID!$A$2:$C$999,3,FALSE),"") </f>
        <v/>
      </c>
      <c r="B902" s="15"/>
      <c r="C902" s="16"/>
      <c r="D902" s="89"/>
      <c r="E902" s="89"/>
      <c r="F902" s="85"/>
      <c r="G902" s="81"/>
      <c r="H902" s="85"/>
      <c r="I902" s="85"/>
      <c r="J902" s="85"/>
      <c r="K902" s="85"/>
      <c r="L902" s="85"/>
      <c r="M902" s="85"/>
      <c r="N902" s="66"/>
      <c r="O902" s="66"/>
      <c r="P902" s="66"/>
      <c r="Q902" s="28"/>
      <c r="R902" s="69" t="str">
        <f>IFERROR(__xludf.DUMMYFUNCTION("IF (OR( Q902 = """" , P902 =""""), """" , IF(Q902 = ""Menos de 1 mês"" , ""antes de ""&amp; TO_TEXT( EDATE(P902, 1)), EDATE(P902,Q902)))"),"")</f>
        <v/>
      </c>
      <c r="S902" s="28"/>
      <c r="T902" s="28"/>
      <c r="U902" s="28"/>
      <c r="V902" s="66"/>
      <c r="W902" s="5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  <c r="AJ902" s="28"/>
    </row>
    <row r="903" ht="60.0" customHeight="1">
      <c r="A903" s="14" t="str">
        <f>if(H903&lt;&gt;"",VLOOKUP(H903,ID!$A$2:$C$999,3,FALSE),"") </f>
        <v/>
      </c>
      <c r="B903" s="15"/>
      <c r="C903" s="16"/>
      <c r="D903" s="89"/>
      <c r="E903" s="89"/>
      <c r="F903" s="85"/>
      <c r="G903" s="81"/>
      <c r="H903" s="85"/>
      <c r="I903" s="85"/>
      <c r="J903" s="85"/>
      <c r="K903" s="85"/>
      <c r="L903" s="85"/>
      <c r="M903" s="85"/>
      <c r="N903" s="66"/>
      <c r="O903" s="66"/>
      <c r="P903" s="66"/>
      <c r="Q903" s="28"/>
      <c r="R903" s="69" t="str">
        <f>IFERROR(__xludf.DUMMYFUNCTION("IF (OR( Q903 = """" , P903 =""""), """" , IF(Q903 = ""Menos de 1 mês"" , ""antes de ""&amp; TO_TEXT( EDATE(P903, 1)), EDATE(P903,Q903)))"),"")</f>
        <v/>
      </c>
      <c r="S903" s="28"/>
      <c r="T903" s="28"/>
      <c r="U903" s="28"/>
      <c r="V903" s="66"/>
      <c r="W903" s="5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  <c r="AJ903" s="28"/>
    </row>
    <row r="904" ht="60.0" customHeight="1">
      <c r="A904" s="14" t="str">
        <f>if(H904&lt;&gt;"",VLOOKUP(H904,ID!$A$2:$C$999,3,FALSE),"") </f>
        <v/>
      </c>
      <c r="B904" s="15"/>
      <c r="C904" s="16"/>
      <c r="D904" s="89"/>
      <c r="E904" s="89"/>
      <c r="F904" s="85"/>
      <c r="G904" s="81"/>
      <c r="H904" s="85"/>
      <c r="I904" s="85"/>
      <c r="J904" s="85"/>
      <c r="K904" s="85"/>
      <c r="L904" s="85"/>
      <c r="M904" s="85"/>
      <c r="N904" s="66"/>
      <c r="O904" s="66"/>
      <c r="P904" s="66"/>
      <c r="Q904" s="28"/>
      <c r="R904" s="69" t="str">
        <f>IFERROR(__xludf.DUMMYFUNCTION("IF (OR( Q904 = """" , P904 =""""), """" , IF(Q904 = ""Menos de 1 mês"" , ""antes de ""&amp; TO_TEXT( EDATE(P904, 1)), EDATE(P904,Q904)))"),"")</f>
        <v/>
      </c>
      <c r="S904" s="28"/>
      <c r="T904" s="28"/>
      <c r="U904" s="28"/>
      <c r="V904" s="66"/>
      <c r="W904" s="5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</row>
    <row r="905" ht="60.0" customHeight="1">
      <c r="A905" s="14" t="str">
        <f>if(H905&lt;&gt;"",VLOOKUP(H905,ID!$A$2:$C$999,3,FALSE),"") </f>
        <v/>
      </c>
      <c r="B905" s="15"/>
      <c r="C905" s="16"/>
      <c r="D905" s="89"/>
      <c r="E905" s="89"/>
      <c r="F905" s="85"/>
      <c r="G905" s="81"/>
      <c r="H905" s="85"/>
      <c r="I905" s="85"/>
      <c r="J905" s="85"/>
      <c r="K905" s="85"/>
      <c r="L905" s="85"/>
      <c r="M905" s="85"/>
      <c r="N905" s="66"/>
      <c r="O905" s="66"/>
      <c r="P905" s="66"/>
      <c r="Q905" s="28"/>
      <c r="R905" s="69" t="str">
        <f>IFERROR(__xludf.DUMMYFUNCTION("IF (OR( Q905 = """" , P905 =""""), """" , IF(Q905 = ""Menos de 1 mês"" , ""antes de ""&amp; TO_TEXT( EDATE(P905, 1)), EDATE(P905,Q905)))"),"")</f>
        <v/>
      </c>
      <c r="S905" s="28"/>
      <c r="T905" s="28"/>
      <c r="U905" s="28"/>
      <c r="V905" s="66"/>
      <c r="W905" s="5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</row>
    <row r="906" ht="60.0" customHeight="1">
      <c r="A906" s="14" t="str">
        <f>if(H906&lt;&gt;"",VLOOKUP(H906,ID!$A$2:$C$999,3,FALSE),"") </f>
        <v/>
      </c>
      <c r="B906" s="15"/>
      <c r="C906" s="16"/>
      <c r="D906" s="89"/>
      <c r="E906" s="89"/>
      <c r="F906" s="85"/>
      <c r="G906" s="81"/>
      <c r="H906" s="85"/>
      <c r="I906" s="85"/>
      <c r="J906" s="85"/>
      <c r="K906" s="85"/>
      <c r="L906" s="85"/>
      <c r="M906" s="85"/>
      <c r="N906" s="66"/>
      <c r="O906" s="66"/>
      <c r="P906" s="66"/>
      <c r="Q906" s="28"/>
      <c r="R906" s="69" t="str">
        <f>IFERROR(__xludf.DUMMYFUNCTION("IF (OR( Q906 = """" , P906 =""""), """" , IF(Q906 = ""Menos de 1 mês"" , ""antes de ""&amp; TO_TEXT( EDATE(P906, 1)), EDATE(P906,Q906)))"),"")</f>
        <v/>
      </c>
      <c r="S906" s="28"/>
      <c r="T906" s="28"/>
      <c r="U906" s="28"/>
      <c r="V906" s="66"/>
      <c r="W906" s="5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</row>
    <row r="907" ht="60.0" customHeight="1">
      <c r="A907" s="14" t="str">
        <f>if(H907&lt;&gt;"",VLOOKUP(H907,ID!$A$2:$C$999,3,FALSE),"") </f>
        <v/>
      </c>
      <c r="B907" s="15"/>
      <c r="C907" s="16"/>
      <c r="D907" s="89"/>
      <c r="E907" s="89"/>
      <c r="F907" s="85"/>
      <c r="G907" s="81"/>
      <c r="H907" s="85"/>
      <c r="I907" s="85"/>
      <c r="J907" s="85"/>
      <c r="K907" s="85"/>
      <c r="L907" s="85"/>
      <c r="M907" s="85"/>
      <c r="N907" s="66"/>
      <c r="O907" s="66"/>
      <c r="P907" s="66"/>
      <c r="Q907" s="28"/>
      <c r="R907" s="69" t="str">
        <f>IFERROR(__xludf.DUMMYFUNCTION("IF (OR( Q907 = """" , P907 =""""), """" , IF(Q907 = ""Menos de 1 mês"" , ""antes de ""&amp; TO_TEXT( EDATE(P907, 1)), EDATE(P907,Q907)))"),"")</f>
        <v/>
      </c>
      <c r="S907" s="28"/>
      <c r="T907" s="28"/>
      <c r="U907" s="28"/>
      <c r="V907" s="66"/>
      <c r="W907" s="5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8"/>
    </row>
    <row r="908" ht="60.0" customHeight="1">
      <c r="A908" s="14" t="str">
        <f>if(H908&lt;&gt;"",VLOOKUP(H908,ID!$A$2:$C$999,3,FALSE),"") </f>
        <v/>
      </c>
      <c r="B908" s="15"/>
      <c r="C908" s="16"/>
      <c r="D908" s="89"/>
      <c r="E908" s="89"/>
      <c r="F908" s="85"/>
      <c r="G908" s="81"/>
      <c r="H908" s="85"/>
      <c r="I908" s="85"/>
      <c r="J908" s="85"/>
      <c r="K908" s="85"/>
      <c r="L908" s="85"/>
      <c r="M908" s="85"/>
      <c r="N908" s="66"/>
      <c r="O908" s="66"/>
      <c r="P908" s="66"/>
      <c r="Q908" s="28"/>
      <c r="R908" s="69" t="str">
        <f>IFERROR(__xludf.DUMMYFUNCTION("IF (OR( Q908 = """" , P908 =""""), """" , IF(Q908 = ""Menos de 1 mês"" , ""antes de ""&amp; TO_TEXT( EDATE(P908, 1)), EDATE(P908,Q908)))"),"")</f>
        <v/>
      </c>
      <c r="S908" s="28"/>
      <c r="T908" s="28"/>
      <c r="U908" s="28"/>
      <c r="V908" s="66"/>
      <c r="W908" s="5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  <c r="AJ908" s="28"/>
    </row>
    <row r="909" ht="60.0" customHeight="1">
      <c r="A909" s="14" t="str">
        <f>if(H909&lt;&gt;"",VLOOKUP(H909,ID!$A$2:$C$999,3,FALSE),"") </f>
        <v/>
      </c>
      <c r="B909" s="15"/>
      <c r="C909" s="16"/>
      <c r="D909" s="89"/>
      <c r="E909" s="89"/>
      <c r="F909" s="85"/>
      <c r="G909" s="81"/>
      <c r="H909" s="85"/>
      <c r="I909" s="85"/>
      <c r="J909" s="85"/>
      <c r="K909" s="85"/>
      <c r="L909" s="85"/>
      <c r="M909" s="85"/>
      <c r="N909" s="66"/>
      <c r="O909" s="66"/>
      <c r="P909" s="66"/>
      <c r="Q909" s="28"/>
      <c r="R909" s="69" t="str">
        <f>IFERROR(__xludf.DUMMYFUNCTION("IF (OR( Q909 = """" , P909 =""""), """" , IF(Q909 = ""Menos de 1 mês"" , ""antes de ""&amp; TO_TEXT( EDATE(P909, 1)), EDATE(P909,Q909)))"),"")</f>
        <v/>
      </c>
      <c r="S909" s="28"/>
      <c r="T909" s="28"/>
      <c r="U909" s="28"/>
      <c r="V909" s="66"/>
      <c r="W909" s="5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  <c r="AJ909" s="28"/>
    </row>
    <row r="910" ht="60.0" customHeight="1">
      <c r="A910" s="14" t="str">
        <f>if(H910&lt;&gt;"",VLOOKUP(H910,ID!$A$2:$C$999,3,FALSE),"") </f>
        <v/>
      </c>
      <c r="B910" s="15"/>
      <c r="C910" s="16"/>
      <c r="D910" s="89"/>
      <c r="E910" s="89"/>
      <c r="F910" s="85"/>
      <c r="G910" s="81"/>
      <c r="H910" s="85"/>
      <c r="I910" s="85"/>
      <c r="J910" s="85"/>
      <c r="K910" s="85"/>
      <c r="L910" s="85"/>
      <c r="M910" s="85"/>
      <c r="N910" s="66"/>
      <c r="O910" s="66"/>
      <c r="P910" s="66"/>
      <c r="Q910" s="28"/>
      <c r="R910" s="69" t="str">
        <f>IFERROR(__xludf.DUMMYFUNCTION("IF (OR( Q910 = """" , P910 =""""), """" , IF(Q910 = ""Menos de 1 mês"" , ""antes de ""&amp; TO_TEXT( EDATE(P910, 1)), EDATE(P910,Q910)))"),"")</f>
        <v/>
      </c>
      <c r="S910" s="28"/>
      <c r="T910" s="28"/>
      <c r="U910" s="28"/>
      <c r="V910" s="66"/>
      <c r="W910" s="5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</row>
    <row r="911" ht="60.0" customHeight="1">
      <c r="A911" s="14" t="str">
        <f>if(H911&lt;&gt;"",VLOOKUP(H911,ID!$A$2:$C$999,3,FALSE),"") </f>
        <v/>
      </c>
      <c r="B911" s="15"/>
      <c r="C911" s="16"/>
      <c r="D911" s="89"/>
      <c r="E911" s="89"/>
      <c r="F911" s="85"/>
      <c r="G911" s="81"/>
      <c r="H911" s="85"/>
      <c r="I911" s="85"/>
      <c r="J911" s="85"/>
      <c r="K911" s="85"/>
      <c r="L911" s="85"/>
      <c r="M911" s="85"/>
      <c r="N911" s="66"/>
      <c r="O911" s="66"/>
      <c r="P911" s="66"/>
      <c r="Q911" s="28"/>
      <c r="R911" s="69" t="str">
        <f>IFERROR(__xludf.DUMMYFUNCTION("IF (OR( Q911 = """" , P911 =""""), """" , IF(Q911 = ""Menos de 1 mês"" , ""antes de ""&amp; TO_TEXT( EDATE(P911, 1)), EDATE(P911,Q911)))"),"")</f>
        <v/>
      </c>
      <c r="S911" s="28"/>
      <c r="T911" s="28"/>
      <c r="U911" s="28"/>
      <c r="V911" s="66"/>
      <c r="W911" s="5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  <c r="AJ911" s="28"/>
    </row>
    <row r="912" ht="60.0" customHeight="1">
      <c r="A912" s="14" t="str">
        <f>if(H912&lt;&gt;"",VLOOKUP(H912,ID!$A$2:$C$999,3,FALSE),"") </f>
        <v/>
      </c>
      <c r="B912" s="15"/>
      <c r="C912" s="16"/>
      <c r="D912" s="89"/>
      <c r="E912" s="89"/>
      <c r="F912" s="85"/>
      <c r="G912" s="81"/>
      <c r="H912" s="85"/>
      <c r="I912" s="85"/>
      <c r="J912" s="85"/>
      <c r="K912" s="85"/>
      <c r="L912" s="85"/>
      <c r="M912" s="85"/>
      <c r="N912" s="66"/>
      <c r="O912" s="66"/>
      <c r="P912" s="66"/>
      <c r="Q912" s="28"/>
      <c r="R912" s="69" t="str">
        <f>IFERROR(__xludf.DUMMYFUNCTION("IF (OR( Q912 = """" , P912 =""""), """" , IF(Q912 = ""Menos de 1 mês"" , ""antes de ""&amp; TO_TEXT( EDATE(P912, 1)), EDATE(P912,Q912)))"),"")</f>
        <v/>
      </c>
      <c r="S912" s="28"/>
      <c r="T912" s="28"/>
      <c r="U912" s="28"/>
      <c r="V912" s="66"/>
      <c r="W912" s="5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  <c r="AJ912" s="28"/>
    </row>
    <row r="913" ht="60.0" customHeight="1">
      <c r="A913" s="14" t="str">
        <f>if(H913&lt;&gt;"",VLOOKUP(H913,ID!$A$2:$C$999,3,FALSE),"") </f>
        <v/>
      </c>
      <c r="B913" s="15"/>
      <c r="C913" s="16"/>
      <c r="D913" s="89"/>
      <c r="E913" s="89"/>
      <c r="F913" s="85"/>
      <c r="G913" s="81"/>
      <c r="H913" s="85"/>
      <c r="I913" s="85"/>
      <c r="J913" s="85"/>
      <c r="K913" s="85"/>
      <c r="L913" s="85"/>
      <c r="M913" s="85"/>
      <c r="N913" s="66"/>
      <c r="O913" s="66"/>
      <c r="P913" s="66"/>
      <c r="Q913" s="28"/>
      <c r="R913" s="69" t="str">
        <f>IFERROR(__xludf.DUMMYFUNCTION("IF (OR( Q913 = """" , P913 =""""), """" , IF(Q913 = ""Menos de 1 mês"" , ""antes de ""&amp; TO_TEXT( EDATE(P913, 1)), EDATE(P913,Q913)))"),"")</f>
        <v/>
      </c>
      <c r="S913" s="28"/>
      <c r="T913" s="28"/>
      <c r="U913" s="28"/>
      <c r="V913" s="66"/>
      <c r="W913" s="5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  <c r="AJ913" s="28"/>
    </row>
    <row r="914" ht="60.0" customHeight="1">
      <c r="A914" s="14" t="str">
        <f>if(H914&lt;&gt;"",VLOOKUP(H914,ID!$A$2:$C$999,3,FALSE),"") </f>
        <v/>
      </c>
      <c r="B914" s="15"/>
      <c r="C914" s="16"/>
      <c r="D914" s="89"/>
      <c r="E914" s="89"/>
      <c r="F914" s="85"/>
      <c r="G914" s="81"/>
      <c r="H914" s="85"/>
      <c r="I914" s="85"/>
      <c r="J914" s="85"/>
      <c r="K914" s="85"/>
      <c r="L914" s="85"/>
      <c r="M914" s="85"/>
      <c r="N914" s="66"/>
      <c r="O914" s="66"/>
      <c r="P914" s="66"/>
      <c r="Q914" s="28"/>
      <c r="R914" s="69" t="str">
        <f>IFERROR(__xludf.DUMMYFUNCTION("IF (OR( Q914 = """" , P914 =""""), """" , IF(Q914 = ""Menos de 1 mês"" , ""antes de ""&amp; TO_TEXT( EDATE(P914, 1)), EDATE(P914,Q914)))"),"")</f>
        <v/>
      </c>
      <c r="S914" s="28"/>
      <c r="T914" s="28"/>
      <c r="U914" s="28"/>
      <c r="V914" s="66"/>
      <c r="W914" s="5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</row>
    <row r="915" ht="60.0" customHeight="1">
      <c r="A915" s="14" t="str">
        <f>if(H915&lt;&gt;"",VLOOKUP(H915,ID!$A$2:$C$999,3,FALSE),"") </f>
        <v/>
      </c>
      <c r="B915" s="15"/>
      <c r="C915" s="16"/>
      <c r="D915" s="89"/>
      <c r="E915" s="89"/>
      <c r="F915" s="85"/>
      <c r="G915" s="81"/>
      <c r="H915" s="85"/>
      <c r="I915" s="85"/>
      <c r="J915" s="85"/>
      <c r="K915" s="85"/>
      <c r="L915" s="85"/>
      <c r="M915" s="85"/>
      <c r="N915" s="66"/>
      <c r="O915" s="66"/>
      <c r="P915" s="66"/>
      <c r="Q915" s="28"/>
      <c r="R915" s="69" t="str">
        <f>IFERROR(__xludf.DUMMYFUNCTION("IF (OR( Q915 = """" , P915 =""""), """" , IF(Q915 = ""Menos de 1 mês"" , ""antes de ""&amp; TO_TEXT( EDATE(P915, 1)), EDATE(P915,Q915)))"),"")</f>
        <v/>
      </c>
      <c r="S915" s="28"/>
      <c r="T915" s="28"/>
      <c r="U915" s="28"/>
      <c r="V915" s="66"/>
      <c r="W915" s="5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</row>
    <row r="916" ht="60.0" customHeight="1">
      <c r="A916" s="14" t="str">
        <f>if(H916&lt;&gt;"",VLOOKUP(H916,ID!$A$2:$C$999,3,FALSE),"") </f>
        <v/>
      </c>
      <c r="B916" s="15"/>
      <c r="C916" s="16"/>
      <c r="D916" s="89"/>
      <c r="E916" s="89"/>
      <c r="F916" s="85"/>
      <c r="G916" s="81"/>
      <c r="H916" s="85"/>
      <c r="I916" s="85"/>
      <c r="J916" s="85"/>
      <c r="K916" s="85"/>
      <c r="L916" s="85"/>
      <c r="M916" s="85"/>
      <c r="N916" s="66"/>
      <c r="O916" s="66"/>
      <c r="P916" s="66"/>
      <c r="Q916" s="28"/>
      <c r="R916" s="69" t="str">
        <f>IFERROR(__xludf.DUMMYFUNCTION("IF (OR( Q916 = """" , P916 =""""), """" , IF(Q916 = ""Menos de 1 mês"" , ""antes de ""&amp; TO_TEXT( EDATE(P916, 1)), EDATE(P916,Q916)))"),"")</f>
        <v/>
      </c>
      <c r="S916" s="28"/>
      <c r="T916" s="28"/>
      <c r="U916" s="28"/>
      <c r="V916" s="66"/>
      <c r="W916" s="5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</row>
    <row r="917" ht="60.0" customHeight="1">
      <c r="A917" s="14" t="str">
        <f>if(H917&lt;&gt;"",VLOOKUP(H917,ID!$A$2:$C$999,3,FALSE),"") </f>
        <v/>
      </c>
      <c r="B917" s="15"/>
      <c r="C917" s="16"/>
      <c r="D917" s="89"/>
      <c r="E917" s="89"/>
      <c r="F917" s="85"/>
      <c r="G917" s="81"/>
      <c r="H917" s="85"/>
      <c r="I917" s="85"/>
      <c r="J917" s="85"/>
      <c r="K917" s="85"/>
      <c r="L917" s="85"/>
      <c r="M917" s="85"/>
      <c r="N917" s="66"/>
      <c r="O917" s="66"/>
      <c r="P917" s="66"/>
      <c r="Q917" s="28"/>
      <c r="R917" s="69" t="str">
        <f>IFERROR(__xludf.DUMMYFUNCTION("IF (OR( Q917 = """" , P917 =""""), """" , IF(Q917 = ""Menos de 1 mês"" , ""antes de ""&amp; TO_TEXT( EDATE(P917, 1)), EDATE(P917,Q917)))"),"")</f>
        <v/>
      </c>
      <c r="S917" s="28"/>
      <c r="T917" s="28"/>
      <c r="U917" s="28"/>
      <c r="V917" s="66"/>
      <c r="W917" s="5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</row>
    <row r="918" ht="60.0" customHeight="1">
      <c r="A918" s="14" t="str">
        <f>if(H918&lt;&gt;"",VLOOKUP(H918,ID!$A$2:$C$999,3,FALSE),"") </f>
        <v/>
      </c>
      <c r="B918" s="15"/>
      <c r="C918" s="16"/>
      <c r="D918" s="89"/>
      <c r="E918" s="89"/>
      <c r="F918" s="85"/>
      <c r="G918" s="81"/>
      <c r="H918" s="85"/>
      <c r="I918" s="85"/>
      <c r="J918" s="85"/>
      <c r="K918" s="85"/>
      <c r="L918" s="85"/>
      <c r="M918" s="85"/>
      <c r="N918" s="66"/>
      <c r="O918" s="66"/>
      <c r="P918" s="66"/>
      <c r="Q918" s="28"/>
      <c r="R918" s="69" t="str">
        <f>IFERROR(__xludf.DUMMYFUNCTION("IF (OR( Q918 = """" , P918 =""""), """" , IF(Q918 = ""Menos de 1 mês"" , ""antes de ""&amp; TO_TEXT( EDATE(P918, 1)), EDATE(P918,Q918)))"),"")</f>
        <v/>
      </c>
      <c r="S918" s="28"/>
      <c r="T918" s="28"/>
      <c r="U918" s="28"/>
      <c r="V918" s="66"/>
      <c r="W918" s="5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</row>
    <row r="919" ht="60.0" customHeight="1">
      <c r="A919" s="14" t="str">
        <f>if(H919&lt;&gt;"",VLOOKUP(H919,ID!$A$2:$C$999,3,FALSE),"") </f>
        <v/>
      </c>
      <c r="B919" s="15"/>
      <c r="C919" s="16"/>
      <c r="D919" s="89"/>
      <c r="E919" s="89"/>
      <c r="F919" s="85"/>
      <c r="G919" s="81"/>
      <c r="H919" s="85"/>
      <c r="I919" s="85"/>
      <c r="J919" s="85"/>
      <c r="K919" s="85"/>
      <c r="L919" s="85"/>
      <c r="M919" s="85"/>
      <c r="N919" s="66"/>
      <c r="O919" s="66"/>
      <c r="P919" s="66"/>
      <c r="Q919" s="28"/>
      <c r="R919" s="69" t="str">
        <f>IFERROR(__xludf.DUMMYFUNCTION("IF (OR( Q919 = """" , P919 =""""), """" , IF(Q919 = ""Menos de 1 mês"" , ""antes de ""&amp; TO_TEXT( EDATE(P919, 1)), EDATE(P919,Q919)))"),"")</f>
        <v/>
      </c>
      <c r="S919" s="28"/>
      <c r="T919" s="28"/>
      <c r="U919" s="28"/>
      <c r="V919" s="66"/>
      <c r="W919" s="5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</row>
    <row r="920" ht="60.0" customHeight="1">
      <c r="A920" s="14" t="str">
        <f>if(H920&lt;&gt;"",VLOOKUP(H920,ID!$A$2:$C$999,3,FALSE),"") </f>
        <v/>
      </c>
      <c r="B920" s="15"/>
      <c r="C920" s="16"/>
      <c r="D920" s="89"/>
      <c r="E920" s="89"/>
      <c r="F920" s="85"/>
      <c r="G920" s="81"/>
      <c r="H920" s="85"/>
      <c r="I920" s="85"/>
      <c r="J920" s="85"/>
      <c r="K920" s="85"/>
      <c r="L920" s="85"/>
      <c r="M920" s="85"/>
      <c r="N920" s="66"/>
      <c r="O920" s="66"/>
      <c r="P920" s="66"/>
      <c r="Q920" s="28"/>
      <c r="R920" s="69" t="str">
        <f>IFERROR(__xludf.DUMMYFUNCTION("IF (OR( Q920 = """" , P920 =""""), """" , IF(Q920 = ""Menos de 1 mês"" , ""antes de ""&amp; TO_TEXT( EDATE(P920, 1)), EDATE(P920,Q920)))"),"")</f>
        <v/>
      </c>
      <c r="S920" s="28"/>
      <c r="T920" s="28"/>
      <c r="U920" s="28"/>
      <c r="V920" s="66"/>
      <c r="W920" s="5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</row>
    <row r="921" ht="60.0" customHeight="1">
      <c r="A921" s="14" t="str">
        <f>if(H921&lt;&gt;"",VLOOKUP(H921,ID!$A$2:$C$999,3,FALSE),"") </f>
        <v/>
      </c>
      <c r="B921" s="15"/>
      <c r="C921" s="16"/>
      <c r="D921" s="89"/>
      <c r="E921" s="89"/>
      <c r="F921" s="85"/>
      <c r="G921" s="81"/>
      <c r="H921" s="85"/>
      <c r="I921" s="85"/>
      <c r="J921" s="85"/>
      <c r="K921" s="85"/>
      <c r="L921" s="85"/>
      <c r="M921" s="85"/>
      <c r="N921" s="66"/>
      <c r="O921" s="66"/>
      <c r="P921" s="66"/>
      <c r="Q921" s="28"/>
      <c r="R921" s="69" t="str">
        <f>IFERROR(__xludf.DUMMYFUNCTION("IF (OR( Q921 = """" , P921 =""""), """" , IF(Q921 = ""Menos de 1 mês"" , ""antes de ""&amp; TO_TEXT( EDATE(P921, 1)), EDATE(P921,Q921)))"),"")</f>
        <v/>
      </c>
      <c r="S921" s="28"/>
      <c r="T921" s="28"/>
      <c r="U921" s="28"/>
      <c r="V921" s="66"/>
      <c r="W921" s="5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</row>
    <row r="922" ht="60.0" customHeight="1">
      <c r="A922" s="14" t="str">
        <f>if(H922&lt;&gt;"",VLOOKUP(H922,ID!$A$2:$C$999,3,FALSE),"") </f>
        <v/>
      </c>
      <c r="B922" s="15"/>
      <c r="C922" s="16"/>
      <c r="D922" s="89"/>
      <c r="E922" s="89"/>
      <c r="F922" s="85"/>
      <c r="G922" s="81"/>
      <c r="H922" s="85"/>
      <c r="I922" s="85"/>
      <c r="J922" s="85"/>
      <c r="K922" s="85"/>
      <c r="L922" s="85"/>
      <c r="M922" s="85"/>
      <c r="N922" s="66"/>
      <c r="O922" s="66"/>
      <c r="P922" s="66"/>
      <c r="Q922" s="28"/>
      <c r="R922" s="69" t="str">
        <f>IFERROR(__xludf.DUMMYFUNCTION("IF (OR( Q922 = """" , P922 =""""), """" , IF(Q922 = ""Menos de 1 mês"" , ""antes de ""&amp; TO_TEXT( EDATE(P922, 1)), EDATE(P922,Q922)))"),"")</f>
        <v/>
      </c>
      <c r="S922" s="28"/>
      <c r="T922" s="28"/>
      <c r="U922" s="28"/>
      <c r="V922" s="66"/>
      <c r="W922" s="5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  <c r="AJ922" s="28"/>
    </row>
    <row r="923" ht="60.0" customHeight="1">
      <c r="A923" s="14" t="str">
        <f>if(H923&lt;&gt;"",VLOOKUP(H923,ID!$A$2:$C$999,3,FALSE),"") </f>
        <v/>
      </c>
      <c r="B923" s="15"/>
      <c r="C923" s="16"/>
      <c r="D923" s="89"/>
      <c r="E923" s="89"/>
      <c r="F923" s="85"/>
      <c r="G923" s="81"/>
      <c r="H923" s="85"/>
      <c r="I923" s="85"/>
      <c r="J923" s="85"/>
      <c r="K923" s="85"/>
      <c r="L923" s="85"/>
      <c r="M923" s="85"/>
      <c r="N923" s="66"/>
      <c r="O923" s="66"/>
      <c r="P923" s="66"/>
      <c r="Q923" s="28"/>
      <c r="R923" s="69" t="str">
        <f>IFERROR(__xludf.DUMMYFUNCTION("IF (OR( Q923 = """" , P923 =""""), """" , IF(Q923 = ""Menos de 1 mês"" , ""antes de ""&amp; TO_TEXT( EDATE(P923, 1)), EDATE(P923,Q923)))"),"")</f>
        <v/>
      </c>
      <c r="S923" s="28"/>
      <c r="T923" s="28"/>
      <c r="U923" s="28"/>
      <c r="V923" s="66"/>
      <c r="W923" s="5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</row>
    <row r="924" ht="60.0" customHeight="1">
      <c r="A924" s="14" t="str">
        <f>if(H924&lt;&gt;"",VLOOKUP(H924,ID!$A$2:$C$999,3,FALSE),"") </f>
        <v/>
      </c>
      <c r="B924" s="15"/>
      <c r="C924" s="16"/>
      <c r="D924" s="89"/>
      <c r="E924" s="89"/>
      <c r="F924" s="85"/>
      <c r="G924" s="81"/>
      <c r="H924" s="85"/>
      <c r="I924" s="85"/>
      <c r="J924" s="85"/>
      <c r="K924" s="85"/>
      <c r="L924" s="85"/>
      <c r="M924" s="85"/>
      <c r="N924" s="66"/>
      <c r="O924" s="66"/>
      <c r="P924" s="66"/>
      <c r="Q924" s="28"/>
      <c r="R924" s="69" t="str">
        <f>IFERROR(__xludf.DUMMYFUNCTION("IF (OR( Q924 = """" , P924 =""""), """" , IF(Q924 = ""Menos de 1 mês"" , ""antes de ""&amp; TO_TEXT( EDATE(P924, 1)), EDATE(P924,Q924)))"),"")</f>
        <v/>
      </c>
      <c r="S924" s="28"/>
      <c r="T924" s="28"/>
      <c r="U924" s="28"/>
      <c r="V924" s="66"/>
      <c r="W924" s="5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</row>
    <row r="925" ht="60.0" customHeight="1">
      <c r="A925" s="14" t="str">
        <f>if(H925&lt;&gt;"",VLOOKUP(H925,ID!$A$2:$C$999,3,FALSE),"") </f>
        <v/>
      </c>
      <c r="B925" s="15"/>
      <c r="C925" s="16"/>
      <c r="D925" s="89"/>
      <c r="E925" s="89"/>
      <c r="F925" s="85"/>
      <c r="G925" s="81"/>
      <c r="H925" s="85"/>
      <c r="I925" s="85"/>
      <c r="J925" s="85"/>
      <c r="K925" s="85"/>
      <c r="L925" s="85"/>
      <c r="M925" s="85"/>
      <c r="N925" s="66"/>
      <c r="O925" s="66"/>
      <c r="P925" s="66"/>
      <c r="Q925" s="28"/>
      <c r="R925" s="69" t="str">
        <f>IFERROR(__xludf.DUMMYFUNCTION("IF (OR( Q925 = """" , P925 =""""), """" , IF(Q925 = ""Menos de 1 mês"" , ""antes de ""&amp; TO_TEXT( EDATE(P925, 1)), EDATE(P925,Q925)))"),"")</f>
        <v/>
      </c>
      <c r="S925" s="28"/>
      <c r="T925" s="28"/>
      <c r="U925" s="28"/>
      <c r="V925" s="66"/>
      <c r="W925" s="5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  <c r="AJ925" s="28"/>
    </row>
    <row r="926" ht="60.0" customHeight="1">
      <c r="A926" s="14" t="str">
        <f>if(H926&lt;&gt;"",VLOOKUP(H926,ID!$A$2:$C$999,3,FALSE),"") </f>
        <v/>
      </c>
      <c r="B926" s="15"/>
      <c r="C926" s="16"/>
      <c r="D926" s="89"/>
      <c r="E926" s="89"/>
      <c r="F926" s="85"/>
      <c r="G926" s="81"/>
      <c r="H926" s="85"/>
      <c r="I926" s="85"/>
      <c r="J926" s="85"/>
      <c r="K926" s="85"/>
      <c r="L926" s="85"/>
      <c r="M926" s="85"/>
      <c r="N926" s="66"/>
      <c r="O926" s="66"/>
      <c r="P926" s="66"/>
      <c r="Q926" s="28"/>
      <c r="R926" s="69" t="str">
        <f>IFERROR(__xludf.DUMMYFUNCTION("IF (OR( Q926 = """" , P926 =""""), """" , IF(Q926 = ""Menos de 1 mês"" , ""antes de ""&amp; TO_TEXT( EDATE(P926, 1)), EDATE(P926,Q926)))"),"")</f>
        <v/>
      </c>
      <c r="S926" s="28"/>
      <c r="T926" s="28"/>
      <c r="U926" s="28"/>
      <c r="V926" s="66"/>
      <c r="W926" s="5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</row>
    <row r="927" ht="60.0" customHeight="1">
      <c r="A927" s="14" t="str">
        <f>if(H927&lt;&gt;"",VLOOKUP(H927,ID!$A$2:$C$999,3,FALSE),"") </f>
        <v/>
      </c>
      <c r="B927" s="15"/>
      <c r="C927" s="16"/>
      <c r="D927" s="89"/>
      <c r="E927" s="89"/>
      <c r="F927" s="85"/>
      <c r="G927" s="81"/>
      <c r="H927" s="85"/>
      <c r="I927" s="85"/>
      <c r="J927" s="85"/>
      <c r="K927" s="85"/>
      <c r="L927" s="85"/>
      <c r="M927" s="85"/>
      <c r="N927" s="66"/>
      <c r="O927" s="66"/>
      <c r="P927" s="66"/>
      <c r="Q927" s="28"/>
      <c r="R927" s="69" t="str">
        <f>IFERROR(__xludf.DUMMYFUNCTION("IF (OR( Q927 = """" , P927 =""""), """" , IF(Q927 = ""Menos de 1 mês"" , ""antes de ""&amp; TO_TEXT( EDATE(P927, 1)), EDATE(P927,Q927)))"),"")</f>
        <v/>
      </c>
      <c r="S927" s="28"/>
      <c r="T927" s="28"/>
      <c r="U927" s="28"/>
      <c r="V927" s="66"/>
      <c r="W927" s="5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  <c r="AJ927" s="28"/>
    </row>
    <row r="928" ht="60.0" customHeight="1">
      <c r="A928" s="14" t="str">
        <f>if(H928&lt;&gt;"",VLOOKUP(H928,ID!$A$2:$C$999,3,FALSE),"") </f>
        <v/>
      </c>
      <c r="B928" s="15"/>
      <c r="C928" s="16"/>
      <c r="D928" s="89"/>
      <c r="E928" s="89"/>
      <c r="F928" s="85"/>
      <c r="G928" s="81"/>
      <c r="H928" s="85"/>
      <c r="I928" s="85"/>
      <c r="J928" s="85"/>
      <c r="K928" s="85"/>
      <c r="L928" s="85"/>
      <c r="M928" s="85"/>
      <c r="N928" s="66"/>
      <c r="O928" s="66"/>
      <c r="P928" s="66"/>
      <c r="Q928" s="28"/>
      <c r="R928" s="69" t="str">
        <f>IFERROR(__xludf.DUMMYFUNCTION("IF (OR( Q928 = """" , P928 =""""), """" , IF(Q928 = ""Menos de 1 mês"" , ""antes de ""&amp; TO_TEXT( EDATE(P928, 1)), EDATE(P928,Q928)))"),"")</f>
        <v/>
      </c>
      <c r="S928" s="28"/>
      <c r="T928" s="28"/>
      <c r="U928" s="28"/>
      <c r="V928" s="66"/>
      <c r="W928" s="5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</row>
    <row r="929" ht="60.0" customHeight="1">
      <c r="A929" s="14" t="str">
        <f>if(H929&lt;&gt;"",VLOOKUP(H929,ID!$A$2:$C$999,3,FALSE),"") </f>
        <v/>
      </c>
      <c r="B929" s="15"/>
      <c r="C929" s="16"/>
      <c r="D929" s="89"/>
      <c r="E929" s="89"/>
      <c r="F929" s="85"/>
      <c r="G929" s="81"/>
      <c r="H929" s="85"/>
      <c r="I929" s="85"/>
      <c r="J929" s="85"/>
      <c r="K929" s="85"/>
      <c r="L929" s="85"/>
      <c r="M929" s="85"/>
      <c r="N929" s="66"/>
      <c r="O929" s="66"/>
      <c r="P929" s="66"/>
      <c r="Q929" s="28"/>
      <c r="R929" s="69" t="str">
        <f>IFERROR(__xludf.DUMMYFUNCTION("IF (OR( Q929 = """" , P929 =""""), """" , IF(Q929 = ""Menos de 1 mês"" , ""antes de ""&amp; TO_TEXT( EDATE(P929, 1)), EDATE(P929,Q929)))"),"")</f>
        <v/>
      </c>
      <c r="S929" s="28"/>
      <c r="T929" s="28"/>
      <c r="U929" s="28"/>
      <c r="V929" s="66"/>
      <c r="W929" s="5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</row>
    <row r="930" ht="60.0" customHeight="1">
      <c r="A930" s="14" t="str">
        <f>if(H930&lt;&gt;"",VLOOKUP(H930,ID!$A$2:$C$999,3,FALSE),"") </f>
        <v/>
      </c>
      <c r="B930" s="15"/>
      <c r="C930" s="16"/>
      <c r="D930" s="89"/>
      <c r="E930" s="89"/>
      <c r="F930" s="85"/>
      <c r="G930" s="81"/>
      <c r="H930" s="85"/>
      <c r="I930" s="85"/>
      <c r="J930" s="85"/>
      <c r="K930" s="85"/>
      <c r="L930" s="85"/>
      <c r="M930" s="85"/>
      <c r="N930" s="64"/>
      <c r="O930" s="66"/>
      <c r="P930" s="66"/>
      <c r="Q930" s="28"/>
      <c r="R930" s="69" t="str">
        <f>IFERROR(__xludf.DUMMYFUNCTION("IF (OR( Q930 = """" , P930 =""""), """" , IF(Q930 = ""Menos de 1 mês"" , ""antes de ""&amp; TO_TEXT( EDATE(P930, 1)), EDATE(P930,Q930)))"),"")</f>
        <v/>
      </c>
      <c r="S930" s="28"/>
      <c r="T930" s="28"/>
      <c r="U930" s="28"/>
      <c r="V930" s="66"/>
      <c r="W930" s="5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</row>
    <row r="931" ht="60.0" customHeight="1">
      <c r="A931" s="14" t="str">
        <f>if(H931&lt;&gt;"",VLOOKUP(H931,ID!$A$2:$C$999,3,FALSE),"") </f>
        <v/>
      </c>
      <c r="B931" s="15"/>
      <c r="C931" s="16"/>
      <c r="D931" s="89"/>
      <c r="E931" s="89"/>
      <c r="F931" s="85"/>
      <c r="G931" s="81"/>
      <c r="H931" s="85"/>
      <c r="I931" s="85"/>
      <c r="J931" s="85"/>
      <c r="K931" s="85"/>
      <c r="L931" s="85"/>
      <c r="M931" s="85"/>
      <c r="N931" s="66"/>
      <c r="O931" s="66"/>
      <c r="P931" s="66"/>
      <c r="Q931" s="28"/>
      <c r="R931" s="69" t="str">
        <f>IFERROR(__xludf.DUMMYFUNCTION("IF (OR( Q931 = """" , P931 =""""), """" , IF(Q931 = ""Menos de 1 mês"" , ""antes de ""&amp; TO_TEXT( EDATE(P931, 1)), EDATE(P931,Q931)))"),"")</f>
        <v/>
      </c>
      <c r="S931" s="28"/>
      <c r="T931" s="28"/>
      <c r="U931" s="28"/>
      <c r="V931" s="66"/>
      <c r="W931" s="5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</row>
    <row r="932" ht="60.0" customHeight="1">
      <c r="A932" s="14" t="str">
        <f>if(H932&lt;&gt;"",VLOOKUP(H932,ID!$A$2:$C$999,3,FALSE),"") </f>
        <v/>
      </c>
      <c r="B932" s="15"/>
      <c r="C932" s="16"/>
      <c r="D932" s="89"/>
      <c r="E932" s="89"/>
      <c r="F932" s="85"/>
      <c r="G932" s="81"/>
      <c r="H932" s="85"/>
      <c r="I932" s="85"/>
      <c r="J932" s="85"/>
      <c r="K932" s="85"/>
      <c r="L932" s="54"/>
      <c r="M932" s="85"/>
      <c r="N932" s="66"/>
      <c r="O932" s="66"/>
      <c r="P932" s="66"/>
      <c r="Q932" s="28"/>
      <c r="R932" s="69" t="str">
        <f>IFERROR(__xludf.DUMMYFUNCTION("IF (OR( Q932 = """" , P932 =""""), """" , IF(Q932 = ""Menos de 1 mês"" , ""antes de ""&amp; TO_TEXT( EDATE(P932, 1)), EDATE(P932,Q932)))"),"")</f>
        <v/>
      </c>
      <c r="S932" s="28"/>
      <c r="T932" s="28"/>
      <c r="U932" s="28"/>
      <c r="V932" s="66"/>
      <c r="W932" s="5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</row>
    <row r="933" ht="60.0" customHeight="1">
      <c r="A933" s="14" t="str">
        <f>if(H933&lt;&gt;"",VLOOKUP(H933,ID!$A$2:$C$999,3,FALSE),"") </f>
        <v/>
      </c>
      <c r="B933" s="15"/>
      <c r="C933" s="16"/>
      <c r="D933" s="89"/>
      <c r="E933" s="89"/>
      <c r="F933" s="85"/>
      <c r="G933" s="81"/>
      <c r="H933" s="85"/>
      <c r="I933" s="85"/>
      <c r="J933" s="85"/>
      <c r="K933" s="85"/>
      <c r="L933" s="85"/>
      <c r="M933" s="85"/>
      <c r="N933" s="64"/>
      <c r="O933" s="66"/>
      <c r="P933" s="66"/>
      <c r="Q933" s="28"/>
      <c r="R933" s="69" t="str">
        <f>IFERROR(__xludf.DUMMYFUNCTION("IF (OR( Q933 = """" , P933 =""""), """" , IF(Q933 = ""Menos de 1 mês"" , ""antes de ""&amp; TO_TEXT( EDATE(P933, 1)), EDATE(P933,Q933)))"),"")</f>
        <v/>
      </c>
      <c r="S933" s="28"/>
      <c r="T933" s="28"/>
      <c r="U933" s="28"/>
      <c r="V933" s="66"/>
      <c r="W933" s="5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</row>
    <row r="934" ht="60.0" customHeight="1">
      <c r="A934" s="14" t="str">
        <f>if(H934&lt;&gt;"",VLOOKUP(H934,ID!$A$2:$C$999,3,FALSE),"") </f>
        <v/>
      </c>
      <c r="B934" s="15"/>
      <c r="C934" s="16"/>
      <c r="D934" s="89"/>
      <c r="E934" s="89"/>
      <c r="F934" s="85"/>
      <c r="G934" s="81"/>
      <c r="H934" s="85"/>
      <c r="I934" s="85"/>
      <c r="J934" s="85"/>
      <c r="K934" s="85"/>
      <c r="L934" s="85"/>
      <c r="M934" s="85"/>
      <c r="N934" s="66"/>
      <c r="O934" s="66"/>
      <c r="P934" s="66"/>
      <c r="Q934" s="28"/>
      <c r="R934" s="69" t="str">
        <f>IFERROR(__xludf.DUMMYFUNCTION("IF (OR( Q934 = """" , P934 =""""), """" , IF(Q934 = ""Menos de 1 mês"" , ""antes de ""&amp; TO_TEXT( EDATE(P934, 1)), EDATE(P934,Q934)))"),"")</f>
        <v/>
      </c>
      <c r="S934" s="28"/>
      <c r="T934" s="28"/>
      <c r="U934" s="28"/>
      <c r="V934" s="66"/>
      <c r="W934" s="5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</row>
    <row r="935" ht="60.0" customHeight="1">
      <c r="A935" s="14" t="str">
        <f>if(H935&lt;&gt;"",VLOOKUP(H935,ID!$A$2:$C$999,3,FALSE),"") </f>
        <v/>
      </c>
      <c r="B935" s="15"/>
      <c r="C935" s="16"/>
      <c r="D935" s="89"/>
      <c r="E935" s="89"/>
      <c r="F935" s="85"/>
      <c r="G935" s="81"/>
      <c r="H935" s="85"/>
      <c r="I935" s="85"/>
      <c r="J935" s="85"/>
      <c r="K935" s="85"/>
      <c r="L935" s="85"/>
      <c r="M935" s="85"/>
      <c r="N935" s="66"/>
      <c r="O935" s="66"/>
      <c r="P935" s="66"/>
      <c r="Q935" s="28"/>
      <c r="R935" s="69" t="str">
        <f>IFERROR(__xludf.DUMMYFUNCTION("IF (OR( Q935 = """" , P935 =""""), """" , IF(Q935 = ""Menos de 1 mês"" , ""antes de ""&amp; TO_TEXT( EDATE(P935, 1)), EDATE(P935,Q935)))"),"")</f>
        <v/>
      </c>
      <c r="S935" s="28"/>
      <c r="T935" s="28"/>
      <c r="U935" s="28"/>
      <c r="V935" s="66"/>
      <c r="W935" s="5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</row>
    <row r="936" ht="60.0" customHeight="1">
      <c r="A936" s="14" t="str">
        <f>if(H936&lt;&gt;"",VLOOKUP(H936,ID!$A$2:$C$999,3,FALSE),"") </f>
        <v/>
      </c>
      <c r="B936" s="15"/>
      <c r="C936" s="16"/>
      <c r="D936" s="89"/>
      <c r="E936" s="89"/>
      <c r="F936" s="85"/>
      <c r="G936" s="81"/>
      <c r="H936" s="85"/>
      <c r="I936" s="85"/>
      <c r="J936" s="85"/>
      <c r="K936" s="85"/>
      <c r="L936" s="85"/>
      <c r="M936" s="85"/>
      <c r="N936" s="66"/>
      <c r="O936" s="66"/>
      <c r="P936" s="66"/>
      <c r="Q936" s="28"/>
      <c r="R936" s="69" t="str">
        <f>IFERROR(__xludf.DUMMYFUNCTION("IF (OR( Q936 = """" , P936 =""""), """" , IF(Q936 = ""Menos de 1 mês"" , ""antes de ""&amp; TO_TEXT( EDATE(P936, 1)), EDATE(P936,Q936)))"),"")</f>
        <v/>
      </c>
      <c r="S936" s="28"/>
      <c r="T936" s="28"/>
      <c r="U936" s="28"/>
      <c r="V936" s="66"/>
      <c r="W936" s="5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  <c r="AJ936" s="28"/>
    </row>
    <row r="937" ht="60.0" customHeight="1">
      <c r="A937" s="14" t="str">
        <f>if(H937&lt;&gt;"",VLOOKUP(H937,ID!$A$2:$C$999,3,FALSE),"") </f>
        <v/>
      </c>
      <c r="B937" s="15"/>
      <c r="C937" s="16"/>
      <c r="D937" s="89"/>
      <c r="E937" s="89"/>
      <c r="F937" s="85"/>
      <c r="G937" s="81"/>
      <c r="H937" s="85"/>
      <c r="I937" s="85"/>
      <c r="J937" s="85"/>
      <c r="K937" s="85"/>
      <c r="L937" s="85"/>
      <c r="M937" s="85"/>
      <c r="N937" s="66"/>
      <c r="O937" s="66"/>
      <c r="P937" s="66"/>
      <c r="Q937" s="28"/>
      <c r="R937" s="69" t="str">
        <f>IFERROR(__xludf.DUMMYFUNCTION("IF (OR( Q937 = """" , P937 =""""), """" , IF(Q937 = ""Menos de 1 mês"" , ""antes de ""&amp; TO_TEXT( EDATE(P937, 1)), EDATE(P937,Q937)))"),"")</f>
        <v/>
      </c>
      <c r="S937" s="28"/>
      <c r="T937" s="28"/>
      <c r="U937" s="28"/>
      <c r="V937" s="66"/>
      <c r="W937" s="5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</row>
  </sheetData>
  <dataValidations>
    <dataValidation type="decimal" operator="greaterThan" allowBlank="1" showDropDown="1" showInputMessage="1" showErrorMessage="1" prompt="Insira um número maior que 0" sqref="F347">
      <formula1>0.0</formula1>
    </dataValidation>
    <dataValidation type="decimal" operator="greaterThan" allowBlank="1" showDropDown="1" showInputMessage="1" showErrorMessage="1" prompt="Insira um número maior que 0" sqref="F3:F316 F318:F346 F348:F937">
      <formula1>0.0</formula1>
    </dataValidation>
    <dataValidation type="custom" allowBlank="1" showDropDown="1" showInputMessage="1" showErrorMessage="1" prompt="Esse campo possui um limite de 300 caracteres" sqref="G59:G134 G136:G225 M3:M346 M348:M937 W3:W937">
      <formula1>LEN(G3)&lt;301</formula1>
    </dataValidation>
    <dataValidation type="list" allowBlank="1" showErrorMessage="1" sqref="K3:K937">
      <formula1>"Acordo de Cooperação,Termo de Cooperação"</formula1>
    </dataValidation>
    <dataValidation type="list" allowBlank="1" showErrorMessage="1" sqref="L3:L937">
      <formula1>"Praça,Canteiro Central,Rotatória,Passarela,Outros (Descrito na Finalidade)"</formula1>
    </dataValidation>
    <dataValidation type="list" allowBlank="1" showErrorMessage="1" sqref="Q3:Q937">
      <formula1>ID!$D$2:$D$38</formula1>
    </dataValidation>
    <dataValidation type="custom" allowBlank="1" showDropDown="1" showInputMessage="1" showErrorMessage="1" prompt="Esse campo possui um limite de 300 caracteres" sqref="M347">
      <formula1>LEN(#REF!)&lt;301</formula1>
    </dataValidation>
    <dataValidation type="list" allowBlank="1" showErrorMessage="1" sqref="C3:C937">
      <formula1>Entes!$B$2:$B$1000</formula1>
    </dataValidation>
    <dataValidation type="decimal" operator="greaterThanOrEqual" allowBlank="1" showDropDown="1" sqref="S3:S937">
      <formula1>0.0</formula1>
    </dataValidation>
    <dataValidation type="list" allowBlank="1" showErrorMessage="1" sqref="B3:B937">
      <formula1>Entes!$A$2:$A$1000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43"/>
  </cols>
  <sheetData>
    <row r="1">
      <c r="A1" s="90" t="s">
        <v>1597</v>
      </c>
      <c r="B1" s="91" t="s">
        <v>1598</v>
      </c>
      <c r="C1" s="90" t="s">
        <v>1599</v>
      </c>
      <c r="D1" s="90" t="s">
        <v>1600</v>
      </c>
    </row>
    <row r="2" ht="15.75" customHeight="1">
      <c r="A2" t="str">
        <f>IFERROR(__xludf.DUMMYFUNCTION("UNIQUE( FILTER( 'Cooperações'!H3:H9936 , NOT(ISBLANK('Cooperações'!H3:H9936)) ) )"),"6031.2018/0000371-0")</f>
        <v>6031.2018/0000371-0</v>
      </c>
      <c r="B2" s="91">
        <v>1.0</v>
      </c>
      <c r="C2" t="str">
        <f t="shared" ref="C2:C1000" si="1">if(A2&lt;&gt;"","BT"&amp;TEXT(B2,"0000"),"")</f>
        <v>BT0001</v>
      </c>
      <c r="D2" s="90" t="s">
        <v>1601</v>
      </c>
    </row>
    <row r="3">
      <c r="A3" t="str">
        <f>IFERROR(__xludf.DUMMYFUNCTION("""COMPUTED_VALUE"""),"6031.2019/0004.446-9")</f>
        <v>6031.2019/0004.446-9</v>
      </c>
      <c r="B3" s="92">
        <f t="shared" ref="B3:B1000" si="2">IF(A3&lt;&gt;"",B2+1,"")</f>
        <v>2</v>
      </c>
      <c r="C3" t="str">
        <f t="shared" si="1"/>
        <v>BT0002</v>
      </c>
      <c r="D3" s="90">
        <v>1.0</v>
      </c>
    </row>
    <row r="4">
      <c r="A4" t="str">
        <f>IFERROR(__xludf.DUMMYFUNCTION("""COMPUTED_VALUE"""),"6031.2020/0003.975-0")</f>
        <v>6031.2020/0003.975-0</v>
      </c>
      <c r="B4" s="92">
        <f t="shared" si="2"/>
        <v>3</v>
      </c>
      <c r="C4" t="str">
        <f t="shared" si="1"/>
        <v>BT0003</v>
      </c>
      <c r="D4" s="90">
        <v>2.0</v>
      </c>
    </row>
    <row r="5">
      <c r="A5" t="str">
        <f>IFERROR(__xludf.DUMMYFUNCTION("""COMPUTED_VALUE"""),"6031.2019/0004.445-0")</f>
        <v>6031.2019/0004.445-0</v>
      </c>
      <c r="B5" s="92">
        <f t="shared" si="2"/>
        <v>4</v>
      </c>
      <c r="C5" t="str">
        <f t="shared" si="1"/>
        <v>BT0004</v>
      </c>
      <c r="D5" s="90">
        <v>3.0</v>
      </c>
    </row>
    <row r="6">
      <c r="A6" t="str">
        <f>IFERROR(__xludf.DUMMYFUNCTION("""COMPUTED_VALUE"""),"6031.2020/0004.074-0")</f>
        <v>6031.2020/0004.074-0</v>
      </c>
      <c r="B6" s="92">
        <f t="shared" si="2"/>
        <v>5</v>
      </c>
      <c r="C6" t="str">
        <f t="shared" si="1"/>
        <v>BT0005</v>
      </c>
      <c r="D6" s="90">
        <v>4.0</v>
      </c>
    </row>
    <row r="7">
      <c r="A7" t="str">
        <f>IFERROR(__xludf.DUMMYFUNCTION("""COMPUTED_VALUE"""),"6031.2020/0004.073-2")</f>
        <v>6031.2020/0004.073-2</v>
      </c>
      <c r="B7" s="92">
        <f t="shared" si="2"/>
        <v>6</v>
      </c>
      <c r="C7" t="str">
        <f t="shared" si="1"/>
        <v>BT0006</v>
      </c>
      <c r="D7" s="90">
        <v>5.0</v>
      </c>
    </row>
    <row r="8">
      <c r="A8" t="str">
        <f>IFERROR(__xludf.DUMMYFUNCTION("""COMPUTED_VALUE"""),"6031.2020/0004.079-1")</f>
        <v>6031.2020/0004.079-1</v>
      </c>
      <c r="B8" s="92">
        <f t="shared" si="2"/>
        <v>7</v>
      </c>
      <c r="C8" t="str">
        <f t="shared" si="1"/>
        <v>BT0007</v>
      </c>
      <c r="D8" s="90">
        <v>6.0</v>
      </c>
    </row>
    <row r="9">
      <c r="A9" t="str">
        <f>IFERROR(__xludf.DUMMYFUNCTION("""COMPUTED_VALUE"""),"6031.2021/0002.085-7")</f>
        <v>6031.2021/0002.085-7</v>
      </c>
      <c r="B9" s="92">
        <f t="shared" si="2"/>
        <v>8</v>
      </c>
      <c r="C9" t="str">
        <f t="shared" si="1"/>
        <v>BT0008</v>
      </c>
      <c r="D9" s="90">
        <v>7.0</v>
      </c>
    </row>
    <row r="10">
      <c r="A10" t="str">
        <f>IFERROR(__xludf.DUMMYFUNCTION("""COMPUTED_VALUE"""),"6031.2019/0000126-3")</f>
        <v>6031.2019/0000126-3</v>
      </c>
      <c r="B10" s="92">
        <f t="shared" si="2"/>
        <v>9</v>
      </c>
      <c r="C10" t="str">
        <f t="shared" si="1"/>
        <v>BT0009</v>
      </c>
      <c r="D10" s="90">
        <v>8.0</v>
      </c>
    </row>
    <row r="11">
      <c r="A11" t="str">
        <f>IFERROR(__xludf.DUMMYFUNCTION("""COMPUTED_VALUE"""),"6031.2021/0004.456-0")</f>
        <v>6031.2021/0004.456-0</v>
      </c>
      <c r="B11" s="92">
        <f t="shared" si="2"/>
        <v>10</v>
      </c>
      <c r="C11" t="str">
        <f t="shared" si="1"/>
        <v>BT0010</v>
      </c>
      <c r="D11" s="90">
        <v>9.0</v>
      </c>
    </row>
    <row r="12">
      <c r="A12" t="str">
        <f>IFERROR(__xludf.DUMMYFUNCTION("""COMPUTED_VALUE"""),"6031.2021/0004.845-0")</f>
        <v>6031.2021/0004.845-0</v>
      </c>
      <c r="B12" s="92">
        <f t="shared" si="2"/>
        <v>11</v>
      </c>
      <c r="C12" t="str">
        <f t="shared" si="1"/>
        <v>BT0011</v>
      </c>
      <c r="D12" s="90">
        <v>10.0</v>
      </c>
    </row>
    <row r="13">
      <c r="A13" t="str">
        <f>IFERROR(__xludf.DUMMYFUNCTION("""COMPUTED_VALUE"""),"6031.2018/0000.988-2")</f>
        <v>6031.2018/0000.988-2</v>
      </c>
      <c r="B13" s="92">
        <f t="shared" si="2"/>
        <v>12</v>
      </c>
      <c r="C13" t="str">
        <f t="shared" si="1"/>
        <v>BT0012</v>
      </c>
      <c r="D13" s="90">
        <v>11.0</v>
      </c>
    </row>
    <row r="14">
      <c r="A14" t="str">
        <f>IFERROR(__xludf.DUMMYFUNCTION("""COMPUTED_VALUE"""),"6031.2021/0003.131-0")</f>
        <v>6031.2021/0003.131-0</v>
      </c>
      <c r="B14" s="92">
        <f t="shared" si="2"/>
        <v>13</v>
      </c>
      <c r="C14" t="str">
        <f t="shared" si="1"/>
        <v>BT0013</v>
      </c>
      <c r="D14" s="90">
        <v>12.0</v>
      </c>
    </row>
    <row r="15">
      <c r="A15" t="str">
        <f>IFERROR(__xludf.DUMMYFUNCTION("""COMPUTED_VALUE"""),"6031.2021/0003.132-8")</f>
        <v>6031.2021/0003.132-8</v>
      </c>
      <c r="B15" s="92">
        <f t="shared" si="2"/>
        <v>14</v>
      </c>
      <c r="C15" t="str">
        <f t="shared" si="1"/>
        <v>BT0014</v>
      </c>
      <c r="D15" s="90">
        <v>13.0</v>
      </c>
    </row>
    <row r="16">
      <c r="A16" t="str">
        <f>IFERROR(__xludf.DUMMYFUNCTION("""COMPUTED_VALUE"""),"6031.2021/0003.130-1")</f>
        <v>6031.2021/0003.130-1</v>
      </c>
      <c r="B16" s="92">
        <f t="shared" si="2"/>
        <v>15</v>
      </c>
      <c r="C16" t="str">
        <f t="shared" si="1"/>
        <v>BT0015</v>
      </c>
      <c r="D16" s="90">
        <v>14.0</v>
      </c>
    </row>
    <row r="17">
      <c r="A17" t="str">
        <f>IFERROR(__xludf.DUMMYFUNCTION("""COMPUTED_VALUE"""),"6031.2018/0001.429-0")</f>
        <v>6031.2018/0001.429-0</v>
      </c>
      <c r="B17" s="92">
        <f t="shared" si="2"/>
        <v>16</v>
      </c>
      <c r="C17" t="str">
        <f t="shared" si="1"/>
        <v>BT0016</v>
      </c>
      <c r="D17" s="90">
        <v>15.0</v>
      </c>
    </row>
    <row r="18">
      <c r="A18" t="str">
        <f>IFERROR(__xludf.DUMMYFUNCTION("""COMPUTED_VALUE"""),"6031.2018/0001.803-2")</f>
        <v>6031.2018/0001.803-2</v>
      </c>
      <c r="B18" s="92">
        <f t="shared" si="2"/>
        <v>17</v>
      </c>
      <c r="C18" t="str">
        <f t="shared" si="1"/>
        <v>BT0017</v>
      </c>
      <c r="D18" s="90">
        <v>16.0</v>
      </c>
    </row>
    <row r="19">
      <c r="A19" t="str">
        <f>IFERROR(__xludf.DUMMYFUNCTION("""COMPUTED_VALUE"""),"6031.2018/0001.801-6")</f>
        <v>6031.2018/0001.801-6</v>
      </c>
      <c r="B19" s="92">
        <f t="shared" si="2"/>
        <v>18</v>
      </c>
      <c r="C19" t="str">
        <f t="shared" si="1"/>
        <v>BT0018</v>
      </c>
      <c r="D19" s="90">
        <v>17.0</v>
      </c>
    </row>
    <row r="20">
      <c r="A20" t="str">
        <f>IFERROR(__xludf.DUMMYFUNCTION("""COMPUTED_VALUE"""),"6031.2019/0000.718-0")</f>
        <v>6031.2019/0000.718-0</v>
      </c>
      <c r="B20" s="92">
        <f t="shared" si="2"/>
        <v>19</v>
      </c>
      <c r="C20" t="str">
        <f t="shared" si="1"/>
        <v>BT0019</v>
      </c>
      <c r="D20" s="90">
        <v>18.0</v>
      </c>
    </row>
    <row r="21">
      <c r="A21" t="str">
        <f>IFERROR(__xludf.DUMMYFUNCTION("""COMPUTED_VALUE"""),"6031.2018/0001.983-7")</f>
        <v>6031.2018/0001.983-7</v>
      </c>
      <c r="B21" s="92">
        <f t="shared" si="2"/>
        <v>20</v>
      </c>
      <c r="C21" t="str">
        <f t="shared" si="1"/>
        <v>BT0020</v>
      </c>
      <c r="D21" s="90">
        <v>19.0</v>
      </c>
    </row>
    <row r="22">
      <c r="A22" t="str">
        <f>IFERROR(__xludf.DUMMYFUNCTION("""COMPUTED_VALUE"""),"6031.2018/0001.583-1")</f>
        <v>6031.2018/0001.583-1</v>
      </c>
      <c r="B22" s="92">
        <f t="shared" si="2"/>
        <v>21</v>
      </c>
      <c r="C22" t="str">
        <f t="shared" si="1"/>
        <v>BT0021</v>
      </c>
      <c r="D22" s="90">
        <v>20.0</v>
      </c>
    </row>
    <row r="23">
      <c r="A23" t="str">
        <f>IFERROR(__xludf.DUMMYFUNCTION("""COMPUTED_VALUE"""),"6031.2018/0001.430-4")</f>
        <v>6031.2018/0001.430-4</v>
      </c>
      <c r="B23" s="92">
        <f t="shared" si="2"/>
        <v>22</v>
      </c>
      <c r="C23" t="str">
        <f t="shared" si="1"/>
        <v>BT0022</v>
      </c>
      <c r="D23" s="90">
        <v>21.0</v>
      </c>
    </row>
    <row r="24">
      <c r="A24" t="str">
        <f>IFERROR(__xludf.DUMMYFUNCTION("""COMPUTED_VALUE"""),"6031.2018/0001.728-1")</f>
        <v>6031.2018/0001.728-1</v>
      </c>
      <c r="B24" s="92">
        <f t="shared" si="2"/>
        <v>23</v>
      </c>
      <c r="C24" t="str">
        <f t="shared" si="1"/>
        <v>BT0023</v>
      </c>
      <c r="D24" s="90">
        <v>22.0</v>
      </c>
    </row>
    <row r="25">
      <c r="A25" t="str">
        <f>IFERROR(__xludf.DUMMYFUNCTION("""COMPUTED_VALUE"""),"6031.2018/0001.432-0")</f>
        <v>6031.2018/0001.432-0</v>
      </c>
      <c r="B25" s="92">
        <f t="shared" si="2"/>
        <v>24</v>
      </c>
      <c r="C25" t="str">
        <f t="shared" si="1"/>
        <v>BT0024</v>
      </c>
      <c r="D25" s="90">
        <v>23.0</v>
      </c>
    </row>
    <row r="26">
      <c r="A26" t="str">
        <f>IFERROR(__xludf.DUMMYFUNCTION("""COMPUTED_VALUE"""),"6031.2019/0000.400-9")</f>
        <v>6031.2019/0000.400-9</v>
      </c>
      <c r="B26" s="92">
        <f t="shared" si="2"/>
        <v>25</v>
      </c>
      <c r="C26" t="str">
        <f t="shared" si="1"/>
        <v>BT0025</v>
      </c>
      <c r="D26" s="90">
        <v>24.0</v>
      </c>
    </row>
    <row r="27">
      <c r="A27" t="str">
        <f>IFERROR(__xludf.DUMMYFUNCTION("""COMPUTED_VALUE"""),"6031.2018/0001.829-6")</f>
        <v>6031.2018/0001.829-6</v>
      </c>
      <c r="B27" s="92">
        <f t="shared" si="2"/>
        <v>26</v>
      </c>
      <c r="C27" t="str">
        <f t="shared" si="1"/>
        <v>BT0026</v>
      </c>
      <c r="D27" s="90">
        <v>25.0</v>
      </c>
    </row>
    <row r="28">
      <c r="A28" t="str">
        <f>IFERROR(__xludf.DUMMYFUNCTION("""COMPUTED_VALUE"""),"6031.2018/0001.834-2")</f>
        <v>6031.2018/0001.834-2</v>
      </c>
      <c r="B28" s="92">
        <f t="shared" si="2"/>
        <v>27</v>
      </c>
      <c r="C28" t="str">
        <f t="shared" si="1"/>
        <v>BT0027</v>
      </c>
      <c r="D28" s="90">
        <v>26.0</v>
      </c>
    </row>
    <row r="29">
      <c r="A29" t="str">
        <f>IFERROR(__xludf.DUMMYFUNCTION("""COMPUTED_VALUE"""),"6031.2018/0001.831-8")</f>
        <v>6031.2018/0001.831-8</v>
      </c>
      <c r="B29" s="92">
        <f t="shared" si="2"/>
        <v>28</v>
      </c>
      <c r="C29" t="str">
        <f t="shared" si="1"/>
        <v>BT0028</v>
      </c>
      <c r="D29" s="90">
        <v>27.0</v>
      </c>
    </row>
    <row r="30">
      <c r="A30" t="str">
        <f>IFERROR(__xludf.DUMMYFUNCTION("""COMPUTED_VALUE"""),"6031.2018/0000845-2")</f>
        <v>6031.2018/0000845-2</v>
      </c>
      <c r="B30" s="92">
        <f t="shared" si="2"/>
        <v>29</v>
      </c>
      <c r="C30" t="str">
        <f t="shared" si="1"/>
        <v>BT0029</v>
      </c>
      <c r="D30" s="90">
        <v>28.0</v>
      </c>
    </row>
    <row r="31">
      <c r="A31" t="str">
        <f>IFERROR(__xludf.DUMMYFUNCTION("""COMPUTED_VALUE"""),"6031.2018/0001.066-0")</f>
        <v>6031.2018/0001.066-0</v>
      </c>
      <c r="B31" s="92">
        <f t="shared" si="2"/>
        <v>30</v>
      </c>
      <c r="C31" t="str">
        <f t="shared" si="1"/>
        <v>BT0030</v>
      </c>
      <c r="D31" s="90">
        <v>29.0</v>
      </c>
    </row>
    <row r="32">
      <c r="A32" t="str">
        <f>IFERROR(__xludf.DUMMYFUNCTION("""COMPUTED_VALUE"""),"6031.2019/0003.017-4")</f>
        <v>6031.2019/0003.017-4</v>
      </c>
      <c r="B32" s="92">
        <f t="shared" si="2"/>
        <v>31</v>
      </c>
      <c r="C32" t="str">
        <f t="shared" si="1"/>
        <v>BT0031</v>
      </c>
      <c r="D32" s="90">
        <v>30.0</v>
      </c>
    </row>
    <row r="33">
      <c r="A33" t="str">
        <f>IFERROR(__xludf.DUMMYFUNCTION("""COMPUTED_VALUE"""),"6031.2019/0002.867-6")</f>
        <v>6031.2019/0002.867-6</v>
      </c>
      <c r="B33" s="92">
        <f t="shared" si="2"/>
        <v>32</v>
      </c>
      <c r="C33" t="str">
        <f t="shared" si="1"/>
        <v>BT0032</v>
      </c>
      <c r="D33" s="90">
        <v>31.0</v>
      </c>
    </row>
    <row r="34">
      <c r="A34" t="str">
        <f>IFERROR(__xludf.DUMMYFUNCTION("""COMPUTED_VALUE"""),"6031.2019/0003.044-1")</f>
        <v>6031.2019/0003.044-1</v>
      </c>
      <c r="B34" s="92">
        <f t="shared" si="2"/>
        <v>33</v>
      </c>
      <c r="C34" t="str">
        <f t="shared" si="1"/>
        <v>BT0033</v>
      </c>
      <c r="D34" s="90">
        <v>32.0</v>
      </c>
    </row>
    <row r="35">
      <c r="A35" t="str">
        <f>IFERROR(__xludf.DUMMYFUNCTION("""COMPUTED_VALUE"""),"6031.2019/0003.046-8")</f>
        <v>6031.2019/0003.046-8</v>
      </c>
      <c r="B35" s="92">
        <f t="shared" si="2"/>
        <v>34</v>
      </c>
      <c r="C35" t="str">
        <f t="shared" si="1"/>
        <v>BT0034</v>
      </c>
      <c r="D35" s="90">
        <v>33.0</v>
      </c>
    </row>
    <row r="36">
      <c r="A36" t="str">
        <f>IFERROR(__xludf.DUMMYFUNCTION("""COMPUTED_VALUE"""),"6031.2021/0000.831-8")</f>
        <v>6031.2021/0000.831-8</v>
      </c>
      <c r="B36" s="92">
        <f t="shared" si="2"/>
        <v>35</v>
      </c>
      <c r="C36" t="str">
        <f t="shared" si="1"/>
        <v>BT0035</v>
      </c>
      <c r="D36" s="90">
        <v>34.0</v>
      </c>
    </row>
    <row r="37">
      <c r="A37" t="str">
        <f>IFERROR(__xludf.DUMMYFUNCTION("""COMPUTED_VALUE"""),"6031.2021/0000.307-3")</f>
        <v>6031.2021/0000.307-3</v>
      </c>
      <c r="B37" s="92">
        <f t="shared" si="2"/>
        <v>36</v>
      </c>
      <c r="C37" t="str">
        <f t="shared" si="1"/>
        <v>BT0036</v>
      </c>
      <c r="D37" s="90">
        <v>35.0</v>
      </c>
    </row>
    <row r="38">
      <c r="A38" t="str">
        <f>IFERROR(__xludf.DUMMYFUNCTION("""COMPUTED_VALUE"""),"2017-0.029.632-5")</f>
        <v>2017-0.029.632-5</v>
      </c>
      <c r="B38" s="92">
        <f t="shared" si="2"/>
        <v>37</v>
      </c>
      <c r="C38" t="str">
        <f t="shared" si="1"/>
        <v>BT0037</v>
      </c>
      <c r="D38" s="90">
        <v>36.0</v>
      </c>
    </row>
    <row r="39">
      <c r="A39" t="str">
        <f>IFERROR(__xludf.DUMMYFUNCTION("""COMPUTED_VALUE"""),"2017-0.038.485-2")</f>
        <v>2017-0.038.485-2</v>
      </c>
      <c r="B39" s="92">
        <f t="shared" si="2"/>
        <v>38</v>
      </c>
      <c r="C39" t="str">
        <f t="shared" si="1"/>
        <v>BT0038</v>
      </c>
    </row>
    <row r="40">
      <c r="A40" t="str">
        <f>IFERROR(__xludf.DUMMYFUNCTION("""COMPUTED_VALUE"""),"2017-0.040.128-5")</f>
        <v>2017-0.040.128-5</v>
      </c>
      <c r="B40" s="92">
        <f t="shared" si="2"/>
        <v>39</v>
      </c>
      <c r="C40" t="str">
        <f t="shared" si="1"/>
        <v>BT0039</v>
      </c>
    </row>
    <row r="41">
      <c r="A41" t="str">
        <f>IFERROR(__xludf.DUMMYFUNCTION("""COMPUTED_VALUE"""),"6031.2020/0003.976-9")</f>
        <v>6031.2020/0003.976-9</v>
      </c>
      <c r="B41" s="92">
        <f t="shared" si="2"/>
        <v>40</v>
      </c>
      <c r="C41" t="str">
        <f t="shared" si="1"/>
        <v>BT0040</v>
      </c>
    </row>
    <row r="42">
      <c r="A42" t="str">
        <f>IFERROR(__xludf.DUMMYFUNCTION("""COMPUTED_VALUE"""),"2017-0.042.790-0")</f>
        <v>2017-0.042.790-0</v>
      </c>
      <c r="B42" s="92">
        <f t="shared" si="2"/>
        <v>41</v>
      </c>
      <c r="C42" t="str">
        <f t="shared" si="1"/>
        <v>BT0041</v>
      </c>
    </row>
    <row r="43">
      <c r="A43" t="str">
        <f>IFERROR(__xludf.DUMMYFUNCTION("""COMPUTED_VALUE"""),"2017-0.044.321-2")</f>
        <v>2017-0.044.321-2</v>
      </c>
      <c r="B43" s="92">
        <f t="shared" si="2"/>
        <v>42</v>
      </c>
      <c r="C43" t="str">
        <f t="shared" si="1"/>
        <v>BT0042</v>
      </c>
    </row>
    <row r="44">
      <c r="A44" t="str">
        <f>IFERROR(__xludf.DUMMYFUNCTION("""COMPUTED_VALUE"""),"2017-0.049.094-6")</f>
        <v>2017-0.049.094-6</v>
      </c>
      <c r="B44" s="92">
        <f t="shared" si="2"/>
        <v>43</v>
      </c>
      <c r="C44" t="str">
        <f t="shared" si="1"/>
        <v>BT0043</v>
      </c>
    </row>
    <row r="45">
      <c r="A45" t="str">
        <f>IFERROR(__xludf.DUMMYFUNCTION("""COMPUTED_VALUE"""),"6031.2020/0004.003-1")</f>
        <v>6031.2020/0004.003-1</v>
      </c>
      <c r="B45" s="92">
        <f t="shared" si="2"/>
        <v>44</v>
      </c>
      <c r="C45" t="str">
        <f t="shared" si="1"/>
        <v>BT0044</v>
      </c>
    </row>
    <row r="46">
      <c r="A46" t="str">
        <f>IFERROR(__xludf.DUMMYFUNCTION("""COMPUTED_VALUE"""),"2017-0.055.294-1")</f>
        <v>2017-0.055.294-1</v>
      </c>
      <c r="B46" s="92">
        <f t="shared" si="2"/>
        <v>45</v>
      </c>
      <c r="C46" t="str">
        <f t="shared" si="1"/>
        <v>BT0045</v>
      </c>
    </row>
    <row r="47">
      <c r="A47" t="str">
        <f>IFERROR(__xludf.DUMMYFUNCTION("""COMPUTED_VALUE"""),"6031.2020/0004.002-3")</f>
        <v>6031.2020/0004.002-3</v>
      </c>
      <c r="B47" s="92">
        <f t="shared" si="2"/>
        <v>46</v>
      </c>
      <c r="C47" t="str">
        <f t="shared" si="1"/>
        <v>BT0046</v>
      </c>
    </row>
    <row r="48">
      <c r="A48" t="str">
        <f>IFERROR(__xludf.DUMMYFUNCTION("""COMPUTED_VALUE"""),"6031.2020/0004.001-5")</f>
        <v>6031.2020/0004.001-5</v>
      </c>
      <c r="B48" s="92">
        <f t="shared" si="2"/>
        <v>47</v>
      </c>
      <c r="C48" t="str">
        <f t="shared" si="1"/>
        <v>BT0047</v>
      </c>
    </row>
    <row r="49">
      <c r="A49" t="str">
        <f>IFERROR(__xludf.DUMMYFUNCTION("""COMPUTED_VALUE"""),"6031.2020/0003.160-1")</f>
        <v>6031.2020/0003.160-1</v>
      </c>
      <c r="B49" s="92">
        <f t="shared" si="2"/>
        <v>48</v>
      </c>
      <c r="C49" t="str">
        <f t="shared" si="1"/>
        <v>BT0048</v>
      </c>
    </row>
    <row r="50">
      <c r="A50" t="str">
        <f>IFERROR(__xludf.DUMMYFUNCTION("""COMPUTED_VALUE"""),"6031.2020/0003.159-8")</f>
        <v>6031.2020/0003.159-8</v>
      </c>
      <c r="B50" s="92">
        <f t="shared" si="2"/>
        <v>49</v>
      </c>
      <c r="C50" t="str">
        <f t="shared" si="1"/>
        <v>BT0049</v>
      </c>
    </row>
    <row r="51">
      <c r="A51" t="str">
        <f>IFERROR(__xludf.DUMMYFUNCTION("""COMPUTED_VALUE"""),"2017-0.075.239-8")</f>
        <v>2017-0.075.239-8</v>
      </c>
      <c r="B51" s="92">
        <f t="shared" si="2"/>
        <v>50</v>
      </c>
      <c r="C51" t="str">
        <f t="shared" si="1"/>
        <v>BT0050</v>
      </c>
    </row>
    <row r="52">
      <c r="A52" t="str">
        <f>IFERROR(__xludf.DUMMYFUNCTION("""COMPUTED_VALUE"""),"2017-0.077.614-9")</f>
        <v>2017-0.077.614-9</v>
      </c>
      <c r="B52" s="92">
        <f t="shared" si="2"/>
        <v>51</v>
      </c>
      <c r="C52" t="str">
        <f t="shared" si="1"/>
        <v>BT0051</v>
      </c>
    </row>
    <row r="53">
      <c r="A53" t="str">
        <f>IFERROR(__xludf.DUMMYFUNCTION("""COMPUTED_VALUE"""),"2017-0.082.358-9")</f>
        <v>2017-0.082.358-9</v>
      </c>
      <c r="B53" s="92">
        <f t="shared" si="2"/>
        <v>52</v>
      </c>
      <c r="C53" t="str">
        <f t="shared" si="1"/>
        <v>BT0052</v>
      </c>
    </row>
    <row r="54">
      <c r="A54" t="str">
        <f>IFERROR(__xludf.DUMMYFUNCTION("""COMPUTED_VALUE"""),"6031.2020/0002.277-7")</f>
        <v>6031.2020/0002.277-7</v>
      </c>
      <c r="B54" s="92">
        <f t="shared" si="2"/>
        <v>53</v>
      </c>
      <c r="C54" t="str">
        <f t="shared" si="1"/>
        <v>BT0053</v>
      </c>
    </row>
    <row r="55">
      <c r="A55" t="str">
        <f>IFERROR(__xludf.DUMMYFUNCTION("""COMPUTED_VALUE"""),"6031.2019/0002.729-7")</f>
        <v>6031.2019/0002.729-7</v>
      </c>
      <c r="B55" s="92">
        <f t="shared" si="2"/>
        <v>54</v>
      </c>
      <c r="C55" t="str">
        <f t="shared" si="1"/>
        <v>BT0054</v>
      </c>
    </row>
    <row r="56">
      <c r="A56" t="str">
        <f>IFERROR(__xludf.DUMMYFUNCTION("""COMPUTED_VALUE"""),"2017-0.090.410-4")</f>
        <v>2017-0.090.410-4</v>
      </c>
      <c r="B56" s="92">
        <f t="shared" si="2"/>
        <v>55</v>
      </c>
      <c r="C56" t="str">
        <f t="shared" si="1"/>
        <v>BT0055</v>
      </c>
    </row>
    <row r="57">
      <c r="A57" t="str">
        <f>IFERROR(__xludf.DUMMYFUNCTION("""COMPUTED_VALUE"""),"6031.2018/0000345-0")</f>
        <v>6031.2018/0000345-0</v>
      </c>
      <c r="B57" s="92">
        <f t="shared" si="2"/>
        <v>56</v>
      </c>
      <c r="C57" t="str">
        <f t="shared" si="1"/>
        <v>BT0056</v>
      </c>
    </row>
    <row r="58">
      <c r="A58" t="str">
        <f>IFERROR(__xludf.DUMMYFUNCTION("""COMPUTED_VALUE"""),"2017-0.093.346-5")</f>
        <v>2017-0.093.346-5</v>
      </c>
      <c r="B58" s="92">
        <f t="shared" si="2"/>
        <v>57</v>
      </c>
      <c r="C58" t="str">
        <f t="shared" si="1"/>
        <v>BT0057</v>
      </c>
    </row>
    <row r="59">
      <c r="A59" t="str">
        <f>IFERROR(__xludf.DUMMYFUNCTION("""COMPUTED_VALUE"""),"2017-0.097.714-4")</f>
        <v>2017-0.097.714-4</v>
      </c>
      <c r="B59" s="92">
        <f t="shared" si="2"/>
        <v>58</v>
      </c>
      <c r="C59" t="str">
        <f t="shared" si="1"/>
        <v>BT0058</v>
      </c>
    </row>
    <row r="60">
      <c r="A60" t="str">
        <f>IFERROR(__xludf.DUMMYFUNCTION("""COMPUTED_VALUE"""),"6031.2021/0000.309-0")</f>
        <v>6031.2021/0000.309-0</v>
      </c>
      <c r="B60" s="92">
        <f t="shared" si="2"/>
        <v>59</v>
      </c>
      <c r="C60" t="str">
        <f t="shared" si="1"/>
        <v>BT0059</v>
      </c>
    </row>
    <row r="61">
      <c r="A61" t="str">
        <f>IFERROR(__xludf.DUMMYFUNCTION("""COMPUTED_VALUE"""),"6031.2021/0000.308-1")</f>
        <v>6031.2021/0000.308-1</v>
      </c>
      <c r="B61" s="92">
        <f t="shared" si="2"/>
        <v>60</v>
      </c>
      <c r="C61" t="str">
        <f t="shared" si="1"/>
        <v>BT0060</v>
      </c>
    </row>
    <row r="62">
      <c r="A62" t="str">
        <f>IFERROR(__xludf.DUMMYFUNCTION("""COMPUTED_VALUE"""),"6031.2021/0000.755-9")</f>
        <v>6031.2021/0000.755-9</v>
      </c>
      <c r="B62" s="92">
        <f t="shared" si="2"/>
        <v>61</v>
      </c>
      <c r="C62" t="str">
        <f t="shared" si="1"/>
        <v>BT0061</v>
      </c>
    </row>
    <row r="63">
      <c r="A63" t="str">
        <f>IFERROR(__xludf.DUMMYFUNCTION("""COMPUTED_VALUE"""),"6031.2020/0003.387-6")</f>
        <v>6031.2020/0003.387-6</v>
      </c>
      <c r="B63" s="92">
        <f t="shared" si="2"/>
        <v>62</v>
      </c>
      <c r="C63" t="str">
        <f t="shared" si="1"/>
        <v>BT0062</v>
      </c>
    </row>
    <row r="64">
      <c r="A64" t="str">
        <f>IFERROR(__xludf.DUMMYFUNCTION("""COMPUTED_VALUE"""),"6031.2017/0000388-2")</f>
        <v>6031.2017/0000388-2</v>
      </c>
      <c r="B64" s="92">
        <f t="shared" si="2"/>
        <v>63</v>
      </c>
      <c r="C64" t="str">
        <f t="shared" si="1"/>
        <v>BT0063</v>
      </c>
    </row>
    <row r="65">
      <c r="A65" t="str">
        <f>IFERROR(__xludf.DUMMYFUNCTION("""COMPUTED_VALUE"""),"6031.2017/0000389-0")</f>
        <v>6031.2017/0000389-0</v>
      </c>
      <c r="B65" s="92">
        <f t="shared" si="2"/>
        <v>64</v>
      </c>
      <c r="C65" t="str">
        <f t="shared" si="1"/>
        <v>BT0064</v>
      </c>
    </row>
    <row r="66">
      <c r="A66" t="str">
        <f>IFERROR(__xludf.DUMMYFUNCTION("""COMPUTED_VALUE"""),"6031.2017/0000391-2")</f>
        <v>6031.2017/0000391-2</v>
      </c>
      <c r="B66" s="92">
        <f t="shared" si="2"/>
        <v>65</v>
      </c>
      <c r="C66" t="str">
        <f t="shared" si="1"/>
        <v>BT0065</v>
      </c>
    </row>
    <row r="67">
      <c r="A67" t="str">
        <f>IFERROR(__xludf.DUMMYFUNCTION("""COMPUTED_VALUE"""),"6031.2020/0003.392-2")</f>
        <v>6031.2020/0003.392-2</v>
      </c>
      <c r="B67" s="92">
        <f t="shared" si="2"/>
        <v>66</v>
      </c>
      <c r="C67" t="str">
        <f t="shared" si="1"/>
        <v>BT0066</v>
      </c>
    </row>
    <row r="68">
      <c r="A68" t="str">
        <f>IFERROR(__xludf.DUMMYFUNCTION("""COMPUTED_VALUE"""),"6031.2021/0001.325-7")</f>
        <v>6031.2021/0001.325-7</v>
      </c>
      <c r="B68" s="92">
        <f t="shared" si="2"/>
        <v>67</v>
      </c>
      <c r="C68" t="str">
        <f t="shared" si="1"/>
        <v>BT0067</v>
      </c>
    </row>
    <row r="69">
      <c r="A69" t="str">
        <f>IFERROR(__xludf.DUMMYFUNCTION("""COMPUTED_VALUE"""),"6031.2017/0000395-5")</f>
        <v>6031.2017/0000395-5</v>
      </c>
      <c r="B69" s="92">
        <f t="shared" si="2"/>
        <v>68</v>
      </c>
      <c r="C69" t="str">
        <f t="shared" si="1"/>
        <v>BT0068</v>
      </c>
    </row>
    <row r="70">
      <c r="A70" t="str">
        <f>IFERROR(__xludf.DUMMYFUNCTION("""COMPUTED_VALUE"""),"6031.2020/0003.389-2")</f>
        <v>6031.2020/0003.389-2</v>
      </c>
      <c r="B70" s="92">
        <f t="shared" si="2"/>
        <v>69</v>
      </c>
      <c r="C70" t="str">
        <f t="shared" si="1"/>
        <v>BT0069</v>
      </c>
    </row>
    <row r="71">
      <c r="A71" t="str">
        <f>IFERROR(__xludf.DUMMYFUNCTION("""COMPUTED_VALUE"""),"6031.2020/0003.388-4")</f>
        <v>6031.2020/0003.388-4</v>
      </c>
      <c r="B71" s="92">
        <f t="shared" si="2"/>
        <v>70</v>
      </c>
      <c r="C71" t="str">
        <f t="shared" si="1"/>
        <v>BT0070</v>
      </c>
    </row>
    <row r="72">
      <c r="A72" t="str">
        <f>IFERROR(__xludf.DUMMYFUNCTION("""COMPUTED_VALUE"""),"6031.2017/0000398-0")</f>
        <v>6031.2017/0000398-0</v>
      </c>
      <c r="B72" s="92">
        <f t="shared" si="2"/>
        <v>71</v>
      </c>
      <c r="C72" t="str">
        <f t="shared" si="1"/>
        <v>BT0071</v>
      </c>
    </row>
    <row r="73">
      <c r="A73" t="str">
        <f>IFERROR(__xludf.DUMMYFUNCTION("""COMPUTED_VALUE"""),"6031.2017/0000400-5")</f>
        <v>6031.2017/0000400-5</v>
      </c>
      <c r="B73" s="92">
        <f t="shared" si="2"/>
        <v>72</v>
      </c>
      <c r="C73" t="str">
        <f t="shared" si="1"/>
        <v>BT0072</v>
      </c>
    </row>
    <row r="74">
      <c r="A74" t="str">
        <f>IFERROR(__xludf.DUMMYFUNCTION("""COMPUTED_VALUE"""),"6031.2020/0003.391-4")</f>
        <v>6031.2020/0003.391-4</v>
      </c>
      <c r="B74" s="92">
        <f t="shared" si="2"/>
        <v>73</v>
      </c>
      <c r="C74" t="str">
        <f t="shared" si="1"/>
        <v>BT0073</v>
      </c>
    </row>
    <row r="75">
      <c r="A75" t="str">
        <f>IFERROR(__xludf.DUMMYFUNCTION("""COMPUTED_VALUE"""),"6031.2017/0000402-1")</f>
        <v>6031.2017/0000402-1</v>
      </c>
      <c r="B75" s="92">
        <f t="shared" si="2"/>
        <v>74</v>
      </c>
      <c r="C75" t="str">
        <f t="shared" si="1"/>
        <v>BT0074</v>
      </c>
    </row>
    <row r="76">
      <c r="A76" t="str">
        <f>IFERROR(__xludf.DUMMYFUNCTION("""COMPUTED_VALUE"""),"6031.2017/0000411-0")</f>
        <v>6031.2017/0000411-0</v>
      </c>
      <c r="B76" s="92">
        <f t="shared" si="2"/>
        <v>75</v>
      </c>
      <c r="C76" t="str">
        <f t="shared" si="1"/>
        <v>BT0075</v>
      </c>
    </row>
    <row r="77">
      <c r="A77" t="str">
        <f>IFERROR(__xludf.DUMMYFUNCTION("""COMPUTED_VALUE"""),"6031.2017/0000424-2")</f>
        <v>6031.2017/0000424-2</v>
      </c>
      <c r="B77" s="92">
        <f t="shared" si="2"/>
        <v>76</v>
      </c>
      <c r="C77" t="str">
        <f t="shared" si="1"/>
        <v>BT0076</v>
      </c>
    </row>
    <row r="78">
      <c r="A78" t="str">
        <f>IFERROR(__xludf.DUMMYFUNCTION("""COMPUTED_VALUE"""),"6031.2021/0004.537-0")</f>
        <v>6031.2021/0004.537-0</v>
      </c>
      <c r="B78" s="92">
        <f t="shared" si="2"/>
        <v>77</v>
      </c>
      <c r="C78" t="str">
        <f t="shared" si="1"/>
        <v>BT0077</v>
      </c>
    </row>
    <row r="79">
      <c r="A79" t="str">
        <f>IFERROR(__xludf.DUMMYFUNCTION("""COMPUTED_VALUE"""),"6031.2017/0000426-9")</f>
        <v>6031.2017/0000426-9</v>
      </c>
      <c r="B79" s="92">
        <f t="shared" si="2"/>
        <v>78</v>
      </c>
      <c r="C79" t="str">
        <f t="shared" si="1"/>
        <v>BT0078</v>
      </c>
    </row>
    <row r="80">
      <c r="A80" t="str">
        <f>IFERROR(__xludf.DUMMYFUNCTION("""COMPUTED_VALUE"""),"6031.2017/0000427-7")</f>
        <v>6031.2017/0000427-7</v>
      </c>
      <c r="B80" s="92">
        <f t="shared" si="2"/>
        <v>79</v>
      </c>
      <c r="C80" t="str">
        <f t="shared" si="1"/>
        <v>BT0079</v>
      </c>
    </row>
    <row r="81">
      <c r="A81" t="str">
        <f>IFERROR(__xludf.DUMMYFUNCTION("""COMPUTED_VALUE"""),"6031.2017/0000443-9")</f>
        <v>6031.2017/0000443-9</v>
      </c>
      <c r="B81" s="92">
        <f t="shared" si="2"/>
        <v>80</v>
      </c>
      <c r="C81" t="str">
        <f t="shared" si="1"/>
        <v>BT0080</v>
      </c>
    </row>
    <row r="82">
      <c r="A82" t="str">
        <f>IFERROR(__xludf.DUMMYFUNCTION("""COMPUTED_VALUE"""),"6031.2018/0002.116-5")</f>
        <v>6031.2018/0002.116-5</v>
      </c>
      <c r="B82" s="92">
        <f t="shared" si="2"/>
        <v>81</v>
      </c>
      <c r="C82" t="str">
        <f t="shared" si="1"/>
        <v>BT0081</v>
      </c>
    </row>
    <row r="83">
      <c r="A83" t="str">
        <f>IFERROR(__xludf.DUMMYFUNCTION("""COMPUTED_VALUE"""),"6031.2017/0000472-2")</f>
        <v>6031.2017/0000472-2</v>
      </c>
      <c r="B83" s="92">
        <f t="shared" si="2"/>
        <v>82</v>
      </c>
      <c r="C83" t="str">
        <f t="shared" si="1"/>
        <v>BT0082</v>
      </c>
    </row>
    <row r="84">
      <c r="A84" t="str">
        <f>IFERROR(__xludf.DUMMYFUNCTION("""COMPUTED_VALUE"""),"6031.2017/0000473-0")</f>
        <v>6031.2017/0000473-0</v>
      </c>
      <c r="B84" s="92">
        <f t="shared" si="2"/>
        <v>83</v>
      </c>
      <c r="C84" t="str">
        <f t="shared" si="1"/>
        <v>BT0083</v>
      </c>
    </row>
    <row r="85">
      <c r="A85" t="str">
        <f>IFERROR(__xludf.DUMMYFUNCTION("""COMPUTED_VALUE"""),"6031.2017/0000474-9")</f>
        <v>6031.2017/0000474-9</v>
      </c>
      <c r="B85" s="92">
        <f t="shared" si="2"/>
        <v>84</v>
      </c>
      <c r="C85" t="str">
        <f t="shared" si="1"/>
        <v>BT0084</v>
      </c>
    </row>
    <row r="86">
      <c r="A86" t="str">
        <f>IFERROR(__xludf.DUMMYFUNCTION("""COMPUTED_VALUE"""),"6031.2017/0000475-7")</f>
        <v>6031.2017/0000475-7</v>
      </c>
      <c r="B86" s="92">
        <f t="shared" si="2"/>
        <v>85</v>
      </c>
      <c r="C86" t="str">
        <f t="shared" si="1"/>
        <v>BT0085</v>
      </c>
    </row>
    <row r="87">
      <c r="A87" t="str">
        <f>IFERROR(__xludf.DUMMYFUNCTION("""COMPUTED_VALUE"""),"6031.2017/0000478-1")</f>
        <v>6031.2017/0000478-1</v>
      </c>
      <c r="B87" s="92">
        <f t="shared" si="2"/>
        <v>86</v>
      </c>
      <c r="C87" t="str">
        <f t="shared" si="1"/>
        <v>BT0086</v>
      </c>
    </row>
    <row r="88">
      <c r="A88" t="str">
        <f>IFERROR(__xludf.DUMMYFUNCTION("""COMPUTED_VALUE"""),"6031.2017/0000498-6")</f>
        <v>6031.2017/0000498-6</v>
      </c>
      <c r="B88" s="92">
        <f t="shared" si="2"/>
        <v>87</v>
      </c>
      <c r="C88" t="str">
        <f t="shared" si="1"/>
        <v>BT0087</v>
      </c>
    </row>
    <row r="89">
      <c r="A89" t="str">
        <f>IFERROR(__xludf.DUMMYFUNCTION("""COMPUTED_VALUE"""),"6031.2020/0003.539-9")</f>
        <v>6031.2020/0003.539-9</v>
      </c>
      <c r="B89" s="92">
        <f t="shared" si="2"/>
        <v>88</v>
      </c>
      <c r="C89" t="str">
        <f t="shared" si="1"/>
        <v>BT0088</v>
      </c>
    </row>
    <row r="90">
      <c r="A90" t="str">
        <f>IFERROR(__xludf.DUMMYFUNCTION("""COMPUTED_VALUE"""),"6031.2017/0000500-1")</f>
        <v>6031.2017/0000500-1</v>
      </c>
      <c r="B90" s="92">
        <f t="shared" si="2"/>
        <v>89</v>
      </c>
      <c r="C90" t="str">
        <f t="shared" si="1"/>
        <v>BT0089</v>
      </c>
    </row>
    <row r="91">
      <c r="A91" t="str">
        <f>IFERROR(__xludf.DUMMYFUNCTION("""COMPUTED_VALUE"""),"6031.2020/0003.531-3")</f>
        <v>6031.2020/0003.531-3</v>
      </c>
      <c r="B91" s="92">
        <f t="shared" si="2"/>
        <v>90</v>
      </c>
      <c r="C91" t="str">
        <f t="shared" si="1"/>
        <v>BT0090</v>
      </c>
    </row>
    <row r="92">
      <c r="A92" t="str">
        <f>IFERROR(__xludf.DUMMYFUNCTION("""COMPUTED_VALUE"""),"6031.2020/0003.974-2")</f>
        <v>6031.2020/0003.974-2</v>
      </c>
      <c r="B92" s="92">
        <f t="shared" si="2"/>
        <v>91</v>
      </c>
      <c r="C92" t="str">
        <f t="shared" si="1"/>
        <v>BT0091</v>
      </c>
    </row>
    <row r="93">
      <c r="A93" t="str">
        <f>IFERROR(__xludf.DUMMYFUNCTION("""COMPUTED_VALUE"""),"6031.2020/0004.061-9")</f>
        <v>6031.2020/0004.061-9</v>
      </c>
      <c r="B93" s="92">
        <f t="shared" si="2"/>
        <v>92</v>
      </c>
      <c r="C93" t="str">
        <f t="shared" si="1"/>
        <v>BT0092</v>
      </c>
    </row>
    <row r="94">
      <c r="A94" t="str">
        <f>IFERROR(__xludf.DUMMYFUNCTION("""COMPUTED_VALUE"""),"6031.2020/0003.987-4")</f>
        <v>6031.2020/0003.987-4</v>
      </c>
      <c r="B94" s="92">
        <f t="shared" si="2"/>
        <v>93</v>
      </c>
      <c r="C94" t="str">
        <f t="shared" si="1"/>
        <v>BT0093</v>
      </c>
    </row>
    <row r="95">
      <c r="A95" t="str">
        <f>IFERROR(__xludf.DUMMYFUNCTION("""COMPUTED_VALUE"""),"6031.2020/0003.988-2")</f>
        <v>6031.2020/0003.988-2</v>
      </c>
      <c r="B95" s="92">
        <f t="shared" si="2"/>
        <v>94</v>
      </c>
      <c r="C95" t="str">
        <f t="shared" si="1"/>
        <v>BT0094</v>
      </c>
    </row>
    <row r="96">
      <c r="A96" t="str">
        <f>IFERROR(__xludf.DUMMYFUNCTION("""COMPUTED_VALUE"""),"6031.2020/0003.999-8")</f>
        <v>6031.2020/0003.999-8</v>
      </c>
      <c r="B96" s="92">
        <f t="shared" si="2"/>
        <v>95</v>
      </c>
      <c r="C96" t="str">
        <f t="shared" si="1"/>
        <v>BT0095</v>
      </c>
    </row>
    <row r="97">
      <c r="A97" t="str">
        <f>IFERROR(__xludf.DUMMYFUNCTION("""COMPUTED_VALUE"""),"6031.2020/0003.986-6")</f>
        <v>6031.2020/0003.986-6</v>
      </c>
      <c r="B97" s="92">
        <f t="shared" si="2"/>
        <v>96</v>
      </c>
      <c r="C97" t="str">
        <f t="shared" si="1"/>
        <v>BT0096</v>
      </c>
    </row>
    <row r="98">
      <c r="A98" t="str">
        <f>IFERROR(__xludf.DUMMYFUNCTION("""COMPUTED_VALUE"""),"6031.2021/0003.170-0")</f>
        <v>6031.2021/0003.170-0</v>
      </c>
      <c r="B98" s="92">
        <f t="shared" si="2"/>
        <v>97</v>
      </c>
      <c r="C98" t="str">
        <f t="shared" si="1"/>
        <v>BT0097</v>
      </c>
    </row>
    <row r="99">
      <c r="A99" t="str">
        <f>IFERROR(__xludf.DUMMYFUNCTION("""COMPUTED_VALUE"""),"6031.2017/0000560-5")</f>
        <v>6031.2017/0000560-5</v>
      </c>
      <c r="B99" s="92">
        <f t="shared" si="2"/>
        <v>98</v>
      </c>
      <c r="C99" t="str">
        <f t="shared" si="1"/>
        <v>BT0098</v>
      </c>
    </row>
    <row r="100">
      <c r="A100" t="str">
        <f>IFERROR(__xludf.DUMMYFUNCTION("""COMPUTED_VALUE"""),"6031.2017/0000628-8")</f>
        <v>6031.2017/0000628-8</v>
      </c>
      <c r="B100" s="92">
        <f t="shared" si="2"/>
        <v>99</v>
      </c>
      <c r="C100" t="str">
        <f t="shared" si="1"/>
        <v>BT0099</v>
      </c>
    </row>
    <row r="101">
      <c r="A101" t="str">
        <f>IFERROR(__xludf.DUMMYFUNCTION("""COMPUTED_VALUE"""),"6031.2020/0003.985-8")</f>
        <v>6031.2020/0003.985-8</v>
      </c>
      <c r="B101" s="92">
        <f t="shared" si="2"/>
        <v>100</v>
      </c>
      <c r="C101" t="str">
        <f t="shared" si="1"/>
        <v>BT0100</v>
      </c>
    </row>
    <row r="102">
      <c r="A102" t="str">
        <f>IFERROR(__xludf.DUMMYFUNCTION("""COMPUTED_VALUE"""),"6031.2020/0003.982-3")</f>
        <v>6031.2020/0003.982-3</v>
      </c>
      <c r="B102" s="92">
        <f t="shared" si="2"/>
        <v>101</v>
      </c>
      <c r="C102" t="str">
        <f t="shared" si="1"/>
        <v>BT0101</v>
      </c>
    </row>
    <row r="103">
      <c r="A103" t="str">
        <f>IFERROR(__xludf.DUMMYFUNCTION("""COMPUTED_VALUE"""),"6031.2017/0000632-6")</f>
        <v>6031.2017/0000632-6</v>
      </c>
      <c r="B103" s="92">
        <f t="shared" si="2"/>
        <v>102</v>
      </c>
      <c r="C103" t="str">
        <f t="shared" si="1"/>
        <v>BT0102</v>
      </c>
    </row>
    <row r="104">
      <c r="A104" t="str">
        <f>IFERROR(__xludf.DUMMYFUNCTION("""COMPUTED_VALUE"""),"2017-0.000.633-4")</f>
        <v>2017-0.000.633-4</v>
      </c>
      <c r="B104" s="92">
        <f t="shared" si="2"/>
        <v>103</v>
      </c>
      <c r="C104" t="str">
        <f t="shared" si="1"/>
        <v>BT0103</v>
      </c>
    </row>
    <row r="105">
      <c r="A105" t="str">
        <f>IFERROR(__xludf.DUMMYFUNCTION("""COMPUTED_VALUE"""),"6031.2017/0000722-5")</f>
        <v>6031.2017/0000722-5</v>
      </c>
      <c r="B105" s="92">
        <f t="shared" si="2"/>
        <v>104</v>
      </c>
      <c r="C105" t="str">
        <f t="shared" si="1"/>
        <v>BT0104</v>
      </c>
    </row>
    <row r="106">
      <c r="A106" t="str">
        <f>IFERROR(__xludf.DUMMYFUNCTION("""COMPUTED_VALUE"""),"6031.2021/0001.330-3")</f>
        <v>6031.2021/0001.330-3</v>
      </c>
      <c r="B106" s="92">
        <f t="shared" si="2"/>
        <v>105</v>
      </c>
      <c r="C106" t="str">
        <f t="shared" si="1"/>
        <v>BT0105</v>
      </c>
    </row>
    <row r="107">
      <c r="A107" t="str">
        <f>IFERROR(__xludf.DUMMYFUNCTION("""COMPUTED_VALUE"""),"6031.2017/0000739-0")</f>
        <v>6031.2017/0000739-0</v>
      </c>
      <c r="B107" s="92">
        <f t="shared" si="2"/>
        <v>106</v>
      </c>
      <c r="C107" t="str">
        <f t="shared" si="1"/>
        <v>BT0106</v>
      </c>
    </row>
    <row r="108">
      <c r="A108" t="str">
        <f>IFERROR(__xludf.DUMMYFUNCTION("""COMPUTED_VALUE"""),"6031.2017/0000775-6")</f>
        <v>6031.2017/0000775-6</v>
      </c>
      <c r="B108" s="92">
        <f t="shared" si="2"/>
        <v>107</v>
      </c>
      <c r="C108" t="str">
        <f t="shared" si="1"/>
        <v>BT0107</v>
      </c>
    </row>
    <row r="109">
      <c r="A109" t="str">
        <f>IFERROR(__xludf.DUMMYFUNCTION("""COMPUTED_VALUE"""),"6031.2018/0000027-3")</f>
        <v>6031.2018/0000027-3</v>
      </c>
      <c r="B109" s="92">
        <f t="shared" si="2"/>
        <v>108</v>
      </c>
      <c r="C109" t="str">
        <f t="shared" si="1"/>
        <v>BT0108</v>
      </c>
    </row>
    <row r="110">
      <c r="A110" t="str">
        <f>IFERROR(__xludf.DUMMYFUNCTION("""COMPUTED_VALUE"""),"6031.2018/0000028-1")</f>
        <v>6031.2018/0000028-1</v>
      </c>
      <c r="B110" s="92">
        <f t="shared" si="2"/>
        <v>109</v>
      </c>
      <c r="C110" t="str">
        <f t="shared" si="1"/>
        <v>BT0109</v>
      </c>
    </row>
    <row r="111">
      <c r="A111" t="str">
        <f>IFERROR(__xludf.DUMMYFUNCTION("""COMPUTED_VALUE"""),"2016-0.050.436-8")</f>
        <v>2016-0.050.436-8</v>
      </c>
      <c r="B111" s="92">
        <f t="shared" si="2"/>
        <v>110</v>
      </c>
      <c r="C111" t="str">
        <f t="shared" si="1"/>
        <v>BT0110</v>
      </c>
    </row>
    <row r="112">
      <c r="A112" t="str">
        <f>IFERROR(__xludf.DUMMYFUNCTION("""COMPUTED_VALUE"""),"6031.2018/0000069-9")</f>
        <v>6031.2018/0000069-9</v>
      </c>
      <c r="B112" s="92">
        <f t="shared" si="2"/>
        <v>111</v>
      </c>
      <c r="C112" t="str">
        <f t="shared" si="1"/>
        <v>BT0111</v>
      </c>
    </row>
    <row r="113">
      <c r="A113" t="str">
        <f>IFERROR(__xludf.DUMMYFUNCTION("""COMPUTED_VALUE"""),"6031.2021/0000.312-0")</f>
        <v>6031.2021/0000.312-0</v>
      </c>
      <c r="B113" s="92">
        <f t="shared" si="2"/>
        <v>112</v>
      </c>
      <c r="C113" t="str">
        <f t="shared" si="1"/>
        <v>BT0112</v>
      </c>
    </row>
    <row r="114">
      <c r="A114" t="str">
        <f>IFERROR(__xludf.DUMMYFUNCTION("""COMPUTED_VALUE"""),"6031.2018/0000104-0")</f>
        <v>6031.2018/0000104-0</v>
      </c>
      <c r="B114" s="92">
        <f t="shared" si="2"/>
        <v>113</v>
      </c>
      <c r="C114" t="str">
        <f t="shared" si="1"/>
        <v>BT0113</v>
      </c>
    </row>
    <row r="115">
      <c r="A115" t="str">
        <f>IFERROR(__xludf.DUMMYFUNCTION("""COMPUTED_VALUE"""),"6031.2021/0000.827-0")</f>
        <v>6031.2021/0000.827-0</v>
      </c>
      <c r="B115" s="92">
        <f t="shared" si="2"/>
        <v>114</v>
      </c>
      <c r="C115" t="str">
        <f t="shared" si="1"/>
        <v>BT0114</v>
      </c>
    </row>
    <row r="116">
      <c r="A116" t="str">
        <f>IFERROR(__xludf.DUMMYFUNCTION("""COMPUTED_VALUE"""),"6031.2021/0000.813-0")</f>
        <v>6031.2021/0000.813-0</v>
      </c>
      <c r="B116" s="92">
        <f t="shared" si="2"/>
        <v>115</v>
      </c>
      <c r="C116" t="str">
        <f t="shared" si="1"/>
        <v>BT0115</v>
      </c>
    </row>
    <row r="117">
      <c r="A117" t="str">
        <f>IFERROR(__xludf.DUMMYFUNCTION("""COMPUTED_VALUE"""),"6031.2021/0000.820-2")</f>
        <v>6031.2021/0000.820-2</v>
      </c>
      <c r="B117" s="92">
        <f t="shared" si="2"/>
        <v>116</v>
      </c>
      <c r="C117" t="str">
        <f t="shared" si="1"/>
        <v>BT0116</v>
      </c>
    </row>
    <row r="118">
      <c r="A118" t="str">
        <f>IFERROR(__xludf.DUMMYFUNCTION("""COMPUTED_VALUE"""),"6031.2021/0000.830-0")</f>
        <v>6031.2021/0000.830-0</v>
      </c>
      <c r="B118" s="92">
        <f t="shared" si="2"/>
        <v>117</v>
      </c>
      <c r="C118" t="str">
        <f t="shared" si="1"/>
        <v>BT0117</v>
      </c>
    </row>
    <row r="119">
      <c r="A119" t="str">
        <f>IFERROR(__xludf.DUMMYFUNCTION("""COMPUTED_VALUE"""),"6031.2021/0000.821-0")</f>
        <v>6031.2021/0000.821-0</v>
      </c>
      <c r="B119" s="92">
        <f t="shared" si="2"/>
        <v>118</v>
      </c>
      <c r="C119" t="str">
        <f t="shared" si="1"/>
        <v>BT0118</v>
      </c>
    </row>
    <row r="120">
      <c r="A120" t="str">
        <f>IFERROR(__xludf.DUMMYFUNCTION("""COMPUTED_VALUE"""),"6031.2021/0000.826-1")</f>
        <v>6031.2021/0000.826-1</v>
      </c>
      <c r="B120" s="92">
        <f t="shared" si="2"/>
        <v>119</v>
      </c>
      <c r="C120" t="str">
        <f t="shared" si="1"/>
        <v>BT0119</v>
      </c>
    </row>
    <row r="121">
      <c r="A121" t="str">
        <f>IFERROR(__xludf.DUMMYFUNCTION("""COMPUTED_VALUE"""),"6031.2021/0000.817-2")</f>
        <v>6031.2021/0000.817-2</v>
      </c>
      <c r="B121" s="92">
        <f t="shared" si="2"/>
        <v>120</v>
      </c>
      <c r="C121" t="str">
        <f t="shared" si="1"/>
        <v>BT0120</v>
      </c>
    </row>
    <row r="122">
      <c r="A122" t="str">
        <f>IFERROR(__xludf.DUMMYFUNCTION("""COMPUTED_VALUE"""),"6031.2021/0001.331-1")</f>
        <v>6031.2021/0001.331-1</v>
      </c>
      <c r="B122" s="92">
        <f t="shared" si="2"/>
        <v>121</v>
      </c>
      <c r="C122" t="str">
        <f t="shared" si="1"/>
        <v>BT0121</v>
      </c>
    </row>
    <row r="123">
      <c r="A123" t="str">
        <f>IFERROR(__xludf.DUMMYFUNCTION("""COMPUTED_VALUE"""),"6031.2021/0002.073-3")</f>
        <v>6031.2021/0002.073-3</v>
      </c>
      <c r="B123" s="92">
        <f t="shared" si="2"/>
        <v>122</v>
      </c>
      <c r="C123" t="str">
        <f t="shared" si="1"/>
        <v>BT0122</v>
      </c>
    </row>
    <row r="124">
      <c r="A124" t="str">
        <f>IFERROR(__xludf.DUMMYFUNCTION("""COMPUTED_VALUE"""),"6031.2021/0000.832-6")</f>
        <v>6031.2021/0000.832-6</v>
      </c>
      <c r="B124" s="92">
        <f t="shared" si="2"/>
        <v>123</v>
      </c>
      <c r="C124" t="str">
        <f t="shared" si="1"/>
        <v>BT0123</v>
      </c>
    </row>
    <row r="125">
      <c r="A125" t="str">
        <f>IFERROR(__xludf.DUMMYFUNCTION("""COMPUTED_VALUE"""),"6031.2021/0000.816-4")</f>
        <v>6031.2021/0000.816-4</v>
      </c>
      <c r="B125" s="92">
        <f t="shared" si="2"/>
        <v>124</v>
      </c>
      <c r="C125" t="str">
        <f t="shared" si="1"/>
        <v>BT0124</v>
      </c>
    </row>
    <row r="126">
      <c r="A126" t="str">
        <f>IFERROR(__xludf.DUMMYFUNCTION("""COMPUTED_VALUE"""),"6031.2021/0000.819-9")</f>
        <v>6031.2021/0000.819-9</v>
      </c>
      <c r="B126" s="92">
        <f t="shared" si="2"/>
        <v>125</v>
      </c>
      <c r="C126" t="str">
        <f t="shared" si="1"/>
        <v>BT0125</v>
      </c>
    </row>
    <row r="127">
      <c r="A127" t="str">
        <f>IFERROR(__xludf.DUMMYFUNCTION("""COMPUTED_VALUE"""),"6031.2021/0000.812-1")</f>
        <v>6031.2021/0000.812-1</v>
      </c>
      <c r="B127" s="92">
        <f t="shared" si="2"/>
        <v>126</v>
      </c>
      <c r="C127" t="str">
        <f t="shared" si="1"/>
        <v>BT0126</v>
      </c>
    </row>
    <row r="128">
      <c r="A128" t="str">
        <f>IFERROR(__xludf.DUMMYFUNCTION("""COMPUTED_VALUE"""),"6031.2019/0004.656-9")</f>
        <v>6031.2019/0004.656-9</v>
      </c>
      <c r="B128" s="92">
        <f t="shared" si="2"/>
        <v>127</v>
      </c>
      <c r="C128" t="str">
        <f t="shared" si="1"/>
        <v>BT0127</v>
      </c>
    </row>
    <row r="129">
      <c r="A129" t="str">
        <f>IFERROR(__xludf.DUMMYFUNCTION("""COMPUTED_VALUE"""),"6031.2021/0000.845-8")</f>
        <v>6031.2021/0000.845-8</v>
      </c>
      <c r="B129" s="92">
        <f t="shared" si="2"/>
        <v>128</v>
      </c>
      <c r="C129" t="str">
        <f t="shared" si="1"/>
        <v>BT0128</v>
      </c>
    </row>
    <row r="130">
      <c r="A130" t="str">
        <f>IFERROR(__xludf.DUMMYFUNCTION("""COMPUTED_VALUE"""),"6031.2021/0003.168-9")</f>
        <v>6031.2021/0003.168-9</v>
      </c>
      <c r="B130" s="92">
        <f t="shared" si="2"/>
        <v>129</v>
      </c>
      <c r="C130" t="str">
        <f t="shared" si="1"/>
        <v>BT0129</v>
      </c>
    </row>
    <row r="131">
      <c r="A131" t="str">
        <f>IFERROR(__xludf.DUMMYFUNCTION("""COMPUTED_VALUE"""),"6031.2018/0000223-3")</f>
        <v>6031.2018/0000223-3</v>
      </c>
      <c r="B131" s="92">
        <f t="shared" si="2"/>
        <v>130</v>
      </c>
      <c r="C131" t="str">
        <f t="shared" si="1"/>
        <v>BT0130</v>
      </c>
    </row>
    <row r="132">
      <c r="A132" t="str">
        <f>IFERROR(__xludf.DUMMYFUNCTION("""COMPUTED_VALUE"""),"6031.2018/0000225-0")</f>
        <v>6031.2018/0000225-0</v>
      </c>
      <c r="B132" s="92">
        <f t="shared" si="2"/>
        <v>131</v>
      </c>
      <c r="C132" t="str">
        <f t="shared" si="1"/>
        <v>BT0131</v>
      </c>
    </row>
    <row r="133">
      <c r="A133" t="str">
        <f>IFERROR(__xludf.DUMMYFUNCTION("""COMPUTED_VALUE"""),"6031.2018/0000226-8")</f>
        <v>6031.2018/0000226-8</v>
      </c>
      <c r="B133" s="92">
        <f t="shared" si="2"/>
        <v>132</v>
      </c>
      <c r="C133" t="str">
        <f t="shared" si="1"/>
        <v>BT0132</v>
      </c>
    </row>
    <row r="134">
      <c r="A134" t="str">
        <f>IFERROR(__xludf.DUMMYFUNCTION("""COMPUTED_VALUE"""),"6031.2018/0000253-5")</f>
        <v>6031.2018/0000253-5</v>
      </c>
      <c r="B134" s="92">
        <f t="shared" si="2"/>
        <v>133</v>
      </c>
      <c r="C134" t="str">
        <f t="shared" si="1"/>
        <v>BT0133</v>
      </c>
    </row>
    <row r="135">
      <c r="A135" t="str">
        <f>IFERROR(__xludf.DUMMYFUNCTION("""COMPUTED_VALUE"""),"6031.2018/0000260-8")</f>
        <v>6031.2018/0000260-8</v>
      </c>
      <c r="B135" s="92">
        <f t="shared" si="2"/>
        <v>134</v>
      </c>
      <c r="C135" t="str">
        <f t="shared" si="1"/>
        <v>BT0134</v>
      </c>
    </row>
    <row r="136">
      <c r="A136" t="str">
        <f>IFERROR(__xludf.DUMMYFUNCTION("""COMPUTED_VALUE"""),"6031.2018/0000259-4")</f>
        <v>6031.2018/0000259-4</v>
      </c>
      <c r="B136" s="92">
        <f t="shared" si="2"/>
        <v>135</v>
      </c>
      <c r="C136" t="str">
        <f t="shared" si="1"/>
        <v>BT0135</v>
      </c>
    </row>
    <row r="137">
      <c r="A137" t="str">
        <f>IFERROR(__xludf.DUMMYFUNCTION("""COMPUTED_VALUE"""),"6031.2018/0000347-7")</f>
        <v>6031.2018/0000347-7</v>
      </c>
      <c r="B137" s="92">
        <f t="shared" si="2"/>
        <v>136</v>
      </c>
      <c r="C137" t="str">
        <f t="shared" si="1"/>
        <v>BT0136</v>
      </c>
    </row>
    <row r="138">
      <c r="A138" t="str">
        <f>IFERROR(__xludf.DUMMYFUNCTION("""COMPUTED_VALUE"""),"6031.2018/0000364-4")</f>
        <v>6031.2018/0000364-4</v>
      </c>
      <c r="B138" s="92">
        <f t="shared" si="2"/>
        <v>137</v>
      </c>
      <c r="C138" t="str">
        <f t="shared" si="1"/>
        <v>BT0137</v>
      </c>
    </row>
    <row r="139">
      <c r="A139" t="str">
        <f>IFERROR(__xludf.DUMMYFUNCTION("""COMPUTED_VALUE"""),"6031.2018/0000396-5")</f>
        <v>6031.2018/0000396-5</v>
      </c>
      <c r="B139" s="92">
        <f t="shared" si="2"/>
        <v>138</v>
      </c>
      <c r="C139" t="str">
        <f t="shared" si="1"/>
        <v>BT0138</v>
      </c>
    </row>
    <row r="140">
      <c r="A140" t="str">
        <f>IFERROR(__xludf.DUMMYFUNCTION("""COMPUTED_VALUE"""),"6031.2018/0000400-7")</f>
        <v>6031.2018/0000400-7</v>
      </c>
      <c r="B140" s="92">
        <f t="shared" si="2"/>
        <v>139</v>
      </c>
      <c r="C140" t="str">
        <f t="shared" si="1"/>
        <v>BT0139</v>
      </c>
    </row>
    <row r="141">
      <c r="A141" t="str">
        <f>IFERROR(__xludf.DUMMYFUNCTION("""COMPUTED_VALUE"""),"6031.2018/0000401-5")</f>
        <v>6031.2018/0000401-5</v>
      </c>
      <c r="B141" s="92">
        <f t="shared" si="2"/>
        <v>140</v>
      </c>
      <c r="C141" t="str">
        <f t="shared" si="1"/>
        <v>BT0140</v>
      </c>
    </row>
    <row r="142">
      <c r="A142" t="str">
        <f>IFERROR(__xludf.DUMMYFUNCTION("""COMPUTED_VALUE"""),"6031.2018/0000965-3")</f>
        <v>6031.2018/0000965-3</v>
      </c>
      <c r="B142" s="92">
        <f t="shared" si="2"/>
        <v>141</v>
      </c>
      <c r="C142" t="str">
        <f t="shared" si="1"/>
        <v>BT0141</v>
      </c>
    </row>
    <row r="143">
      <c r="A143" t="str">
        <f>IFERROR(__xludf.DUMMYFUNCTION("""COMPUTED_VALUE"""),"6031.2018/0000498-8")</f>
        <v>6031.2018/0000498-8</v>
      </c>
      <c r="B143" s="92">
        <f t="shared" si="2"/>
        <v>142</v>
      </c>
      <c r="C143" t="str">
        <f t="shared" si="1"/>
        <v>BT0142</v>
      </c>
    </row>
    <row r="144">
      <c r="A144" t="str">
        <f>IFERROR(__xludf.DUMMYFUNCTION("""COMPUTED_VALUE"""),"6031.2018/0000630-1")</f>
        <v>6031.2018/0000630-1</v>
      </c>
      <c r="B144" s="92">
        <f t="shared" si="2"/>
        <v>143</v>
      </c>
      <c r="C144" t="str">
        <f t="shared" si="1"/>
        <v>BT0143</v>
      </c>
    </row>
    <row r="145">
      <c r="A145" t="str">
        <f>IFERROR(__xludf.DUMMYFUNCTION("""COMPUTED_VALUE"""),"6031.2021/0003.217-0")</f>
        <v>6031.2021/0003.217-0</v>
      </c>
      <c r="B145" s="92">
        <f t="shared" si="2"/>
        <v>144</v>
      </c>
      <c r="C145" t="str">
        <f t="shared" si="1"/>
        <v>BT0144</v>
      </c>
    </row>
    <row r="146">
      <c r="A146" t="str">
        <f>IFERROR(__xludf.DUMMYFUNCTION("""COMPUTED_VALUE"""),"6031.2021/0003.230-8")</f>
        <v>6031.2021/0003.230-8</v>
      </c>
      <c r="B146" s="92">
        <f t="shared" si="2"/>
        <v>145</v>
      </c>
      <c r="C146" t="str">
        <f t="shared" si="1"/>
        <v>BT0145</v>
      </c>
    </row>
    <row r="147">
      <c r="A147" t="str">
        <f>IFERROR(__xludf.DUMMYFUNCTION("""COMPUTED_VALUE"""),"6031.2021/0003.256-1")</f>
        <v>6031.2021/0003.256-1</v>
      </c>
      <c r="B147" s="92">
        <f t="shared" si="2"/>
        <v>146</v>
      </c>
      <c r="C147" t="str">
        <f t="shared" si="1"/>
        <v>BT0146</v>
      </c>
    </row>
    <row r="148">
      <c r="A148" t="str">
        <f>IFERROR(__xludf.DUMMYFUNCTION("""COMPUTED_VALUE"""),"6031.2021/0003.224-3")</f>
        <v>6031.2021/0003.224-3</v>
      </c>
      <c r="B148" s="92">
        <f t="shared" si="2"/>
        <v>147</v>
      </c>
      <c r="C148" t="str">
        <f t="shared" si="1"/>
        <v>BT0147</v>
      </c>
    </row>
    <row r="149">
      <c r="A149" t="str">
        <f>IFERROR(__xludf.DUMMYFUNCTION("""COMPUTED_VALUE"""),"6031.2021/0003.221-9")</f>
        <v>6031.2021/0003.221-9</v>
      </c>
      <c r="B149" s="92">
        <f t="shared" si="2"/>
        <v>148</v>
      </c>
      <c r="C149" t="str">
        <f t="shared" si="1"/>
        <v>BT0148</v>
      </c>
    </row>
    <row r="150">
      <c r="A150" t="str">
        <f>IFERROR(__xludf.DUMMYFUNCTION("""COMPUTED_VALUE"""),"6031.2021/0003.220-0")</f>
        <v>6031.2021/0003.220-0</v>
      </c>
      <c r="B150" s="92">
        <f t="shared" si="2"/>
        <v>149</v>
      </c>
      <c r="C150" t="str">
        <f t="shared" si="1"/>
        <v>BT0149</v>
      </c>
    </row>
    <row r="151">
      <c r="A151" t="str">
        <f>IFERROR(__xludf.DUMMYFUNCTION("""COMPUTED_VALUE"""),"6031.2021/0003.231-6")</f>
        <v>6031.2021/0003.231-6</v>
      </c>
      <c r="B151" s="92">
        <f t="shared" si="2"/>
        <v>150</v>
      </c>
      <c r="C151" t="str">
        <f t="shared" si="1"/>
        <v>BT0150</v>
      </c>
    </row>
    <row r="152">
      <c r="A152" t="str">
        <f>IFERROR(__xludf.DUMMYFUNCTION("""COMPUTED_VALUE"""),"6031.2021/0003.265-0")</f>
        <v>6031.2021/0003.265-0</v>
      </c>
      <c r="B152" s="92">
        <f t="shared" si="2"/>
        <v>151</v>
      </c>
      <c r="C152" t="str">
        <f t="shared" si="1"/>
        <v>BT0151</v>
      </c>
    </row>
    <row r="153">
      <c r="A153" t="str">
        <f>IFERROR(__xludf.DUMMYFUNCTION("""COMPUTED_VALUE"""),"6031.2021/0003.241-3")</f>
        <v>6031.2021/0003.241-3</v>
      </c>
      <c r="B153" s="92">
        <f t="shared" si="2"/>
        <v>152</v>
      </c>
      <c r="C153" t="str">
        <f t="shared" si="1"/>
        <v>BT0152</v>
      </c>
    </row>
    <row r="154">
      <c r="A154" t="str">
        <f>IFERROR(__xludf.DUMMYFUNCTION("""COMPUTED_VALUE"""),"6031.2021/0003.244-8")</f>
        <v>6031.2021/0003.244-8</v>
      </c>
      <c r="B154" s="92">
        <f t="shared" si="2"/>
        <v>153</v>
      </c>
      <c r="C154" t="str">
        <f t="shared" si="1"/>
        <v>BT0153</v>
      </c>
    </row>
    <row r="155">
      <c r="A155" t="str">
        <f>IFERROR(__xludf.DUMMYFUNCTION("""COMPUTED_VALUE"""),"6031.2021/0003.245-6")</f>
        <v>6031.2021/0003.245-6</v>
      </c>
      <c r="B155" s="92">
        <f t="shared" si="2"/>
        <v>154</v>
      </c>
      <c r="C155" t="str">
        <f t="shared" si="1"/>
        <v>BT0154</v>
      </c>
    </row>
    <row r="156">
      <c r="A156" t="str">
        <f>IFERROR(__xludf.DUMMYFUNCTION("""COMPUTED_VALUE"""),"6031.2021/0003.268-5")</f>
        <v>6031.2021/0003.268-5</v>
      </c>
      <c r="B156" s="92">
        <f t="shared" si="2"/>
        <v>155</v>
      </c>
      <c r="C156" t="str">
        <f t="shared" si="1"/>
        <v>BT0155</v>
      </c>
    </row>
    <row r="157">
      <c r="A157" t="str">
        <f>IFERROR(__xludf.DUMMYFUNCTION("""COMPUTED_VALUE"""),"6031.2021/0003.270-7")</f>
        <v>6031.2021/0003.270-7</v>
      </c>
      <c r="B157" s="92">
        <f t="shared" si="2"/>
        <v>156</v>
      </c>
      <c r="C157" t="str">
        <f t="shared" si="1"/>
        <v>BT0156</v>
      </c>
    </row>
    <row r="158">
      <c r="A158" t="str">
        <f>IFERROR(__xludf.DUMMYFUNCTION("""COMPUTED_VALUE"""),"6031.2021/0003.267-7")</f>
        <v>6031.2021/0003.267-7</v>
      </c>
      <c r="B158" s="92">
        <f t="shared" si="2"/>
        <v>157</v>
      </c>
      <c r="C158" t="str">
        <f t="shared" si="1"/>
        <v>BT0157</v>
      </c>
    </row>
    <row r="159">
      <c r="A159" t="str">
        <f>IFERROR(__xludf.DUMMYFUNCTION("""COMPUTED_VALUE"""),"6031.2021/0003.287-1")</f>
        <v>6031.2021/0003.287-1</v>
      </c>
      <c r="B159" s="92">
        <f t="shared" si="2"/>
        <v>158</v>
      </c>
      <c r="C159" t="str">
        <f t="shared" si="1"/>
        <v>BT0158</v>
      </c>
    </row>
    <row r="160">
      <c r="A160" t="str">
        <f>IFERROR(__xludf.DUMMYFUNCTION("""COMPUTED_VALUE"""),"6031.2021/0003.281-2")</f>
        <v>6031.2021/0003.281-2</v>
      </c>
      <c r="B160" s="92">
        <f t="shared" si="2"/>
        <v>159</v>
      </c>
      <c r="C160" t="str">
        <f t="shared" si="1"/>
        <v>BT0159</v>
      </c>
    </row>
    <row r="161">
      <c r="A161" t="str">
        <f>IFERROR(__xludf.DUMMYFUNCTION("""COMPUTED_VALUE"""),"6031.2021/0003.275-8")</f>
        <v>6031.2021/0003.275-8</v>
      </c>
      <c r="B161" s="92">
        <f t="shared" si="2"/>
        <v>160</v>
      </c>
      <c r="C161" t="str">
        <f t="shared" si="1"/>
        <v>BT0160</v>
      </c>
    </row>
    <row r="162">
      <c r="A162" t="str">
        <f>IFERROR(__xludf.DUMMYFUNCTION("""COMPUTED_VALUE"""),"6031.2021/0003.271-5")</f>
        <v>6031.2021/0003.271-5</v>
      </c>
      <c r="B162" s="92">
        <f t="shared" si="2"/>
        <v>161</v>
      </c>
      <c r="C162" t="str">
        <f t="shared" si="1"/>
        <v>BT0161</v>
      </c>
    </row>
    <row r="163">
      <c r="A163" t="str">
        <f>IFERROR(__xludf.DUMMYFUNCTION("""COMPUTED_VALUE"""),"6031.2021/0003.303-7")</f>
        <v>6031.2021/0003.303-7</v>
      </c>
      <c r="B163" s="92">
        <f t="shared" si="2"/>
        <v>162</v>
      </c>
      <c r="C163" t="str">
        <f t="shared" si="1"/>
        <v>BT0162</v>
      </c>
    </row>
    <row r="164">
      <c r="A164" t="str">
        <f>IFERROR(__xludf.DUMMYFUNCTION("""COMPUTED_VALUE"""),"6031.2021/0003.307-0")</f>
        <v>6031.2021/0003.307-0</v>
      </c>
      <c r="B164" s="92">
        <f t="shared" si="2"/>
        <v>163</v>
      </c>
      <c r="C164" t="str">
        <f t="shared" si="1"/>
        <v>BT0163</v>
      </c>
    </row>
    <row r="165">
      <c r="A165" t="str">
        <f>IFERROR(__xludf.DUMMYFUNCTION("""COMPUTED_VALUE"""),"6031.2021/0003.310-0")</f>
        <v>6031.2021/0003.310-0</v>
      </c>
      <c r="B165" s="92">
        <f t="shared" si="2"/>
        <v>164</v>
      </c>
      <c r="C165" t="str">
        <f t="shared" si="1"/>
        <v>BT0164</v>
      </c>
    </row>
    <row r="166">
      <c r="A166" t="str">
        <f>IFERROR(__xludf.DUMMYFUNCTION("""COMPUTED_VALUE"""),"6031.2021/0003.312-6")</f>
        <v>6031.2021/0003.312-6</v>
      </c>
      <c r="B166" s="92">
        <f t="shared" si="2"/>
        <v>165</v>
      </c>
      <c r="C166" t="str">
        <f t="shared" si="1"/>
        <v>BT0165</v>
      </c>
    </row>
    <row r="167">
      <c r="A167" t="str">
        <f>IFERROR(__xludf.DUMMYFUNCTION("""COMPUTED_VALUE"""),"6031.2021/0003.201-4")</f>
        <v>6031.2021/0003.201-4</v>
      </c>
      <c r="B167" s="92">
        <f t="shared" si="2"/>
        <v>166</v>
      </c>
      <c r="C167" t="str">
        <f t="shared" si="1"/>
        <v>BT0166</v>
      </c>
    </row>
    <row r="168">
      <c r="A168" t="str">
        <f>IFERROR(__xludf.DUMMYFUNCTION("""COMPUTED_VALUE"""),"6031.2021/0003.203-0")</f>
        <v>6031.2021/0003.203-0</v>
      </c>
      <c r="B168" s="92">
        <f t="shared" si="2"/>
        <v>167</v>
      </c>
      <c r="C168" t="str">
        <f t="shared" si="1"/>
        <v>BT0167</v>
      </c>
    </row>
    <row r="169">
      <c r="A169" t="str">
        <f>IFERROR(__xludf.DUMMYFUNCTION("""COMPUTED_VALUE"""),"6031.2021/0003.205-7")</f>
        <v>6031.2021/0003.205-7</v>
      </c>
      <c r="B169" s="92">
        <f t="shared" si="2"/>
        <v>168</v>
      </c>
      <c r="C169" t="str">
        <f t="shared" si="1"/>
        <v>BT0168</v>
      </c>
    </row>
    <row r="170">
      <c r="A170" t="str">
        <f>IFERROR(__xludf.DUMMYFUNCTION("""COMPUTED_VALUE"""),"6031.2021/0003.212-0")</f>
        <v>6031.2021/0003.212-0</v>
      </c>
      <c r="B170" s="92">
        <f t="shared" si="2"/>
        <v>169</v>
      </c>
      <c r="C170" t="str">
        <f t="shared" si="1"/>
        <v>BT0169</v>
      </c>
    </row>
    <row r="171">
      <c r="A171" t="str">
        <f>IFERROR(__xludf.DUMMYFUNCTION("""COMPUTED_VALUE"""),"6031.2021/0003.213-8")</f>
        <v>6031.2021/0003.213-8</v>
      </c>
      <c r="B171" s="92">
        <f t="shared" si="2"/>
        <v>170</v>
      </c>
      <c r="C171" t="str">
        <f t="shared" si="1"/>
        <v>BT0170</v>
      </c>
    </row>
    <row r="172">
      <c r="A172" t="str">
        <f>IFERROR(__xludf.DUMMYFUNCTION("""COMPUTED_VALUE"""),"6031.2021/0003.214-6")</f>
        <v>6031.2021/0003.214-6</v>
      </c>
      <c r="B172" s="92">
        <f t="shared" si="2"/>
        <v>171</v>
      </c>
      <c r="C172" t="str">
        <f t="shared" si="1"/>
        <v>BT0171</v>
      </c>
    </row>
    <row r="173">
      <c r="A173" t="str">
        <f>IFERROR(__xludf.DUMMYFUNCTION("""COMPUTED_VALUE"""),"6031.2021/0003.215-4")</f>
        <v>6031.2021/0003.215-4</v>
      </c>
      <c r="B173" s="92">
        <f t="shared" si="2"/>
        <v>172</v>
      </c>
      <c r="C173" t="str">
        <f t="shared" si="1"/>
        <v>BT0172</v>
      </c>
    </row>
    <row r="174">
      <c r="A174" t="str">
        <f>IFERROR(__xludf.DUMMYFUNCTION("""COMPUTED_VALUE"""),"6031.2021/0002.311-2")</f>
        <v>6031.2021/0002.311-2</v>
      </c>
      <c r="B174" s="92">
        <f t="shared" si="2"/>
        <v>173</v>
      </c>
      <c r="C174" t="str">
        <f t="shared" si="1"/>
        <v>BT0173</v>
      </c>
    </row>
    <row r="175">
      <c r="A175" t="str">
        <f>IFERROR(__xludf.DUMMYFUNCTION("""COMPUTED_VALUE"""),"6031.2021/0003.047-0")</f>
        <v>6031.2021/0003.047-0</v>
      </c>
      <c r="B175" s="92">
        <f t="shared" si="2"/>
        <v>174</v>
      </c>
      <c r="C175" t="str">
        <f t="shared" si="1"/>
        <v>BT0174</v>
      </c>
    </row>
    <row r="176">
      <c r="A176" t="str">
        <f>IFERROR(__xludf.DUMMYFUNCTION("""COMPUTED_VALUE"""),"6031.2021/0003.808-0")</f>
        <v>6031.2021/0003.808-0</v>
      </c>
      <c r="B176" s="92">
        <f t="shared" si="2"/>
        <v>175</v>
      </c>
      <c r="C176" t="str">
        <f t="shared" si="1"/>
        <v>BT0175</v>
      </c>
    </row>
    <row r="177">
      <c r="A177" t="str">
        <f>IFERROR(__xludf.DUMMYFUNCTION("""COMPUTED_VALUE"""),"6031.2018/0000871-1")</f>
        <v>6031.2018/0000871-1</v>
      </c>
      <c r="B177" s="92">
        <f t="shared" si="2"/>
        <v>176</v>
      </c>
      <c r="C177" t="str">
        <f t="shared" si="1"/>
        <v>BT0176</v>
      </c>
    </row>
    <row r="178">
      <c r="A178" t="str">
        <f>IFERROR(__xludf.DUMMYFUNCTION("""COMPUTED_VALUE"""),"6031.2018/0000870-3")</f>
        <v>6031.2018/0000870-3</v>
      </c>
      <c r="B178" s="92">
        <f t="shared" si="2"/>
        <v>177</v>
      </c>
      <c r="C178" t="str">
        <f t="shared" si="1"/>
        <v>BT0177</v>
      </c>
    </row>
    <row r="179">
      <c r="A179" t="str">
        <f>IFERROR(__xludf.DUMMYFUNCTION("""COMPUTED_VALUE"""),"6031.2018/0000988-2")</f>
        <v>6031.2018/0000988-2</v>
      </c>
      <c r="B179" s="92">
        <f t="shared" si="2"/>
        <v>178</v>
      </c>
      <c r="C179" t="str">
        <f t="shared" si="1"/>
        <v>BT0178</v>
      </c>
    </row>
    <row r="180">
      <c r="A180" t="str">
        <f>IFERROR(__xludf.DUMMYFUNCTION("""COMPUTED_VALUE"""),"6031.2018/0000968-8")</f>
        <v>6031.2018/0000968-8</v>
      </c>
      <c r="B180" s="92">
        <f t="shared" si="2"/>
        <v>179</v>
      </c>
      <c r="C180" t="str">
        <f t="shared" si="1"/>
        <v>BT0179</v>
      </c>
    </row>
    <row r="181">
      <c r="A181" t="str">
        <f>IFERROR(__xludf.DUMMYFUNCTION("""COMPUTED_VALUE"""),"6031.2018/0001141-0")</f>
        <v>6031.2018/0001141-0</v>
      </c>
      <c r="B181" s="92">
        <f t="shared" si="2"/>
        <v>180</v>
      </c>
      <c r="C181" t="str">
        <f t="shared" si="1"/>
        <v>BT0180</v>
      </c>
    </row>
    <row r="182">
      <c r="A182" t="str">
        <f>IFERROR(__xludf.DUMMYFUNCTION("""COMPUTED_VALUE"""),"6031.2018/0001.175-5")</f>
        <v>6031.2018/0001.175-5</v>
      </c>
      <c r="B182" s="92">
        <f t="shared" si="2"/>
        <v>181</v>
      </c>
      <c r="C182" t="str">
        <f t="shared" si="1"/>
        <v>BT0181</v>
      </c>
    </row>
    <row r="183">
      <c r="A183" t="str">
        <f>IFERROR(__xludf.DUMMYFUNCTION("""COMPUTED_VALUE"""),"6031.2018/0001.416-9")</f>
        <v>6031.2018/0001.416-9</v>
      </c>
      <c r="B183" s="92">
        <f t="shared" si="2"/>
        <v>182</v>
      </c>
      <c r="C183" t="str">
        <f t="shared" si="1"/>
        <v>BT0182</v>
      </c>
    </row>
    <row r="184">
      <c r="A184" t="str">
        <f>IFERROR(__xludf.DUMMYFUNCTION("""COMPUTED_VALUE"""),"6031.2018/0001.240-9")</f>
        <v>6031.2018/0001.240-9</v>
      </c>
      <c r="B184" s="92">
        <f t="shared" si="2"/>
        <v>183</v>
      </c>
      <c r="C184" t="str">
        <f t="shared" si="1"/>
        <v>BT0183</v>
      </c>
    </row>
    <row r="185">
      <c r="A185" t="str">
        <f>IFERROR(__xludf.DUMMYFUNCTION("""COMPUTED_VALUE"""),"6031.2021/0003.022-4")</f>
        <v>6031.2021/0003.022-4</v>
      </c>
      <c r="B185" s="92">
        <f t="shared" si="2"/>
        <v>184</v>
      </c>
      <c r="C185" t="str">
        <f t="shared" si="1"/>
        <v>BT0184</v>
      </c>
    </row>
    <row r="186">
      <c r="A186" t="str">
        <f>IFERROR(__xludf.DUMMYFUNCTION("""COMPUTED_VALUE"""),"6031.2018/0001.404-5")</f>
        <v>6031.2018/0001.404-5</v>
      </c>
      <c r="B186" s="92">
        <f t="shared" si="2"/>
        <v>185</v>
      </c>
      <c r="C186" t="str">
        <f t="shared" si="1"/>
        <v>BT0185</v>
      </c>
    </row>
    <row r="187">
      <c r="A187" t="str">
        <f>IFERROR(__xludf.DUMMYFUNCTION("""COMPUTED_VALUE"""),"6031.2018/0001.550-5")</f>
        <v>6031.2018/0001.550-5</v>
      </c>
      <c r="B187" s="92">
        <f t="shared" si="2"/>
        <v>186</v>
      </c>
      <c r="C187" t="str">
        <f t="shared" si="1"/>
        <v>BT0186</v>
      </c>
    </row>
    <row r="188">
      <c r="A188" t="str">
        <f>IFERROR(__xludf.DUMMYFUNCTION("""COMPUTED_VALUE"""),"6031.2018/0001.552-1")</f>
        <v>6031.2018/0001.552-1</v>
      </c>
      <c r="B188" s="92">
        <f t="shared" si="2"/>
        <v>187</v>
      </c>
      <c r="C188" t="str">
        <f t="shared" si="1"/>
        <v>BT0187</v>
      </c>
    </row>
    <row r="189">
      <c r="A189" t="str">
        <f>IFERROR(__xludf.DUMMYFUNCTION("""COMPUTED_VALUE"""),"6031.2018/0000.174-1")</f>
        <v>6031.2018/0000.174-1</v>
      </c>
      <c r="B189" s="92">
        <f t="shared" si="2"/>
        <v>188</v>
      </c>
      <c r="C189" t="str">
        <f t="shared" si="1"/>
        <v>BT0188</v>
      </c>
    </row>
    <row r="190">
      <c r="A190" t="str">
        <f>IFERROR(__xludf.DUMMYFUNCTION("""COMPUTED_VALUE"""),"6031.2018/0001.515-7")</f>
        <v>6031.2018/0001.515-7</v>
      </c>
      <c r="B190" s="92">
        <f t="shared" si="2"/>
        <v>189</v>
      </c>
      <c r="C190" t="str">
        <f t="shared" si="1"/>
        <v>BT0189</v>
      </c>
    </row>
    <row r="191">
      <c r="A191" t="str">
        <f>IFERROR(__xludf.DUMMYFUNCTION("""COMPUTED_VALUE"""),"6031.2018/0001.551-3")</f>
        <v>6031.2018/0001.551-3</v>
      </c>
      <c r="B191" s="92">
        <f t="shared" si="2"/>
        <v>190</v>
      </c>
      <c r="C191" t="str">
        <f t="shared" si="1"/>
        <v>BT0190</v>
      </c>
    </row>
    <row r="192">
      <c r="A192" t="str">
        <f>IFERROR(__xludf.DUMMYFUNCTION("""COMPUTED_VALUE"""),"6031.2018/0001.618-8")</f>
        <v>6031.2018/0001.618-8</v>
      </c>
      <c r="B192" s="92">
        <f t="shared" si="2"/>
        <v>191</v>
      </c>
      <c r="C192" t="str">
        <f t="shared" si="1"/>
        <v>BT0191</v>
      </c>
    </row>
    <row r="193">
      <c r="A193" t="str">
        <f>IFERROR(__xludf.DUMMYFUNCTION("""COMPUTED_VALUE"""),"6031.2018/0001.726-5")</f>
        <v>6031.2018/0001.726-5</v>
      </c>
      <c r="B193" s="92">
        <f t="shared" si="2"/>
        <v>192</v>
      </c>
      <c r="C193" t="str">
        <f t="shared" si="1"/>
        <v>BT0192</v>
      </c>
    </row>
    <row r="194">
      <c r="A194" t="str">
        <f>IFERROR(__xludf.DUMMYFUNCTION("""COMPUTED_VALUE"""),"6031.2018/0001.725-7")</f>
        <v>6031.2018/0001.725-7</v>
      </c>
      <c r="B194" s="92">
        <f t="shared" si="2"/>
        <v>193</v>
      </c>
      <c r="C194" t="str">
        <f t="shared" si="1"/>
        <v>BT0193</v>
      </c>
    </row>
    <row r="195">
      <c r="A195" t="str">
        <f>IFERROR(__xludf.DUMMYFUNCTION("""COMPUTED_VALUE"""),"6031.2021/0004.776-3")</f>
        <v>6031.2021/0004.776-3</v>
      </c>
      <c r="B195" s="92">
        <f t="shared" si="2"/>
        <v>194</v>
      </c>
      <c r="C195" t="str">
        <f t="shared" si="1"/>
        <v>BT0194</v>
      </c>
    </row>
    <row r="196">
      <c r="A196" t="str">
        <f>IFERROR(__xludf.DUMMYFUNCTION("""COMPUTED_VALUE"""),"6031.2018/0001.837-7")</f>
        <v>6031.2018/0001.837-7</v>
      </c>
      <c r="B196" s="92">
        <f t="shared" si="2"/>
        <v>195</v>
      </c>
      <c r="C196" t="str">
        <f t="shared" si="1"/>
        <v>BT0195</v>
      </c>
    </row>
    <row r="197">
      <c r="A197" t="str">
        <f>IFERROR(__xludf.DUMMYFUNCTION("""COMPUTED_VALUE"""),"6031.2018/0002.040-1")</f>
        <v>6031.2018/0002.040-1</v>
      </c>
      <c r="B197" s="92">
        <f t="shared" si="2"/>
        <v>196</v>
      </c>
      <c r="C197" t="str">
        <f t="shared" si="1"/>
        <v>BT0196</v>
      </c>
    </row>
    <row r="198">
      <c r="A198" t="str">
        <f>IFERROR(__xludf.DUMMYFUNCTION("""COMPUTED_VALUE"""),"6031.2018/0002.063-0")</f>
        <v>6031.2018/0002.063-0</v>
      </c>
      <c r="B198" s="92">
        <f t="shared" si="2"/>
        <v>197</v>
      </c>
      <c r="C198" t="str">
        <f t="shared" si="1"/>
        <v>BT0197</v>
      </c>
    </row>
    <row r="199">
      <c r="A199" t="str">
        <f>IFERROR(__xludf.DUMMYFUNCTION("""COMPUTED_VALUE"""),"6031.2018/0002.062-2")</f>
        <v>6031.2018/0002.062-2</v>
      </c>
      <c r="B199" s="92">
        <f t="shared" si="2"/>
        <v>198</v>
      </c>
      <c r="C199" t="str">
        <f t="shared" si="1"/>
        <v>BT0198</v>
      </c>
    </row>
    <row r="200">
      <c r="A200" t="str">
        <f>IFERROR(__xludf.DUMMYFUNCTION("""COMPUTED_VALUE"""),"6031.2018/0002.143-2")</f>
        <v>6031.2018/0002.143-2</v>
      </c>
      <c r="B200" s="92">
        <f t="shared" si="2"/>
        <v>199</v>
      </c>
      <c r="C200" t="str">
        <f t="shared" si="1"/>
        <v>BT0199</v>
      </c>
    </row>
    <row r="201">
      <c r="A201" t="str">
        <f>IFERROR(__xludf.DUMMYFUNCTION("""COMPUTED_VALUE"""),"6031.2019/0000188-3")</f>
        <v>6031.2019/0000188-3</v>
      </c>
      <c r="B201" s="92">
        <f t="shared" si="2"/>
        <v>200</v>
      </c>
      <c r="C201" t="str">
        <f t="shared" si="1"/>
        <v>BT0200</v>
      </c>
    </row>
    <row r="202">
      <c r="A202" t="str">
        <f>IFERROR(__xludf.DUMMYFUNCTION("""COMPUTED_VALUE"""),"6031.2019/0000187-5")</f>
        <v>6031.2019/0000187-5</v>
      </c>
      <c r="B202" s="92">
        <f t="shared" si="2"/>
        <v>201</v>
      </c>
      <c r="C202" t="str">
        <f t="shared" si="1"/>
        <v>BT0201</v>
      </c>
    </row>
    <row r="203">
      <c r="A203" t="str">
        <f>IFERROR(__xludf.DUMMYFUNCTION("""COMPUTED_VALUE"""),"6031.2019/0000212-0")</f>
        <v>6031.2019/0000212-0</v>
      </c>
      <c r="B203" s="92">
        <f t="shared" si="2"/>
        <v>202</v>
      </c>
      <c r="C203" t="str">
        <f t="shared" si="1"/>
        <v>BT0202</v>
      </c>
    </row>
    <row r="204">
      <c r="A204" t="str">
        <f>IFERROR(__xludf.DUMMYFUNCTION("""COMPUTED_VALUE"""),"6031.2019/0000137-9")</f>
        <v>6031.2019/0000137-9</v>
      </c>
      <c r="B204" s="92">
        <f t="shared" si="2"/>
        <v>203</v>
      </c>
      <c r="C204" t="str">
        <f t="shared" si="1"/>
        <v>BT0203</v>
      </c>
    </row>
    <row r="205">
      <c r="A205" t="str">
        <f>IFERROR(__xludf.DUMMYFUNCTION("""COMPUTED_VALUE"""),"6031.2019/0000138-7")</f>
        <v>6031.2019/0000138-7</v>
      </c>
      <c r="B205" s="92">
        <f t="shared" si="2"/>
        <v>204</v>
      </c>
      <c r="C205" t="str">
        <f t="shared" si="1"/>
        <v>BT0204</v>
      </c>
    </row>
    <row r="206">
      <c r="A206" t="str">
        <f>IFERROR(__xludf.DUMMYFUNCTION("""COMPUTED_VALUE"""),"6031.2019/0000.402-5")</f>
        <v>6031.2019/0000.402-5</v>
      </c>
      <c r="B206" s="92">
        <f t="shared" si="2"/>
        <v>205</v>
      </c>
      <c r="C206" t="str">
        <f t="shared" si="1"/>
        <v>BT0205</v>
      </c>
    </row>
    <row r="207">
      <c r="A207" t="str">
        <f>IFERROR(__xludf.DUMMYFUNCTION("""COMPUTED_VALUE"""),"6031.2019/0000599-4")</f>
        <v>6031.2019/0000599-4</v>
      </c>
      <c r="B207" s="92">
        <f t="shared" si="2"/>
        <v>206</v>
      </c>
      <c r="C207" t="str">
        <f t="shared" si="1"/>
        <v>BT0206</v>
      </c>
    </row>
    <row r="208">
      <c r="A208" t="str">
        <f>IFERROR(__xludf.DUMMYFUNCTION("""COMPUTED_VALUE"""),"6031.2019/0000283-9")</f>
        <v>6031.2019/0000283-9</v>
      </c>
      <c r="B208" s="92">
        <f t="shared" si="2"/>
        <v>207</v>
      </c>
      <c r="C208" t="str">
        <f t="shared" si="1"/>
        <v>BT0207</v>
      </c>
    </row>
    <row r="209">
      <c r="A209" t="str">
        <f>IFERROR(__xludf.DUMMYFUNCTION("""COMPUTED_VALUE"""),"6031.2019/0003.629-6")</f>
        <v>6031.2019/0003.629-6</v>
      </c>
      <c r="B209" s="92">
        <f t="shared" si="2"/>
        <v>208</v>
      </c>
      <c r="C209" t="str">
        <f t="shared" si="1"/>
        <v>BT0208</v>
      </c>
    </row>
    <row r="210">
      <c r="A210" t="str">
        <f>IFERROR(__xludf.DUMMYFUNCTION("""COMPUTED_VALUE"""),"6031.2019/0001.324-5")</f>
        <v>6031.2019/0001.324-5</v>
      </c>
      <c r="B210" s="92">
        <f t="shared" si="2"/>
        <v>209</v>
      </c>
      <c r="C210" t="str">
        <f t="shared" si="1"/>
        <v>BT0209</v>
      </c>
    </row>
    <row r="211">
      <c r="A211" t="str">
        <f>IFERROR(__xludf.DUMMYFUNCTION("""COMPUTED_VALUE"""),"6031.2019/0000.932-9")</f>
        <v>6031.2019/0000.932-9</v>
      </c>
      <c r="B211" s="92">
        <f t="shared" si="2"/>
        <v>210</v>
      </c>
      <c r="C211" t="str">
        <f t="shared" si="1"/>
        <v>BT0210</v>
      </c>
    </row>
    <row r="212">
      <c r="A212" t="str">
        <f>IFERROR(__xludf.DUMMYFUNCTION("""COMPUTED_VALUE"""),"6031.2019/0000.715-6")</f>
        <v>6031.2019/0000.715-6</v>
      </c>
      <c r="B212" s="92">
        <f t="shared" si="2"/>
        <v>211</v>
      </c>
      <c r="C212" t="str">
        <f t="shared" si="1"/>
        <v>BT0211</v>
      </c>
    </row>
    <row r="213">
      <c r="A213" t="str">
        <f>IFERROR(__xludf.DUMMYFUNCTION("""COMPUTED_VALUE"""),"6031.2019/0001.289-3")</f>
        <v>6031.2019/0001.289-3</v>
      </c>
      <c r="B213" s="92">
        <f t="shared" si="2"/>
        <v>212</v>
      </c>
      <c r="C213" t="str">
        <f t="shared" si="1"/>
        <v>BT0212</v>
      </c>
    </row>
    <row r="214">
      <c r="A214" t="str">
        <f>IFERROR(__xludf.DUMMYFUNCTION("""COMPUTED_VALUE"""),"6031.2019/0001.292-3")</f>
        <v>6031.2019/0001.292-3</v>
      </c>
      <c r="B214" s="92">
        <f t="shared" si="2"/>
        <v>213</v>
      </c>
      <c r="C214" t="str">
        <f t="shared" si="1"/>
        <v>BT0213</v>
      </c>
    </row>
    <row r="215">
      <c r="A215" t="str">
        <f>IFERROR(__xludf.DUMMYFUNCTION("""COMPUTED_VALUE"""),"6031.2019/0001.073-4")</f>
        <v>6031.2019/0001.073-4</v>
      </c>
      <c r="B215" s="92">
        <f t="shared" si="2"/>
        <v>214</v>
      </c>
      <c r="C215" t="str">
        <f t="shared" si="1"/>
        <v>BT0214</v>
      </c>
    </row>
    <row r="216">
      <c r="A216" t="str">
        <f>IFERROR(__xludf.DUMMYFUNCTION("""COMPUTED_VALUE"""),"6031.2019/0000.839-0")</f>
        <v>6031.2019/0000.839-0</v>
      </c>
      <c r="B216" s="92">
        <f t="shared" si="2"/>
        <v>215</v>
      </c>
      <c r="C216" t="str">
        <f t="shared" si="1"/>
        <v>BT0215</v>
      </c>
    </row>
    <row r="217">
      <c r="A217" t="str">
        <f>IFERROR(__xludf.DUMMYFUNCTION("""COMPUTED_VALUE"""),"6031.2019/0000715-6")</f>
        <v>6031.2019/0000715-6</v>
      </c>
      <c r="B217" s="92">
        <f t="shared" si="2"/>
        <v>216</v>
      </c>
      <c r="C217" t="str">
        <f t="shared" si="1"/>
        <v>BT0216</v>
      </c>
    </row>
    <row r="218">
      <c r="A218" t="str">
        <f>IFERROR(__xludf.DUMMYFUNCTION("""COMPUTED_VALUE"""),"6031.2019/0001.852-2")</f>
        <v>6031.2019/0001.852-2</v>
      </c>
      <c r="B218" s="92">
        <f t="shared" si="2"/>
        <v>217</v>
      </c>
      <c r="C218" t="str">
        <f t="shared" si="1"/>
        <v>BT0217</v>
      </c>
    </row>
    <row r="219">
      <c r="A219" t="str">
        <f>IFERROR(__xludf.DUMMYFUNCTION("""COMPUTED_VALUE"""),"6031.2019/0001.901-4")</f>
        <v>6031.2019/0001.901-4</v>
      </c>
      <c r="B219" s="92">
        <f t="shared" si="2"/>
        <v>218</v>
      </c>
      <c r="C219" t="str">
        <f t="shared" si="1"/>
        <v>BT0218</v>
      </c>
    </row>
    <row r="220">
      <c r="A220" t="str">
        <f>IFERROR(__xludf.DUMMYFUNCTION("""COMPUTED_VALUE"""),"6031.2019/0001.859-0")</f>
        <v>6031.2019/0001.859-0</v>
      </c>
      <c r="B220" s="92">
        <f t="shared" si="2"/>
        <v>219</v>
      </c>
      <c r="C220" t="str">
        <f t="shared" si="1"/>
        <v>BT0219</v>
      </c>
    </row>
    <row r="221">
      <c r="A221" t="str">
        <f>IFERROR(__xludf.DUMMYFUNCTION("""COMPUTED_VALUE"""),"6031.2019/0001.861-1")</f>
        <v>6031.2019/0001.861-1</v>
      </c>
      <c r="B221" s="92">
        <f t="shared" si="2"/>
        <v>220</v>
      </c>
      <c r="C221" t="str">
        <f t="shared" si="1"/>
        <v>BT0220</v>
      </c>
    </row>
    <row r="222">
      <c r="A222" t="str">
        <f>IFERROR(__xludf.DUMMYFUNCTION("""COMPUTED_VALUE"""),"6031.2019/0001.857-3")</f>
        <v>6031.2019/0001.857-3</v>
      </c>
      <c r="B222" s="92">
        <f t="shared" si="2"/>
        <v>221</v>
      </c>
      <c r="C222" t="str">
        <f t="shared" si="1"/>
        <v>BT0221</v>
      </c>
    </row>
    <row r="223">
      <c r="A223" t="str">
        <f>IFERROR(__xludf.DUMMYFUNCTION("""COMPUTED_VALUE"""),"6031.2019/0001.863-8")</f>
        <v>6031.2019/0001.863-8</v>
      </c>
      <c r="B223" s="92">
        <f t="shared" si="2"/>
        <v>222</v>
      </c>
      <c r="C223" t="str">
        <f t="shared" si="1"/>
        <v>BT0222</v>
      </c>
    </row>
    <row r="224">
      <c r="A224" t="str">
        <f>IFERROR(__xludf.DUMMYFUNCTION("""COMPUTED_VALUE"""),"6031.2019/0001.864-6")</f>
        <v>6031.2019/0001.864-6</v>
      </c>
      <c r="B224" s="92">
        <f t="shared" si="2"/>
        <v>223</v>
      </c>
      <c r="C224" t="str">
        <f t="shared" si="1"/>
        <v>BT0223</v>
      </c>
    </row>
    <row r="225">
      <c r="A225" t="str">
        <f>IFERROR(__xludf.DUMMYFUNCTION("""COMPUTED_VALUE"""),"6031.2019/0001.866-2")</f>
        <v>6031.2019/0001.866-2</v>
      </c>
      <c r="B225" s="92">
        <f t="shared" si="2"/>
        <v>224</v>
      </c>
      <c r="C225" t="str">
        <f t="shared" si="1"/>
        <v>BT0224</v>
      </c>
    </row>
    <row r="226">
      <c r="A226" t="str">
        <f>IFERROR(__xludf.DUMMYFUNCTION("""COMPUTED_VALUE"""),"6031.2019/0001.865-4")</f>
        <v>6031.2019/0001.865-4</v>
      </c>
      <c r="B226" s="92">
        <f t="shared" si="2"/>
        <v>225</v>
      </c>
      <c r="C226" t="str">
        <f t="shared" si="1"/>
        <v>BT0225</v>
      </c>
    </row>
    <row r="227">
      <c r="A227" t="str">
        <f>IFERROR(__xludf.DUMMYFUNCTION("""COMPUTED_VALUE"""),"6031.2019/0001.867-0")</f>
        <v>6031.2019/0001.867-0</v>
      </c>
      <c r="B227" s="92">
        <f t="shared" si="2"/>
        <v>226</v>
      </c>
      <c r="C227" t="str">
        <f t="shared" si="1"/>
        <v>BT0226</v>
      </c>
    </row>
    <row r="228">
      <c r="A228" t="str">
        <f>IFERROR(__xludf.DUMMYFUNCTION("""COMPUTED_VALUE"""),"6031.2019/0001.875-1")</f>
        <v>6031.2019/0001.875-1</v>
      </c>
      <c r="B228" s="92">
        <f t="shared" si="2"/>
        <v>227</v>
      </c>
      <c r="C228" t="str">
        <f t="shared" si="1"/>
        <v>BT0227</v>
      </c>
    </row>
    <row r="229">
      <c r="A229" t="str">
        <f>IFERROR(__xludf.DUMMYFUNCTION("""COMPUTED_VALUE"""),"6031.2019/0002.077-2")</f>
        <v>6031.2019/0002.077-2</v>
      </c>
      <c r="B229" s="92">
        <f t="shared" si="2"/>
        <v>228</v>
      </c>
      <c r="C229" t="str">
        <f t="shared" si="1"/>
        <v>BT0228</v>
      </c>
    </row>
    <row r="230">
      <c r="A230" t="str">
        <f>IFERROR(__xludf.DUMMYFUNCTION("""COMPUTED_VALUE"""),"6031.2019/0001.887-5")</f>
        <v>6031.2019/0001.887-5</v>
      </c>
      <c r="B230" s="92">
        <f t="shared" si="2"/>
        <v>229</v>
      </c>
      <c r="C230" t="str">
        <f t="shared" si="1"/>
        <v>BT0229</v>
      </c>
    </row>
    <row r="231">
      <c r="A231" t="str">
        <f>IFERROR(__xludf.DUMMYFUNCTION("""COMPUTED_VALUE"""),"6031.2019/0001.886-7")</f>
        <v>6031.2019/0001.886-7</v>
      </c>
      <c r="B231" s="92">
        <f t="shared" si="2"/>
        <v>230</v>
      </c>
      <c r="C231" t="str">
        <f t="shared" si="1"/>
        <v>BT0230</v>
      </c>
    </row>
    <row r="232">
      <c r="A232" t="str">
        <f>IFERROR(__xludf.DUMMYFUNCTION("""COMPUTED_VALUE"""),"6031.2019/0001.891-3")</f>
        <v>6031.2019/0001.891-3</v>
      </c>
      <c r="B232" s="92">
        <f t="shared" si="2"/>
        <v>231</v>
      </c>
      <c r="C232" t="str">
        <f t="shared" si="1"/>
        <v>BT0231</v>
      </c>
    </row>
    <row r="233">
      <c r="A233" t="str">
        <f>IFERROR(__xludf.DUMMYFUNCTION("""COMPUTED_VALUE"""),"6031.2019/0001.893-0")</f>
        <v>6031.2019/0001.893-0</v>
      </c>
      <c r="B233" s="92">
        <f t="shared" si="2"/>
        <v>232</v>
      </c>
      <c r="C233" t="str">
        <f t="shared" si="1"/>
        <v>BT0232</v>
      </c>
    </row>
    <row r="234">
      <c r="A234" t="str">
        <f>IFERROR(__xludf.DUMMYFUNCTION("""COMPUTED_VALUE"""),"6031.2019/0001.894-8")</f>
        <v>6031.2019/0001.894-8</v>
      </c>
      <c r="B234" s="92">
        <f t="shared" si="2"/>
        <v>233</v>
      </c>
      <c r="C234" t="str">
        <f t="shared" si="1"/>
        <v>BT0233</v>
      </c>
    </row>
    <row r="235">
      <c r="A235" t="str">
        <f>IFERROR(__xludf.DUMMYFUNCTION("""COMPUTED_VALUE"""),"6031.2019/0001.895-6")</f>
        <v>6031.2019/0001.895-6</v>
      </c>
      <c r="B235" s="92">
        <f t="shared" si="2"/>
        <v>234</v>
      </c>
      <c r="C235" t="str">
        <f t="shared" si="1"/>
        <v>BT0234</v>
      </c>
    </row>
    <row r="236">
      <c r="A236" t="str">
        <f>IFERROR(__xludf.DUMMYFUNCTION("""COMPUTED_VALUE"""),"6031.2019/0001.896-4")</f>
        <v>6031.2019/0001.896-4</v>
      </c>
      <c r="B236" s="92">
        <f t="shared" si="2"/>
        <v>235</v>
      </c>
      <c r="C236" t="str">
        <f t="shared" si="1"/>
        <v>BT0235</v>
      </c>
    </row>
    <row r="237">
      <c r="A237" t="str">
        <f>IFERROR(__xludf.DUMMYFUNCTION("""COMPUTED_VALUE"""),"6031.2019/0001.898-0")</f>
        <v>6031.2019/0001.898-0</v>
      </c>
      <c r="B237" s="92">
        <f t="shared" si="2"/>
        <v>236</v>
      </c>
      <c r="C237" t="str">
        <f t="shared" si="1"/>
        <v>BT0236</v>
      </c>
    </row>
    <row r="238">
      <c r="A238" t="str">
        <f>IFERROR(__xludf.DUMMYFUNCTION("""COMPUTED_VALUE"""),"6031.2019/0001.899-9")</f>
        <v>6031.2019/0001.899-9</v>
      </c>
      <c r="B238" s="92">
        <f t="shared" si="2"/>
        <v>237</v>
      </c>
      <c r="C238" t="str">
        <f t="shared" si="1"/>
        <v>BT0237</v>
      </c>
    </row>
    <row r="239">
      <c r="A239" t="str">
        <f>IFERROR(__xludf.DUMMYFUNCTION("""COMPUTED_VALUE"""),"6031.2019/0001.860-3")</f>
        <v>6031.2019/0001.860-3</v>
      </c>
      <c r="B239" s="92">
        <f t="shared" si="2"/>
        <v>238</v>
      </c>
      <c r="C239" t="str">
        <f t="shared" si="1"/>
        <v>BT0238</v>
      </c>
    </row>
    <row r="240">
      <c r="A240" t="str">
        <f>IFERROR(__xludf.DUMMYFUNCTION("""COMPUTED_VALUE"""),"6031.2019/0001.854-9")</f>
        <v>6031.2019/0001.854-9</v>
      </c>
      <c r="B240" s="92">
        <f t="shared" si="2"/>
        <v>239</v>
      </c>
      <c r="C240" t="str">
        <f t="shared" si="1"/>
        <v>BT0239</v>
      </c>
    </row>
    <row r="241">
      <c r="A241" t="str">
        <f>IFERROR(__xludf.DUMMYFUNCTION("""COMPUTED_VALUE"""),"6031.2019/0001.902-2")</f>
        <v>6031.2019/0001.902-2</v>
      </c>
      <c r="B241" s="92">
        <f t="shared" si="2"/>
        <v>240</v>
      </c>
      <c r="C241" t="str">
        <f t="shared" si="1"/>
        <v>BT0240</v>
      </c>
    </row>
    <row r="242">
      <c r="A242" t="str">
        <f>IFERROR(__xludf.DUMMYFUNCTION("""COMPUTED_VALUE"""),"6031.2019/0001.905-7")</f>
        <v>6031.2019/0001.905-7</v>
      </c>
      <c r="B242" s="92">
        <f t="shared" si="2"/>
        <v>241</v>
      </c>
      <c r="C242" t="str">
        <f t="shared" si="1"/>
        <v>BT0241</v>
      </c>
    </row>
    <row r="243">
      <c r="A243" t="str">
        <f>IFERROR(__xludf.DUMMYFUNCTION("""COMPUTED_VALUE"""),"6031.2019/0001.904-9")</f>
        <v>6031.2019/0001.904-9</v>
      </c>
      <c r="B243" s="92">
        <f t="shared" si="2"/>
        <v>242</v>
      </c>
      <c r="C243" t="str">
        <f t="shared" si="1"/>
        <v>BT0242</v>
      </c>
    </row>
    <row r="244">
      <c r="A244" t="str">
        <f>IFERROR(__xludf.DUMMYFUNCTION("""COMPUTED_VALUE"""),"6031.2019/0002.036-5")</f>
        <v>6031.2019/0002.036-5</v>
      </c>
      <c r="B244" s="92">
        <f t="shared" si="2"/>
        <v>243</v>
      </c>
      <c r="C244" t="str">
        <f t="shared" si="1"/>
        <v>BT0243</v>
      </c>
    </row>
    <row r="245">
      <c r="A245" t="str">
        <f>IFERROR(__xludf.DUMMYFUNCTION("""COMPUTED_VALUE"""),"6031.2019/0002.078-0")</f>
        <v>6031.2019/0002.078-0</v>
      </c>
      <c r="B245" s="92">
        <f t="shared" si="2"/>
        <v>244</v>
      </c>
      <c r="C245" t="str">
        <f t="shared" si="1"/>
        <v>BT0244</v>
      </c>
    </row>
    <row r="246">
      <c r="A246" t="str">
        <f>IFERROR(__xludf.DUMMYFUNCTION("""COMPUTED_VALUE"""),"6031.2019/0002.076-4")</f>
        <v>6031.2019/0002.076-4</v>
      </c>
      <c r="B246" s="92">
        <f t="shared" si="2"/>
        <v>245</v>
      </c>
      <c r="C246" t="str">
        <f t="shared" si="1"/>
        <v>BT0245</v>
      </c>
    </row>
    <row r="247">
      <c r="A247" t="str">
        <f>IFERROR(__xludf.DUMMYFUNCTION("""COMPUTED_VALUE"""),"6031.2019/0002.075-6")</f>
        <v>6031.2019/0002.075-6</v>
      </c>
      <c r="B247" s="92">
        <f t="shared" si="2"/>
        <v>246</v>
      </c>
      <c r="C247" t="str">
        <f t="shared" si="1"/>
        <v>BT0246</v>
      </c>
    </row>
    <row r="248">
      <c r="A248" t="str">
        <f>IFERROR(__xludf.DUMMYFUNCTION("""COMPUTED_VALUE"""),"6031.2019/0002.073-0")</f>
        <v>6031.2019/0002.073-0</v>
      </c>
      <c r="B248" s="92">
        <f t="shared" si="2"/>
        <v>247</v>
      </c>
      <c r="C248" t="str">
        <f t="shared" si="1"/>
        <v>BT0247</v>
      </c>
    </row>
    <row r="249">
      <c r="A249" t="str">
        <f>IFERROR(__xludf.DUMMYFUNCTION("""COMPUTED_VALUE"""),"6031.2019/0002.072-1")</f>
        <v>6031.2019/0002.072-1</v>
      </c>
      <c r="B249" s="92">
        <f t="shared" si="2"/>
        <v>248</v>
      </c>
      <c r="C249" t="str">
        <f t="shared" si="1"/>
        <v>BT0248</v>
      </c>
    </row>
    <row r="250">
      <c r="A250" t="str">
        <f>IFERROR(__xludf.DUMMYFUNCTION("""COMPUTED_VALUE"""),"6031.2019/0002.029-2")</f>
        <v>6031.2019/0002.029-2</v>
      </c>
      <c r="B250" s="92">
        <f t="shared" si="2"/>
        <v>249</v>
      </c>
      <c r="C250" t="str">
        <f t="shared" si="1"/>
        <v>BT0249</v>
      </c>
    </row>
    <row r="251">
      <c r="A251" t="str">
        <f>IFERROR(__xludf.DUMMYFUNCTION("""COMPUTED_VALUE"""),"6031.2021/0000.069-4")</f>
        <v>6031.2021/0000.069-4</v>
      </c>
      <c r="B251" s="92">
        <f t="shared" si="2"/>
        <v>250</v>
      </c>
      <c r="C251" t="str">
        <f t="shared" si="1"/>
        <v>BT0250</v>
      </c>
    </row>
    <row r="252">
      <c r="A252" t="str">
        <f>IFERROR(__xludf.DUMMYFUNCTION("""COMPUTED_VALUE"""),"6031.2019/0001.993-6")</f>
        <v>6031.2019/0001.993-6</v>
      </c>
      <c r="B252" s="92">
        <f t="shared" si="2"/>
        <v>251</v>
      </c>
      <c r="C252" t="str">
        <f t="shared" si="1"/>
        <v>BT0251</v>
      </c>
    </row>
    <row r="253">
      <c r="A253" t="str">
        <f>IFERROR(__xludf.DUMMYFUNCTION("""COMPUTED_VALUE"""),"6031.2019/0002.444-1")</f>
        <v>6031.2019/0002.444-1</v>
      </c>
      <c r="B253" s="92">
        <f t="shared" si="2"/>
        <v>252</v>
      </c>
      <c r="C253" t="str">
        <f t="shared" si="1"/>
        <v>BT0252</v>
      </c>
    </row>
    <row r="254">
      <c r="A254" t="str">
        <f>IFERROR(__xludf.DUMMYFUNCTION("""COMPUTED_VALUE"""),"6031.2021/0004.324-5")</f>
        <v>6031.2021/0004.324-5</v>
      </c>
      <c r="B254" s="92">
        <f t="shared" si="2"/>
        <v>253</v>
      </c>
      <c r="C254" t="str">
        <f t="shared" si="1"/>
        <v>BT0253</v>
      </c>
    </row>
    <row r="255">
      <c r="A255" t="str">
        <f>IFERROR(__xludf.DUMMYFUNCTION("""COMPUTED_VALUE"""),"6031.2021/0004.822-0")</f>
        <v>6031.2021/0004.822-0</v>
      </c>
      <c r="B255" s="92">
        <f t="shared" si="2"/>
        <v>254</v>
      </c>
      <c r="C255" t="str">
        <f t="shared" si="1"/>
        <v>BT0254</v>
      </c>
    </row>
    <row r="256">
      <c r="A256" t="str">
        <f>IFERROR(__xludf.DUMMYFUNCTION("""COMPUTED_VALUE"""),"6031.2019/0002.239-2")</f>
        <v>6031.2019/0002.239-2</v>
      </c>
      <c r="B256" s="92">
        <f t="shared" si="2"/>
        <v>255</v>
      </c>
      <c r="C256" t="str">
        <f t="shared" si="1"/>
        <v>BT0255</v>
      </c>
    </row>
    <row r="257">
      <c r="A257" t="str">
        <f>IFERROR(__xludf.DUMMYFUNCTION("""COMPUTED_VALUE"""),"6031.2019/0002.708-4")</f>
        <v>6031.2019/0002.708-4</v>
      </c>
      <c r="B257" s="92">
        <f t="shared" si="2"/>
        <v>256</v>
      </c>
      <c r="C257" t="str">
        <f t="shared" si="1"/>
        <v>BT0256</v>
      </c>
    </row>
    <row r="258">
      <c r="A258" t="str">
        <f>IFERROR(__xludf.DUMMYFUNCTION("""COMPUTED_VALUE"""),"6031.2019/0002.846-3")</f>
        <v>6031.2019/0002.846-3</v>
      </c>
      <c r="B258" s="92">
        <f t="shared" si="2"/>
        <v>257</v>
      </c>
      <c r="C258" t="str">
        <f t="shared" si="1"/>
        <v>BT0257</v>
      </c>
    </row>
    <row r="259">
      <c r="A259" t="str">
        <f>IFERROR(__xludf.DUMMYFUNCTION("""COMPUTED_VALUE"""),"6031.2019/0002.855-2")</f>
        <v>6031.2019/0002.855-2</v>
      </c>
      <c r="B259" s="92">
        <f t="shared" si="2"/>
        <v>258</v>
      </c>
      <c r="C259" t="str">
        <f t="shared" si="1"/>
        <v>BT0258</v>
      </c>
    </row>
    <row r="260">
      <c r="A260" t="str">
        <f>IFERROR(__xludf.DUMMYFUNCTION("""COMPUTED_VALUE"""),"6031.2019/0002.903-6")</f>
        <v>6031.2019/0002.903-6</v>
      </c>
      <c r="B260" s="92">
        <f t="shared" si="2"/>
        <v>259</v>
      </c>
      <c r="C260" t="str">
        <f t="shared" si="1"/>
        <v>BT0259</v>
      </c>
    </row>
    <row r="261">
      <c r="A261" t="str">
        <f>IFERROR(__xludf.DUMMYFUNCTION("""COMPUTED_VALUE"""),"6031.2019/0002.904-4")</f>
        <v>6031.2019/0002.904-4</v>
      </c>
      <c r="B261" s="92">
        <f t="shared" si="2"/>
        <v>260</v>
      </c>
      <c r="C261" t="str">
        <f t="shared" si="1"/>
        <v>BT0260</v>
      </c>
    </row>
    <row r="262">
      <c r="A262" t="str">
        <f>IFERROR(__xludf.DUMMYFUNCTION("""COMPUTED_VALUE"""),"6031.2019/0003.056-5")</f>
        <v>6031.2019/0003.056-5</v>
      </c>
      <c r="B262" s="92">
        <f t="shared" si="2"/>
        <v>261</v>
      </c>
      <c r="C262" t="str">
        <f t="shared" si="1"/>
        <v>BT0261</v>
      </c>
    </row>
    <row r="263">
      <c r="A263" t="str">
        <f>IFERROR(__xludf.DUMMYFUNCTION("""COMPUTED_VALUE"""),"6031.2019/0003.021-2")</f>
        <v>6031.2019/0003.021-2</v>
      </c>
      <c r="B263" s="92">
        <f t="shared" si="2"/>
        <v>262</v>
      </c>
      <c r="C263" t="str">
        <f t="shared" si="1"/>
        <v>BT0262</v>
      </c>
    </row>
    <row r="264">
      <c r="A264" t="str">
        <f>IFERROR(__xludf.DUMMYFUNCTION("""COMPUTED_VALUE"""),"6031.2019/0003.020-4")</f>
        <v>6031.2019/0003.020-4</v>
      </c>
      <c r="B264" s="92">
        <f t="shared" si="2"/>
        <v>263</v>
      </c>
      <c r="C264" t="str">
        <f t="shared" si="1"/>
        <v>BT0263</v>
      </c>
    </row>
    <row r="265">
      <c r="A265" t="str">
        <f>IFERROR(__xludf.DUMMYFUNCTION("""COMPUTED_VALUE"""),"6031.2019/0004.806-5")</f>
        <v>6031.2019/0004.806-5</v>
      </c>
      <c r="B265" s="92">
        <f t="shared" si="2"/>
        <v>264</v>
      </c>
      <c r="C265" t="str">
        <f t="shared" si="1"/>
        <v>BT0264</v>
      </c>
    </row>
    <row r="266">
      <c r="A266" t="str">
        <f>IFERROR(__xludf.DUMMYFUNCTION("""COMPUTED_VALUE"""),"6031.2019/0004.827-8")</f>
        <v>6031.2019/0004.827-8</v>
      </c>
      <c r="B266" s="92">
        <f t="shared" si="2"/>
        <v>265</v>
      </c>
      <c r="C266" t="str">
        <f t="shared" si="1"/>
        <v>BT0265</v>
      </c>
    </row>
    <row r="267">
      <c r="A267" t="str">
        <f>IFERROR(__xludf.DUMMYFUNCTION("""COMPUTED_VALUE"""),"6031.2021/0001.364-8")</f>
        <v>6031.2021/0001.364-8</v>
      </c>
      <c r="B267" s="92">
        <f t="shared" si="2"/>
        <v>266</v>
      </c>
      <c r="C267" t="str">
        <f t="shared" si="1"/>
        <v>BT0266</v>
      </c>
    </row>
    <row r="268">
      <c r="A268" t="str">
        <f>IFERROR(__xludf.DUMMYFUNCTION("""COMPUTED_VALUE"""),"6031.2019/0000.839-6")</f>
        <v>6031.2019/0000.839-6</v>
      </c>
      <c r="B268" s="92">
        <f t="shared" si="2"/>
        <v>267</v>
      </c>
      <c r="C268" t="str">
        <f t="shared" si="1"/>
        <v>BT0267</v>
      </c>
    </row>
    <row r="269">
      <c r="A269" t="str">
        <f>IFERROR(__xludf.DUMMYFUNCTION("""COMPUTED_VALUE"""),"6031.2021/0001.926-3")</f>
        <v>6031.2021/0001.926-3</v>
      </c>
      <c r="B269" s="92">
        <f t="shared" si="2"/>
        <v>268</v>
      </c>
      <c r="C269" t="str">
        <f t="shared" si="1"/>
        <v>BT0268</v>
      </c>
    </row>
    <row r="270">
      <c r="A270" t="str">
        <f>IFERROR(__xludf.DUMMYFUNCTION("""COMPUTED_VALUE"""),"6031.2021/0003.469-6")</f>
        <v>6031.2021/0003.469-6</v>
      </c>
      <c r="B270" s="92">
        <f t="shared" si="2"/>
        <v>269</v>
      </c>
      <c r="C270" t="str">
        <f t="shared" si="1"/>
        <v>BT0269</v>
      </c>
    </row>
    <row r="271">
      <c r="A271" t="str">
        <f>IFERROR(__xludf.DUMMYFUNCTION("""COMPUTED_VALUE"""),"6031.2021/0003.523-4")</f>
        <v>6031.2021/0003.523-4</v>
      </c>
      <c r="B271" s="92">
        <f t="shared" si="2"/>
        <v>270</v>
      </c>
      <c r="C271" t="str">
        <f t="shared" si="1"/>
        <v>BT0270</v>
      </c>
    </row>
    <row r="272">
      <c r="A272" t="str">
        <f>IFERROR(__xludf.DUMMYFUNCTION("""COMPUTED_VALUE"""),"6031.2021/0005.123-0")</f>
        <v>6031.2021/0005.123-0</v>
      </c>
      <c r="B272" s="92">
        <f t="shared" si="2"/>
        <v>271</v>
      </c>
      <c r="C272" t="str">
        <f t="shared" si="1"/>
        <v>BT0271</v>
      </c>
    </row>
    <row r="273">
      <c r="A273" t="str">
        <f>IFERROR(__xludf.DUMMYFUNCTION("""COMPUTED_VALUE"""),"6031.2020/0000.200-8")</f>
        <v>6031.2020/0000.200-8</v>
      </c>
      <c r="B273" s="92">
        <f t="shared" si="2"/>
        <v>272</v>
      </c>
      <c r="C273" t="str">
        <f t="shared" si="1"/>
        <v>BT0272</v>
      </c>
    </row>
    <row r="274">
      <c r="A274" t="str">
        <f>IFERROR(__xludf.DUMMYFUNCTION("""COMPUTED_VALUE"""),"6031.2020/00000.316-0")</f>
        <v>6031.2020/00000.316-0</v>
      </c>
      <c r="B274" s="92">
        <f t="shared" si="2"/>
        <v>273</v>
      </c>
      <c r="C274" t="str">
        <f t="shared" si="1"/>
        <v>BT0273</v>
      </c>
    </row>
    <row r="275">
      <c r="A275" t="str">
        <f>IFERROR(__xludf.DUMMYFUNCTION("""COMPUTED_VALUE"""),"6031.2019/00005.755-2")</f>
        <v>6031.2019/00005.755-2</v>
      </c>
      <c r="B275" s="92">
        <f t="shared" si="2"/>
        <v>274</v>
      </c>
      <c r="C275" t="str">
        <f t="shared" si="1"/>
        <v>BT0274</v>
      </c>
    </row>
    <row r="276">
      <c r="A276" t="str">
        <f>IFERROR(__xludf.DUMMYFUNCTION("""COMPUTED_VALUE"""),"6031.2020/0000.317-9")</f>
        <v>6031.2020/0000.317-9</v>
      </c>
      <c r="B276" s="92">
        <f t="shared" si="2"/>
        <v>275</v>
      </c>
      <c r="C276" t="str">
        <f t="shared" si="1"/>
        <v>BT0275</v>
      </c>
    </row>
    <row r="277">
      <c r="A277" t="str">
        <f>IFERROR(__xludf.DUMMYFUNCTION("""COMPUTED_VALUE"""),"6031.2019/0005.182-1")</f>
        <v>6031.2019/0005.182-1</v>
      </c>
      <c r="B277" s="92">
        <f t="shared" si="2"/>
        <v>276</v>
      </c>
      <c r="C277" t="str">
        <f t="shared" si="1"/>
        <v>BT0276</v>
      </c>
    </row>
    <row r="278">
      <c r="A278" t="str">
        <f>IFERROR(__xludf.DUMMYFUNCTION("""COMPUTED_VALUE"""),"6031.2019/0005.181-3")</f>
        <v>6031.2019/0005.181-3</v>
      </c>
      <c r="B278" s="92">
        <f t="shared" si="2"/>
        <v>277</v>
      </c>
      <c r="C278" t="str">
        <f t="shared" si="1"/>
        <v>BT0277</v>
      </c>
    </row>
    <row r="279">
      <c r="A279" t="str">
        <f>IFERROR(__xludf.DUMMYFUNCTION("""COMPUTED_VALUE"""),"6031.2019/0004.444-2")</f>
        <v>6031.2019/0004.444-2</v>
      </c>
      <c r="B279" s="92">
        <f t="shared" si="2"/>
        <v>278</v>
      </c>
      <c r="C279" t="str">
        <f t="shared" si="1"/>
        <v>BT0278</v>
      </c>
    </row>
    <row r="280">
      <c r="A280" t="str">
        <f>IFERROR(__xludf.DUMMYFUNCTION("""COMPUTED_VALUE"""),"6031.2020/0000.747-6")</f>
        <v>6031.2020/0000.747-6</v>
      </c>
      <c r="B280" s="92">
        <f t="shared" si="2"/>
        <v>279</v>
      </c>
      <c r="C280" t="str">
        <f t="shared" si="1"/>
        <v>BT0279</v>
      </c>
    </row>
    <row r="281">
      <c r="A281" t="str">
        <f>IFERROR(__xludf.DUMMYFUNCTION("""COMPUTED_VALUE"""),"6031.2020/0000.749-2")</f>
        <v>6031.2020/0000.749-2</v>
      </c>
      <c r="B281" s="92">
        <f t="shared" si="2"/>
        <v>280</v>
      </c>
      <c r="C281" t="str">
        <f t="shared" si="1"/>
        <v>BT0280</v>
      </c>
    </row>
    <row r="282">
      <c r="A282" t="str">
        <f>IFERROR(__xludf.DUMMYFUNCTION("""COMPUTED_VALUE"""),"6031.2020/0000.945-2")</f>
        <v>6031.2020/0000.945-2</v>
      </c>
      <c r="B282" s="92">
        <f t="shared" si="2"/>
        <v>281</v>
      </c>
      <c r="C282" t="str">
        <f t="shared" si="1"/>
        <v>BT0281</v>
      </c>
    </row>
    <row r="283">
      <c r="A283" t="str">
        <f>IFERROR(__xludf.DUMMYFUNCTION("""COMPUTED_VALUE"""),"6031.2020/0001.235-6")</f>
        <v>6031.2020/0001.235-6</v>
      </c>
      <c r="B283" s="92">
        <f t="shared" si="2"/>
        <v>282</v>
      </c>
      <c r="C283" t="str">
        <f t="shared" si="1"/>
        <v>BT0282</v>
      </c>
    </row>
    <row r="284">
      <c r="A284" t="str">
        <f>IFERROR(__xludf.DUMMYFUNCTION("""COMPUTED_VALUE"""),"6031.2020/0001.259-3")</f>
        <v>6031.2020/0001.259-3</v>
      </c>
      <c r="B284" s="92">
        <f t="shared" si="2"/>
        <v>283</v>
      </c>
      <c r="C284" t="str">
        <f t="shared" si="1"/>
        <v>BT0283</v>
      </c>
    </row>
    <row r="285">
      <c r="A285" t="str">
        <f>IFERROR(__xludf.DUMMYFUNCTION("""COMPUTED_VALUE"""),"6031.2020/0001.267-4")</f>
        <v>6031.2020/0001.267-4</v>
      </c>
      <c r="B285" s="92">
        <f t="shared" si="2"/>
        <v>284</v>
      </c>
      <c r="C285" t="str">
        <f t="shared" si="1"/>
        <v>BT0284</v>
      </c>
    </row>
    <row r="286">
      <c r="A286" t="str">
        <f>IFERROR(__xludf.DUMMYFUNCTION("""COMPUTED_VALUE"""),"6031.2020/0001.269-0")</f>
        <v>6031.2020/0001.269-0</v>
      </c>
      <c r="B286" s="92">
        <f t="shared" si="2"/>
        <v>285</v>
      </c>
      <c r="C286" t="str">
        <f t="shared" si="1"/>
        <v>BT0285</v>
      </c>
    </row>
    <row r="287">
      <c r="A287" t="str">
        <f>IFERROR(__xludf.DUMMYFUNCTION("""COMPUTED_VALUE"""),"6031.2020/0001.270-4")</f>
        <v>6031.2020/0001.270-4</v>
      </c>
      <c r="B287" s="92">
        <f t="shared" si="2"/>
        <v>286</v>
      </c>
      <c r="C287" t="str">
        <f t="shared" si="1"/>
        <v>BT0286</v>
      </c>
    </row>
    <row r="288">
      <c r="A288" t="str">
        <f>IFERROR(__xludf.DUMMYFUNCTION("""COMPUTED_VALUE"""),"6031.2020/0001.264-0")</f>
        <v>6031.2020/0001.264-0</v>
      </c>
      <c r="B288" s="92">
        <f t="shared" si="2"/>
        <v>287</v>
      </c>
      <c r="C288" t="str">
        <f t="shared" si="1"/>
        <v>BT0287</v>
      </c>
    </row>
    <row r="289">
      <c r="A289" t="str">
        <f>IFERROR(__xludf.DUMMYFUNCTION("""COMPUTED_VALUE"""),"6031.2020/0001.333-6")</f>
        <v>6031.2020/0001.333-6</v>
      </c>
      <c r="B289" s="92">
        <f t="shared" si="2"/>
        <v>288</v>
      </c>
      <c r="C289" t="str">
        <f t="shared" si="1"/>
        <v>BT0288</v>
      </c>
    </row>
    <row r="290">
      <c r="A290" t="str">
        <f>IFERROR(__xludf.DUMMYFUNCTION("""COMPUTED_VALUE"""),"6031.2020/0001.332-8")</f>
        <v>6031.2020/0001.332-8</v>
      </c>
      <c r="B290" s="92">
        <f t="shared" si="2"/>
        <v>289</v>
      </c>
      <c r="C290" t="str">
        <f t="shared" si="1"/>
        <v>BT0289</v>
      </c>
    </row>
    <row r="291">
      <c r="A291" t="str">
        <f>IFERROR(__xludf.DUMMYFUNCTION("""COMPUTED_VALUE"""),"6031.2020/0001.334-4")</f>
        <v>6031.2020/0001.334-4</v>
      </c>
      <c r="B291" s="92">
        <f t="shared" si="2"/>
        <v>290</v>
      </c>
      <c r="C291" t="str">
        <f t="shared" si="1"/>
        <v>BT0290</v>
      </c>
    </row>
    <row r="292">
      <c r="A292" t="str">
        <f>IFERROR(__xludf.DUMMYFUNCTION("""COMPUTED_VALUE"""),"6031.2020/0001.557-6")</f>
        <v>6031.2020/0001.557-6</v>
      </c>
      <c r="B292" s="92">
        <f t="shared" si="2"/>
        <v>291</v>
      </c>
      <c r="C292" t="str">
        <f t="shared" si="1"/>
        <v>BT0291</v>
      </c>
    </row>
    <row r="293">
      <c r="A293" t="str">
        <f>IFERROR(__xludf.DUMMYFUNCTION("""COMPUTED_VALUE"""),"6031.2020/0001.468-5")</f>
        <v>6031.2020/0001.468-5</v>
      </c>
      <c r="B293" s="92">
        <f t="shared" si="2"/>
        <v>292</v>
      </c>
      <c r="C293" t="str">
        <f t="shared" si="1"/>
        <v>BT0292</v>
      </c>
    </row>
    <row r="294">
      <c r="A294" t="str">
        <f>IFERROR(__xludf.DUMMYFUNCTION("""COMPUTED_VALUE"""),"6031.2020/0001.412-0")</f>
        <v>6031.2020/0001.412-0</v>
      </c>
      <c r="B294" s="92">
        <f t="shared" si="2"/>
        <v>293</v>
      </c>
      <c r="C294" t="str">
        <f t="shared" si="1"/>
        <v>BT0293</v>
      </c>
    </row>
    <row r="295">
      <c r="A295" t="str">
        <f>IFERROR(__xludf.DUMMYFUNCTION("""COMPUTED_VALUE"""),"6031.2020/0001.410-3")</f>
        <v>6031.2020/0001.410-3</v>
      </c>
      <c r="B295" s="92">
        <f t="shared" si="2"/>
        <v>294</v>
      </c>
      <c r="C295" t="str">
        <f t="shared" si="1"/>
        <v>BT0294</v>
      </c>
    </row>
    <row r="296">
      <c r="A296" t="str">
        <f>IFERROR(__xludf.DUMMYFUNCTION("""COMPUTED_VALUE"""),"6031.2020/0001.413-8")</f>
        <v>6031.2020/0001.413-8</v>
      </c>
      <c r="B296" s="92">
        <f t="shared" si="2"/>
        <v>295</v>
      </c>
      <c r="C296" t="str">
        <f t="shared" si="1"/>
        <v>BT0295</v>
      </c>
    </row>
    <row r="297">
      <c r="A297" t="str">
        <f>IFERROR(__xludf.DUMMYFUNCTION("""COMPUTED_VALUE"""),"6031.2020/0001.462-6")</f>
        <v>6031.2020/0001.462-6</v>
      </c>
      <c r="B297" s="92">
        <f t="shared" si="2"/>
        <v>296</v>
      </c>
      <c r="C297" t="str">
        <f t="shared" si="1"/>
        <v>BT0296</v>
      </c>
    </row>
    <row r="298">
      <c r="A298" t="str">
        <f>IFERROR(__xludf.DUMMYFUNCTION("""COMPUTED_VALUE"""),"6031.2020/0001.594-0")</f>
        <v>6031.2020/0001.594-0</v>
      </c>
      <c r="B298" s="92">
        <f t="shared" si="2"/>
        <v>297</v>
      </c>
      <c r="C298" t="str">
        <f t="shared" si="1"/>
        <v>BT0297</v>
      </c>
    </row>
    <row r="299">
      <c r="A299" t="str">
        <f>IFERROR(__xludf.DUMMYFUNCTION("""COMPUTED_VALUE"""),"6031.2020/0001.772-2")</f>
        <v>6031.2020/0001.772-2</v>
      </c>
      <c r="B299" s="92">
        <f t="shared" si="2"/>
        <v>298</v>
      </c>
      <c r="C299" t="str">
        <f t="shared" si="1"/>
        <v>BT0298</v>
      </c>
    </row>
    <row r="300">
      <c r="A300" t="str">
        <f>IFERROR(__xludf.DUMMYFUNCTION("""COMPUTED_VALUE"""),"6031.2020/0002.282-3")</f>
        <v>6031.2020/0002.282-3</v>
      </c>
      <c r="B300" s="92">
        <f t="shared" si="2"/>
        <v>299</v>
      </c>
      <c r="C300" t="str">
        <f t="shared" si="1"/>
        <v>BT0299</v>
      </c>
    </row>
    <row r="301">
      <c r="A301" t="str">
        <f>IFERROR(__xludf.DUMMYFUNCTION("""COMPUTED_VALUE"""),"6031.2021/0005.219-8")</f>
        <v>6031.2021/0005.219-8</v>
      </c>
      <c r="B301" s="92">
        <f t="shared" si="2"/>
        <v>300</v>
      </c>
      <c r="C301" t="str">
        <f t="shared" si="1"/>
        <v>BT0300</v>
      </c>
    </row>
    <row r="302">
      <c r="A302" t="str">
        <f>IFERROR(__xludf.DUMMYFUNCTION("""COMPUTED_VALUE"""),"6031.2020/0002.279-3")</f>
        <v>6031.2020/0002.279-3</v>
      </c>
      <c r="B302" s="92">
        <f t="shared" si="2"/>
        <v>301</v>
      </c>
      <c r="C302" t="str">
        <f t="shared" si="1"/>
        <v>BT0301</v>
      </c>
    </row>
    <row r="303">
      <c r="A303" t="str">
        <f>IFERROR(__xludf.DUMMYFUNCTION("""COMPUTED_VALUE"""),"6031.2021/0001.236-6")</f>
        <v>6031.2021/0001.236-6</v>
      </c>
      <c r="B303" s="92">
        <f t="shared" si="2"/>
        <v>302</v>
      </c>
      <c r="C303" t="str">
        <f t="shared" si="1"/>
        <v>BT0302</v>
      </c>
    </row>
    <row r="304">
      <c r="A304" t="str">
        <f>IFERROR(__xludf.DUMMYFUNCTION("""COMPUTED_VALUE"""),"6031.2021/0001.739-2")</f>
        <v>6031.2021/0001.739-2</v>
      </c>
      <c r="B304" s="92">
        <f t="shared" si="2"/>
        <v>303</v>
      </c>
      <c r="C304" t="str">
        <f t="shared" si="1"/>
        <v>BT0303</v>
      </c>
    </row>
    <row r="305">
      <c r="A305" t="str">
        <f>IFERROR(__xludf.DUMMYFUNCTION("""COMPUTED_VALUE"""),"6031.2021/0000.070-8")</f>
        <v>6031.2021/0000.070-8</v>
      </c>
      <c r="B305" s="92">
        <f t="shared" si="2"/>
        <v>304</v>
      </c>
      <c r="C305" t="str">
        <f t="shared" si="1"/>
        <v>BT0304</v>
      </c>
    </row>
    <row r="306">
      <c r="A306" t="str">
        <f>IFERROR(__xludf.DUMMYFUNCTION("""COMPUTED_VALUE"""),"6031.2020/0003.069-9")</f>
        <v>6031.2020/0003.069-9</v>
      </c>
      <c r="B306" s="92">
        <f t="shared" si="2"/>
        <v>305</v>
      </c>
      <c r="C306" t="str">
        <f t="shared" si="1"/>
        <v>BT0305</v>
      </c>
    </row>
    <row r="307">
      <c r="A307" t="str">
        <f>IFERROR(__xludf.DUMMYFUNCTION("""COMPUTED_VALUE"""),"6031.2021/0005.178-7")</f>
        <v>6031.2021/0005.178-7</v>
      </c>
      <c r="B307" s="92">
        <f t="shared" si="2"/>
        <v>306</v>
      </c>
      <c r="C307" t="str">
        <f t="shared" si="1"/>
        <v>BT0306</v>
      </c>
    </row>
    <row r="308">
      <c r="A308" t="str">
        <f>IFERROR(__xludf.DUMMYFUNCTION("""COMPUTED_VALUE"""),"6031.2021/0001.886-0")</f>
        <v>6031.2021/0001.886-0</v>
      </c>
      <c r="B308" s="92">
        <f t="shared" si="2"/>
        <v>307</v>
      </c>
      <c r="C308" t="str">
        <f t="shared" si="1"/>
        <v>BT0307</v>
      </c>
    </row>
    <row r="309">
      <c r="A309" t="str">
        <f>IFERROR(__xludf.DUMMYFUNCTION("""COMPUTED_VALUE"""),"6031.2021/0005.179-5")</f>
        <v>6031.2021/0005.179-5</v>
      </c>
      <c r="B309" s="92">
        <f t="shared" si="2"/>
        <v>308</v>
      </c>
      <c r="C309" t="str">
        <f t="shared" si="1"/>
        <v>BT0308</v>
      </c>
    </row>
    <row r="310">
      <c r="A310" t="str">
        <f>IFERROR(__xludf.DUMMYFUNCTION("""COMPUTED_VALUE"""),"6031.2020/00003.982-3")</f>
        <v>6031.2020/00003.982-3</v>
      </c>
      <c r="B310" s="92">
        <f t="shared" si="2"/>
        <v>309</v>
      </c>
      <c r="C310" t="str">
        <f t="shared" si="1"/>
        <v>BT0309</v>
      </c>
    </row>
    <row r="311">
      <c r="A311" t="str">
        <f>IFERROR(__xludf.DUMMYFUNCTION("""COMPUTED_VALUE"""),"6031.2020/0003.522-4")</f>
        <v>6031.2020/0003.522-4</v>
      </c>
      <c r="B311" s="92">
        <f t="shared" si="2"/>
        <v>310</v>
      </c>
      <c r="C311" t="str">
        <f t="shared" si="1"/>
        <v>BT0310</v>
      </c>
    </row>
    <row r="312">
      <c r="A312" t="str">
        <f>IFERROR(__xludf.DUMMYFUNCTION("""COMPUTED_VALUE"""),"6031.2021/0001.963-8")</f>
        <v>6031.2021/0001.963-8</v>
      </c>
      <c r="B312" s="92">
        <f t="shared" si="2"/>
        <v>311</v>
      </c>
      <c r="C312" t="str">
        <f t="shared" si="1"/>
        <v>BT0311</v>
      </c>
    </row>
    <row r="313">
      <c r="A313" t="str">
        <f>IFERROR(__xludf.DUMMYFUNCTION("""COMPUTED_VALUE"""),"6031.2021/0005.361-5")</f>
        <v>6031.2021/0005.361-5</v>
      </c>
      <c r="B313" s="92">
        <f t="shared" si="2"/>
        <v>312</v>
      </c>
      <c r="C313" t="str">
        <f t="shared" si="1"/>
        <v>BT0312</v>
      </c>
    </row>
    <row r="314">
      <c r="A314" t="str">
        <f>IFERROR(__xludf.DUMMYFUNCTION("""COMPUTED_VALUE"""),"6031.2020/0001.893-1")</f>
        <v>6031.2020/0001.893-1</v>
      </c>
      <c r="B314" s="92">
        <f t="shared" si="2"/>
        <v>313</v>
      </c>
      <c r="C314" t="str">
        <f t="shared" si="1"/>
        <v>BT0313</v>
      </c>
    </row>
    <row r="315">
      <c r="A315" t="str">
        <f>IFERROR(__xludf.DUMMYFUNCTION("""COMPUTED_VALUE"""),"6031.2020/0004384-7")</f>
        <v>6031.2020/0004384-7</v>
      </c>
      <c r="B315" s="92">
        <f t="shared" si="2"/>
        <v>314</v>
      </c>
      <c r="C315" t="str">
        <f t="shared" si="1"/>
        <v>BT0314</v>
      </c>
    </row>
    <row r="316">
      <c r="A316" t="str">
        <f>IFERROR(__xludf.DUMMYFUNCTION("""COMPUTED_VALUE"""),"6031.2020/0004.075-9")</f>
        <v>6031.2020/0004.075-9</v>
      </c>
      <c r="B316" s="92">
        <f t="shared" si="2"/>
        <v>315</v>
      </c>
      <c r="C316" t="str">
        <f t="shared" si="1"/>
        <v>BT0315</v>
      </c>
    </row>
    <row r="317">
      <c r="A317" t="str">
        <f>IFERROR(__xludf.DUMMYFUNCTION("""COMPUTED_VALUE"""),"6031.2020/0004.076-7")</f>
        <v>6031.2020/0004.076-7</v>
      </c>
      <c r="B317" s="92">
        <f t="shared" si="2"/>
        <v>316</v>
      </c>
      <c r="C317" t="str">
        <f t="shared" si="1"/>
        <v>BT0316</v>
      </c>
    </row>
    <row r="318">
      <c r="A318" t="str">
        <f>IFERROR(__xludf.DUMMYFUNCTION("""COMPUTED_VALUE"""),"6031.2021/000.513-0")</f>
        <v>6031.2021/000.513-0</v>
      </c>
      <c r="B318" s="92">
        <f t="shared" si="2"/>
        <v>317</v>
      </c>
      <c r="C318" t="str">
        <f t="shared" si="1"/>
        <v>BT0317</v>
      </c>
    </row>
    <row r="319">
      <c r="A319" t="str">
        <f>IFERROR(__xludf.DUMMYFUNCTION("""COMPUTED_VALUE"""),"6031.2021/0001.884-9")</f>
        <v>6031.2021/0001.884-9</v>
      </c>
      <c r="B319" s="92">
        <f t="shared" si="2"/>
        <v>318</v>
      </c>
      <c r="C319" t="str">
        <f t="shared" si="1"/>
        <v>BT0318</v>
      </c>
    </row>
    <row r="320">
      <c r="A320" t="str">
        <f>IFERROR(__xludf.DUMMYFUNCTION("""COMPUTED_VALUE"""),"6031.2021/0000.628-5")</f>
        <v>6031.2021/0000.628-5</v>
      </c>
      <c r="B320" s="92">
        <f t="shared" si="2"/>
        <v>319</v>
      </c>
      <c r="C320" t="str">
        <f t="shared" si="1"/>
        <v>BT0319</v>
      </c>
    </row>
    <row r="321">
      <c r="A321" t="str">
        <f>IFERROR(__xludf.DUMMYFUNCTION("""COMPUTED_VALUE"""),"6031.2020/0004.060-0")</f>
        <v>6031.2020/0004.060-0</v>
      </c>
      <c r="B321" s="92">
        <f t="shared" si="2"/>
        <v>320</v>
      </c>
      <c r="C321" t="str">
        <f t="shared" si="1"/>
        <v>BT0320</v>
      </c>
    </row>
    <row r="322">
      <c r="A322" t="str">
        <f>IFERROR(__xludf.DUMMYFUNCTION("""COMPUTED_VALUE"""),"6031.2020/0004.077-5")</f>
        <v>6031.2020/0004.077-5</v>
      </c>
      <c r="B322" s="92">
        <f t="shared" si="2"/>
        <v>321</v>
      </c>
      <c r="C322" t="str">
        <f t="shared" si="1"/>
        <v>BT0321</v>
      </c>
    </row>
    <row r="323">
      <c r="A323" t="str">
        <f>IFERROR(__xludf.DUMMYFUNCTION("""COMPUTED_VALUE"""),"6031.2021/0000.681-1")</f>
        <v>6031.2021/0000.681-1</v>
      </c>
      <c r="B323" s="92">
        <f t="shared" si="2"/>
        <v>322</v>
      </c>
      <c r="C323" t="str">
        <f t="shared" si="1"/>
        <v>BT0322</v>
      </c>
    </row>
    <row r="324">
      <c r="A324" t="str">
        <f>IFERROR(__xludf.DUMMYFUNCTION("""COMPUTED_VALUE"""),"6031.2021/0000.679-0")</f>
        <v>6031.2021/0000.679-0</v>
      </c>
      <c r="B324" s="92">
        <f t="shared" si="2"/>
        <v>323</v>
      </c>
      <c r="C324" t="str">
        <f t="shared" si="1"/>
        <v>BT0323</v>
      </c>
    </row>
    <row r="325">
      <c r="A325" t="str">
        <f>IFERROR(__xludf.DUMMYFUNCTION("""COMPUTED_VALUE"""),"6031.2021/0005.363-1")</f>
        <v>6031.2021/0005.363-1</v>
      </c>
      <c r="B325" s="92">
        <f t="shared" si="2"/>
        <v>324</v>
      </c>
      <c r="C325" t="str">
        <f t="shared" si="1"/>
        <v>BT0324</v>
      </c>
    </row>
    <row r="326">
      <c r="A326" t="str">
        <f>IFERROR(__xludf.DUMMYFUNCTION("""COMPUTED_VALUE"""),"6031.2021/0001.433-4")</f>
        <v>6031.2021/0001.433-4</v>
      </c>
      <c r="B326" s="92">
        <f t="shared" si="2"/>
        <v>325</v>
      </c>
      <c r="C326" t="str">
        <f t="shared" si="1"/>
        <v>BT0325</v>
      </c>
    </row>
    <row r="327">
      <c r="A327" t="str">
        <f>IFERROR(__xludf.DUMMYFUNCTION("""COMPUTED_VALUE"""),"6031.2021/0004.094-7")</f>
        <v>6031.2021/0004.094-7</v>
      </c>
      <c r="B327" s="92">
        <f t="shared" si="2"/>
        <v>326</v>
      </c>
      <c r="C327" t="str">
        <f t="shared" si="1"/>
        <v>BT0326</v>
      </c>
    </row>
    <row r="328">
      <c r="A328" t="str">
        <f>IFERROR(__xludf.DUMMYFUNCTION("""COMPUTED_VALUE"""),"6031.2021/0004.933-2")</f>
        <v>6031.2021/0004.933-2</v>
      </c>
      <c r="B328" s="92">
        <f t="shared" si="2"/>
        <v>327</v>
      </c>
      <c r="C328" t="str">
        <f t="shared" si="1"/>
        <v>BT0327</v>
      </c>
    </row>
    <row r="329">
      <c r="A329" t="str">
        <f>IFERROR(__xludf.DUMMYFUNCTION("""COMPUTED_VALUE"""),"6031.2021/0005.368-2")</f>
        <v>6031.2021/0005.368-2</v>
      </c>
      <c r="B329" s="92">
        <f t="shared" si="2"/>
        <v>328</v>
      </c>
      <c r="C329" t="str">
        <f t="shared" si="1"/>
        <v>BT0328</v>
      </c>
    </row>
    <row r="330">
      <c r="A330" t="str">
        <f>IFERROR(__xludf.DUMMYFUNCTION("""COMPUTED_VALUE"""),"6031.2021/0005.369-0")</f>
        <v>6031.2021/0005.369-0</v>
      </c>
      <c r="B330" s="92">
        <f t="shared" si="2"/>
        <v>329</v>
      </c>
      <c r="C330" t="str">
        <f t="shared" si="1"/>
        <v>BT0329</v>
      </c>
    </row>
    <row r="331">
      <c r="A331" t="str">
        <f>IFERROR(__xludf.DUMMYFUNCTION("""COMPUTED_VALUE"""),"6031.2021/0005.370-4")</f>
        <v>6031.2021/0005.370-4</v>
      </c>
      <c r="B331" s="92">
        <f t="shared" si="2"/>
        <v>330</v>
      </c>
      <c r="C331" t="str">
        <f t="shared" si="1"/>
        <v>BT0330</v>
      </c>
    </row>
    <row r="332">
      <c r="A332" t="str">
        <f>IFERROR(__xludf.DUMMYFUNCTION("""COMPUTED_VALUE"""),"6031.2021/0005.371-2")</f>
        <v>6031.2021/0005.371-2</v>
      </c>
      <c r="B332" s="92">
        <f t="shared" si="2"/>
        <v>331</v>
      </c>
      <c r="C332" t="str">
        <f t="shared" si="1"/>
        <v>BT0331</v>
      </c>
    </row>
    <row r="333">
      <c r="A333" t="str">
        <f>IFERROR(__xludf.DUMMYFUNCTION("""COMPUTED_VALUE"""),"6031.2021/0005.372-0")</f>
        <v>6031.2021/0005.372-0</v>
      </c>
      <c r="B333" s="92">
        <f t="shared" si="2"/>
        <v>332</v>
      </c>
      <c r="C333" t="str">
        <f t="shared" si="1"/>
        <v>BT0332</v>
      </c>
    </row>
    <row r="334">
      <c r="A334" t="str">
        <f>IFERROR(__xludf.DUMMYFUNCTION("""COMPUTED_VALUE"""),"6031.2021/0005.373-9")</f>
        <v>6031.2021/0005.373-9</v>
      </c>
      <c r="B334" s="92">
        <f t="shared" si="2"/>
        <v>333</v>
      </c>
      <c r="C334" t="str">
        <f t="shared" si="1"/>
        <v>BT0333</v>
      </c>
    </row>
    <row r="335">
      <c r="A335" t="str">
        <f>IFERROR(__xludf.DUMMYFUNCTION("""COMPUTED_VALUE"""),"6031.2021/0005.357-7")</f>
        <v>6031.2021/0005.357-7</v>
      </c>
      <c r="B335" s="92">
        <f t="shared" si="2"/>
        <v>334</v>
      </c>
      <c r="C335" t="str">
        <f t="shared" si="1"/>
        <v>BT0334</v>
      </c>
    </row>
    <row r="336">
      <c r="A336" t="str">
        <f>IFERROR(__xludf.DUMMYFUNCTION("""COMPUTED_VALUE"""),"6031.2021/0004.631-7")</f>
        <v>6031.2021/0004.631-7</v>
      </c>
      <c r="B336" s="92">
        <f t="shared" si="2"/>
        <v>335</v>
      </c>
      <c r="C336" t="str">
        <f t="shared" si="1"/>
        <v>BT0335</v>
      </c>
    </row>
    <row r="337">
      <c r="A337" t="str">
        <f>IFERROR(__xludf.DUMMYFUNCTION("""COMPUTED_VALUE"""),"6031.2022/0000.179-0")</f>
        <v>6031.2022/0000.179-0</v>
      </c>
      <c r="B337" s="92">
        <f t="shared" si="2"/>
        <v>336</v>
      </c>
      <c r="C337" t="str">
        <f t="shared" si="1"/>
        <v>BT0336</v>
      </c>
    </row>
    <row r="338">
      <c r="A338" t="str">
        <f>IFERROR(__xludf.DUMMYFUNCTION("""COMPUTED_VALUE"""),"6031.2022/0000.181-1")</f>
        <v>6031.2022/0000.181-1</v>
      </c>
      <c r="B338" s="92">
        <f t="shared" si="2"/>
        <v>337</v>
      </c>
      <c r="C338" t="str">
        <f t="shared" si="1"/>
        <v>BT0337</v>
      </c>
    </row>
    <row r="339">
      <c r="A339" t="str">
        <f>IFERROR(__xludf.DUMMYFUNCTION("""COMPUTED_VALUE"""),"6031.2022/0000.182-0")</f>
        <v>6031.2022/0000.182-0</v>
      </c>
      <c r="B339" s="92">
        <f t="shared" si="2"/>
        <v>338</v>
      </c>
      <c r="C339" t="str">
        <f t="shared" si="1"/>
        <v>BT0338</v>
      </c>
    </row>
    <row r="340">
      <c r="A340" t="str">
        <f>IFERROR(__xludf.DUMMYFUNCTION("""COMPUTED_VALUE"""),"6031.2022/0000.184-6")</f>
        <v>6031.2022/0000.184-6</v>
      </c>
      <c r="B340" s="92">
        <f t="shared" si="2"/>
        <v>339</v>
      </c>
      <c r="C340" t="str">
        <f t="shared" si="1"/>
        <v>BT0339</v>
      </c>
    </row>
    <row r="341">
      <c r="A341" t="str">
        <f>IFERROR(__xludf.DUMMYFUNCTION("""COMPUTED_VALUE"""),"6031.2021/0005.481-6")</f>
        <v>6031.2021/0005.481-6</v>
      </c>
      <c r="B341" s="92">
        <f t="shared" si="2"/>
        <v>340</v>
      </c>
      <c r="C341" t="str">
        <f t="shared" si="1"/>
        <v>BT0340</v>
      </c>
    </row>
    <row r="342">
      <c r="A342" t="str">
        <f>IFERROR(__xludf.DUMMYFUNCTION("""COMPUTED_VALUE"""),"6031.2022/0000.156-0")</f>
        <v>6031.2022/0000.156-0</v>
      </c>
      <c r="B342" s="92">
        <f t="shared" si="2"/>
        <v>341</v>
      </c>
      <c r="C342" t="str">
        <f t="shared" si="1"/>
        <v>BT0341</v>
      </c>
    </row>
    <row r="343">
      <c r="A343" t="str">
        <f>IFERROR(__xludf.DUMMYFUNCTION("""COMPUTED_VALUE"""),"6031.2022/0000.836-0")</f>
        <v>6031.2022/0000.836-0</v>
      </c>
      <c r="B343" s="92">
        <f t="shared" si="2"/>
        <v>342</v>
      </c>
      <c r="C343" t="str">
        <f t="shared" si="1"/>
        <v>BT0342</v>
      </c>
    </row>
    <row r="344">
      <c r="A344" t="str">
        <f>IFERROR(__xludf.DUMMYFUNCTION("""COMPUTED_VALUE"""),"6031.2022/0000.592-2")</f>
        <v>6031.2022/0000.592-2</v>
      </c>
      <c r="B344" s="92">
        <f t="shared" si="2"/>
        <v>343</v>
      </c>
      <c r="C344" t="str">
        <f t="shared" si="1"/>
        <v>BT0343</v>
      </c>
    </row>
    <row r="345">
      <c r="A345" t="str">
        <f>IFERROR(__xludf.DUMMYFUNCTION("""COMPUTED_VALUE"""),"6031.2022/0000.593-0")</f>
        <v>6031.2022/0000.593-0</v>
      </c>
      <c r="B345" s="92">
        <f t="shared" si="2"/>
        <v>344</v>
      </c>
      <c r="C345" t="str">
        <f t="shared" si="1"/>
        <v>BT0344</v>
      </c>
    </row>
    <row r="346">
      <c r="A346" t="str">
        <f>IFERROR(__xludf.DUMMYFUNCTION("""COMPUTED_VALUE"""),"6031.2022/0000.869-7")</f>
        <v>6031.2022/0000.869-7</v>
      </c>
      <c r="B346" s="92">
        <f t="shared" si="2"/>
        <v>345</v>
      </c>
      <c r="C346" t="str">
        <f t="shared" si="1"/>
        <v>BT0345</v>
      </c>
    </row>
    <row r="347">
      <c r="A347" t="str">
        <f>IFERROR(__xludf.DUMMYFUNCTION("""COMPUTED_VALUE"""),"6031.2022/0000.861-1")</f>
        <v>6031.2022/0000.861-1</v>
      </c>
      <c r="B347" s="92">
        <f t="shared" si="2"/>
        <v>346</v>
      </c>
      <c r="C347" t="str">
        <f t="shared" si="1"/>
        <v>BT0346</v>
      </c>
    </row>
    <row r="348">
      <c r="A348" t="str">
        <f>IFERROR(__xludf.DUMMYFUNCTION("""COMPUTED_VALUE"""),"6031.2022/0000.870-0")</f>
        <v>6031.2022/0000.870-0</v>
      </c>
      <c r="B348" s="92">
        <f t="shared" si="2"/>
        <v>347</v>
      </c>
      <c r="C348" t="str">
        <f t="shared" si="1"/>
        <v>BT0347</v>
      </c>
    </row>
    <row r="349">
      <c r="A349" t="str">
        <f>IFERROR(__xludf.DUMMYFUNCTION("""COMPUTED_VALUE"""),"6031.2022/0000.853-0")</f>
        <v>6031.2022/0000.853-0</v>
      </c>
      <c r="B349" s="92">
        <f t="shared" si="2"/>
        <v>348</v>
      </c>
      <c r="C349" t="str">
        <f t="shared" si="1"/>
        <v>BT0348</v>
      </c>
    </row>
    <row r="350">
      <c r="A350" t="str">
        <f>IFERROR(__xludf.DUMMYFUNCTION("""COMPUTED_VALUE"""),"6031.2022/0000.857-3")</f>
        <v>6031.2022/0000.857-3</v>
      </c>
      <c r="B350" s="92">
        <f t="shared" si="2"/>
        <v>349</v>
      </c>
      <c r="C350" t="str">
        <f t="shared" si="1"/>
        <v>BT0349</v>
      </c>
    </row>
    <row r="351">
      <c r="A351" t="str">
        <f>IFERROR(__xludf.DUMMYFUNCTION("""COMPUTED_VALUE"""),"6031.2022/0000.761-5")</f>
        <v>6031.2022/0000.761-5</v>
      </c>
      <c r="B351" s="92">
        <f t="shared" si="2"/>
        <v>350</v>
      </c>
      <c r="C351" t="str">
        <f t="shared" si="1"/>
        <v>BT0350</v>
      </c>
    </row>
    <row r="352">
      <c r="A352" t="str">
        <f>IFERROR(__xludf.DUMMYFUNCTION("""COMPUTED_VALUE"""),"6031.2022/0000.866-2")</f>
        <v>6031.2022/0000.866-2</v>
      </c>
      <c r="B352" s="92">
        <f t="shared" si="2"/>
        <v>351</v>
      </c>
      <c r="C352" t="str">
        <f t="shared" si="1"/>
        <v>BT0351</v>
      </c>
    </row>
    <row r="353">
      <c r="A353" t="str">
        <f>IFERROR(__xludf.DUMMYFUNCTION("""COMPUTED_VALUE"""),"6031.2022/0000.724-0")</f>
        <v>6031.2022/0000.724-0</v>
      </c>
      <c r="B353" s="92">
        <f t="shared" si="2"/>
        <v>352</v>
      </c>
      <c r="C353" t="str">
        <f t="shared" si="1"/>
        <v>BT0352</v>
      </c>
    </row>
    <row r="354">
      <c r="A354" t="str">
        <f>IFERROR(__xludf.DUMMYFUNCTION("""COMPUTED_VALUE"""),"6031.2022/0001.279-1")</f>
        <v>6031.2022/0001.279-1</v>
      </c>
      <c r="B354" s="92">
        <f t="shared" si="2"/>
        <v>353</v>
      </c>
      <c r="C354" t="str">
        <f t="shared" si="1"/>
        <v>BT0353</v>
      </c>
    </row>
    <row r="355">
      <c r="A355" t="str">
        <f>IFERROR(__xludf.DUMMYFUNCTION("""COMPUTED_VALUE"""),"6031.2022/0001.007-1")</f>
        <v>6031.2022/0001.007-1</v>
      </c>
      <c r="B355" s="92">
        <f t="shared" si="2"/>
        <v>354</v>
      </c>
      <c r="C355" t="str">
        <f t="shared" si="1"/>
        <v>BT0354</v>
      </c>
    </row>
    <row r="356">
      <c r="A356" t="str">
        <f>IFERROR(__xludf.DUMMYFUNCTION("""COMPUTED_VALUE"""),"6031.2022/0001.278-3")</f>
        <v>6031.2022/0001.278-3</v>
      </c>
      <c r="B356" s="92">
        <f t="shared" si="2"/>
        <v>355</v>
      </c>
      <c r="C356" t="str">
        <f t="shared" si="1"/>
        <v>BT0355</v>
      </c>
    </row>
    <row r="357">
      <c r="B357" s="92" t="str">
        <f t="shared" si="2"/>
        <v/>
      </c>
      <c r="C357" t="str">
        <f t="shared" si="1"/>
        <v/>
      </c>
    </row>
    <row r="358">
      <c r="B358" s="92" t="str">
        <f t="shared" si="2"/>
        <v/>
      </c>
      <c r="C358" t="str">
        <f t="shared" si="1"/>
        <v/>
      </c>
    </row>
    <row r="359">
      <c r="B359" s="92" t="str">
        <f t="shared" si="2"/>
        <v/>
      </c>
      <c r="C359" t="str">
        <f t="shared" si="1"/>
        <v/>
      </c>
    </row>
    <row r="360">
      <c r="B360" s="92" t="str">
        <f t="shared" si="2"/>
        <v/>
      </c>
      <c r="C360" t="str">
        <f t="shared" si="1"/>
        <v/>
      </c>
    </row>
    <row r="361">
      <c r="B361" s="92" t="str">
        <f t="shared" si="2"/>
        <v/>
      </c>
      <c r="C361" t="str">
        <f t="shared" si="1"/>
        <v/>
      </c>
    </row>
    <row r="362">
      <c r="B362" s="92" t="str">
        <f t="shared" si="2"/>
        <v/>
      </c>
      <c r="C362" t="str">
        <f t="shared" si="1"/>
        <v/>
      </c>
    </row>
    <row r="363">
      <c r="B363" s="92" t="str">
        <f t="shared" si="2"/>
        <v/>
      </c>
      <c r="C363" t="str">
        <f t="shared" si="1"/>
        <v/>
      </c>
    </row>
    <row r="364">
      <c r="B364" s="92" t="str">
        <f t="shared" si="2"/>
        <v/>
      </c>
      <c r="C364" t="str">
        <f t="shared" si="1"/>
        <v/>
      </c>
    </row>
    <row r="365">
      <c r="B365" s="92" t="str">
        <f t="shared" si="2"/>
        <v/>
      </c>
      <c r="C365" t="str">
        <f t="shared" si="1"/>
        <v/>
      </c>
    </row>
    <row r="366">
      <c r="B366" s="92" t="str">
        <f t="shared" si="2"/>
        <v/>
      </c>
      <c r="C366" t="str">
        <f t="shared" si="1"/>
        <v/>
      </c>
    </row>
    <row r="367">
      <c r="B367" s="92" t="str">
        <f t="shared" si="2"/>
        <v/>
      </c>
      <c r="C367" t="str">
        <f t="shared" si="1"/>
        <v/>
      </c>
    </row>
    <row r="368">
      <c r="B368" s="92" t="str">
        <f t="shared" si="2"/>
        <v/>
      </c>
      <c r="C368" t="str">
        <f t="shared" si="1"/>
        <v/>
      </c>
    </row>
    <row r="369">
      <c r="B369" s="92" t="str">
        <f t="shared" si="2"/>
        <v/>
      </c>
      <c r="C369" t="str">
        <f t="shared" si="1"/>
        <v/>
      </c>
    </row>
    <row r="370">
      <c r="B370" s="92" t="str">
        <f t="shared" si="2"/>
        <v/>
      </c>
      <c r="C370" t="str">
        <f t="shared" si="1"/>
        <v/>
      </c>
    </row>
    <row r="371">
      <c r="B371" s="92" t="str">
        <f t="shared" si="2"/>
        <v/>
      </c>
      <c r="C371" t="str">
        <f t="shared" si="1"/>
        <v/>
      </c>
    </row>
    <row r="372">
      <c r="B372" s="92" t="str">
        <f t="shared" si="2"/>
        <v/>
      </c>
      <c r="C372" t="str">
        <f t="shared" si="1"/>
        <v/>
      </c>
    </row>
    <row r="373">
      <c r="B373" s="92" t="str">
        <f t="shared" si="2"/>
        <v/>
      </c>
      <c r="C373" t="str">
        <f t="shared" si="1"/>
        <v/>
      </c>
    </row>
    <row r="374">
      <c r="B374" s="92" t="str">
        <f t="shared" si="2"/>
        <v/>
      </c>
      <c r="C374" t="str">
        <f t="shared" si="1"/>
        <v/>
      </c>
    </row>
    <row r="375">
      <c r="B375" s="92" t="str">
        <f t="shared" si="2"/>
        <v/>
      </c>
      <c r="C375" t="str">
        <f t="shared" si="1"/>
        <v/>
      </c>
    </row>
    <row r="376">
      <c r="B376" s="92" t="str">
        <f t="shared" si="2"/>
        <v/>
      </c>
      <c r="C376" t="str">
        <f t="shared" si="1"/>
        <v/>
      </c>
    </row>
    <row r="377">
      <c r="B377" s="92" t="str">
        <f t="shared" si="2"/>
        <v/>
      </c>
      <c r="C377" t="str">
        <f t="shared" si="1"/>
        <v/>
      </c>
    </row>
    <row r="378">
      <c r="B378" s="92" t="str">
        <f t="shared" si="2"/>
        <v/>
      </c>
      <c r="C378" t="str">
        <f t="shared" si="1"/>
        <v/>
      </c>
    </row>
    <row r="379">
      <c r="B379" s="92" t="str">
        <f t="shared" si="2"/>
        <v/>
      </c>
      <c r="C379" t="str">
        <f t="shared" si="1"/>
        <v/>
      </c>
    </row>
    <row r="380">
      <c r="B380" s="92" t="str">
        <f t="shared" si="2"/>
        <v/>
      </c>
      <c r="C380" t="str">
        <f t="shared" si="1"/>
        <v/>
      </c>
    </row>
    <row r="381">
      <c r="B381" s="92" t="str">
        <f t="shared" si="2"/>
        <v/>
      </c>
      <c r="C381" t="str">
        <f t="shared" si="1"/>
        <v/>
      </c>
    </row>
    <row r="382">
      <c r="B382" s="92" t="str">
        <f t="shared" si="2"/>
        <v/>
      </c>
      <c r="C382" t="str">
        <f t="shared" si="1"/>
        <v/>
      </c>
    </row>
    <row r="383">
      <c r="B383" s="92" t="str">
        <f t="shared" si="2"/>
        <v/>
      </c>
      <c r="C383" t="str">
        <f t="shared" si="1"/>
        <v/>
      </c>
    </row>
    <row r="384">
      <c r="B384" s="92" t="str">
        <f t="shared" si="2"/>
        <v/>
      </c>
      <c r="C384" t="str">
        <f t="shared" si="1"/>
        <v/>
      </c>
    </row>
    <row r="385">
      <c r="B385" s="92" t="str">
        <f t="shared" si="2"/>
        <v/>
      </c>
      <c r="C385" t="str">
        <f t="shared" si="1"/>
        <v/>
      </c>
    </row>
    <row r="386">
      <c r="B386" s="92" t="str">
        <f t="shared" si="2"/>
        <v/>
      </c>
      <c r="C386" t="str">
        <f t="shared" si="1"/>
        <v/>
      </c>
    </row>
    <row r="387">
      <c r="B387" s="92" t="str">
        <f t="shared" si="2"/>
        <v/>
      </c>
      <c r="C387" t="str">
        <f t="shared" si="1"/>
        <v/>
      </c>
    </row>
    <row r="388">
      <c r="B388" s="92" t="str">
        <f t="shared" si="2"/>
        <v/>
      </c>
      <c r="C388" t="str">
        <f t="shared" si="1"/>
        <v/>
      </c>
    </row>
    <row r="389">
      <c r="B389" s="92" t="str">
        <f t="shared" si="2"/>
        <v/>
      </c>
      <c r="C389" t="str">
        <f t="shared" si="1"/>
        <v/>
      </c>
    </row>
    <row r="390">
      <c r="B390" s="92" t="str">
        <f t="shared" si="2"/>
        <v/>
      </c>
      <c r="C390" t="str">
        <f t="shared" si="1"/>
        <v/>
      </c>
    </row>
    <row r="391">
      <c r="B391" s="92" t="str">
        <f t="shared" si="2"/>
        <v/>
      </c>
      <c r="C391" t="str">
        <f t="shared" si="1"/>
        <v/>
      </c>
    </row>
    <row r="392">
      <c r="B392" s="92" t="str">
        <f t="shared" si="2"/>
        <v/>
      </c>
      <c r="C392" t="str">
        <f t="shared" si="1"/>
        <v/>
      </c>
    </row>
    <row r="393">
      <c r="B393" s="92" t="str">
        <f t="shared" si="2"/>
        <v/>
      </c>
      <c r="C393" t="str">
        <f t="shared" si="1"/>
        <v/>
      </c>
    </row>
    <row r="394">
      <c r="B394" s="92" t="str">
        <f t="shared" si="2"/>
        <v/>
      </c>
      <c r="C394" t="str">
        <f t="shared" si="1"/>
        <v/>
      </c>
    </row>
    <row r="395">
      <c r="B395" s="92" t="str">
        <f t="shared" si="2"/>
        <v/>
      </c>
      <c r="C395" t="str">
        <f t="shared" si="1"/>
        <v/>
      </c>
    </row>
    <row r="396">
      <c r="B396" s="92" t="str">
        <f t="shared" si="2"/>
        <v/>
      </c>
      <c r="C396" t="str">
        <f t="shared" si="1"/>
        <v/>
      </c>
    </row>
    <row r="397">
      <c r="B397" s="92" t="str">
        <f t="shared" si="2"/>
        <v/>
      </c>
      <c r="C397" t="str">
        <f t="shared" si="1"/>
        <v/>
      </c>
    </row>
    <row r="398">
      <c r="B398" s="92" t="str">
        <f t="shared" si="2"/>
        <v/>
      </c>
      <c r="C398" t="str">
        <f t="shared" si="1"/>
        <v/>
      </c>
    </row>
    <row r="399">
      <c r="B399" s="92" t="str">
        <f t="shared" si="2"/>
        <v/>
      </c>
      <c r="C399" t="str">
        <f t="shared" si="1"/>
        <v/>
      </c>
    </row>
    <row r="400">
      <c r="B400" s="92" t="str">
        <f t="shared" si="2"/>
        <v/>
      </c>
      <c r="C400" t="str">
        <f t="shared" si="1"/>
        <v/>
      </c>
    </row>
    <row r="401">
      <c r="B401" s="92" t="str">
        <f t="shared" si="2"/>
        <v/>
      </c>
      <c r="C401" t="str">
        <f t="shared" si="1"/>
        <v/>
      </c>
    </row>
    <row r="402">
      <c r="B402" s="92" t="str">
        <f t="shared" si="2"/>
        <v/>
      </c>
      <c r="C402" t="str">
        <f t="shared" si="1"/>
        <v/>
      </c>
    </row>
    <row r="403">
      <c r="B403" s="92" t="str">
        <f t="shared" si="2"/>
        <v/>
      </c>
      <c r="C403" t="str">
        <f t="shared" si="1"/>
        <v/>
      </c>
    </row>
    <row r="404">
      <c r="B404" s="92" t="str">
        <f t="shared" si="2"/>
        <v/>
      </c>
      <c r="C404" t="str">
        <f t="shared" si="1"/>
        <v/>
      </c>
    </row>
    <row r="405">
      <c r="B405" s="92" t="str">
        <f t="shared" si="2"/>
        <v/>
      </c>
      <c r="C405" t="str">
        <f t="shared" si="1"/>
        <v/>
      </c>
    </row>
    <row r="406">
      <c r="B406" s="92" t="str">
        <f t="shared" si="2"/>
        <v/>
      </c>
      <c r="C406" t="str">
        <f t="shared" si="1"/>
        <v/>
      </c>
    </row>
    <row r="407">
      <c r="B407" s="92" t="str">
        <f t="shared" si="2"/>
        <v/>
      </c>
      <c r="C407" t="str">
        <f t="shared" si="1"/>
        <v/>
      </c>
    </row>
    <row r="408">
      <c r="B408" s="92" t="str">
        <f t="shared" si="2"/>
        <v/>
      </c>
      <c r="C408" t="str">
        <f t="shared" si="1"/>
        <v/>
      </c>
    </row>
    <row r="409">
      <c r="B409" s="92" t="str">
        <f t="shared" si="2"/>
        <v/>
      </c>
      <c r="C409" t="str">
        <f t="shared" si="1"/>
        <v/>
      </c>
    </row>
    <row r="410">
      <c r="B410" s="92" t="str">
        <f t="shared" si="2"/>
        <v/>
      </c>
      <c r="C410" t="str">
        <f t="shared" si="1"/>
        <v/>
      </c>
    </row>
    <row r="411">
      <c r="B411" s="92" t="str">
        <f t="shared" si="2"/>
        <v/>
      </c>
      <c r="C411" t="str">
        <f t="shared" si="1"/>
        <v/>
      </c>
    </row>
    <row r="412">
      <c r="B412" s="92" t="str">
        <f t="shared" si="2"/>
        <v/>
      </c>
      <c r="C412" t="str">
        <f t="shared" si="1"/>
        <v/>
      </c>
    </row>
    <row r="413">
      <c r="B413" s="92" t="str">
        <f t="shared" si="2"/>
        <v/>
      </c>
      <c r="C413" t="str">
        <f t="shared" si="1"/>
        <v/>
      </c>
    </row>
    <row r="414">
      <c r="B414" s="92" t="str">
        <f t="shared" si="2"/>
        <v/>
      </c>
      <c r="C414" t="str">
        <f t="shared" si="1"/>
        <v/>
      </c>
    </row>
    <row r="415">
      <c r="B415" s="92" t="str">
        <f t="shared" si="2"/>
        <v/>
      </c>
      <c r="C415" t="str">
        <f t="shared" si="1"/>
        <v/>
      </c>
    </row>
    <row r="416">
      <c r="B416" s="92" t="str">
        <f t="shared" si="2"/>
        <v/>
      </c>
      <c r="C416" t="str">
        <f t="shared" si="1"/>
        <v/>
      </c>
    </row>
    <row r="417">
      <c r="B417" s="92" t="str">
        <f t="shared" si="2"/>
        <v/>
      </c>
      <c r="C417" t="str">
        <f t="shared" si="1"/>
        <v/>
      </c>
    </row>
    <row r="418">
      <c r="B418" s="92" t="str">
        <f t="shared" si="2"/>
        <v/>
      </c>
      <c r="C418" t="str">
        <f t="shared" si="1"/>
        <v/>
      </c>
    </row>
    <row r="419">
      <c r="B419" s="92" t="str">
        <f t="shared" si="2"/>
        <v/>
      </c>
      <c r="C419" t="str">
        <f t="shared" si="1"/>
        <v/>
      </c>
    </row>
    <row r="420">
      <c r="B420" s="92" t="str">
        <f t="shared" si="2"/>
        <v/>
      </c>
      <c r="C420" t="str">
        <f t="shared" si="1"/>
        <v/>
      </c>
    </row>
    <row r="421">
      <c r="B421" s="92" t="str">
        <f t="shared" si="2"/>
        <v/>
      </c>
      <c r="C421" t="str">
        <f t="shared" si="1"/>
        <v/>
      </c>
    </row>
    <row r="422">
      <c r="B422" s="92" t="str">
        <f t="shared" si="2"/>
        <v/>
      </c>
      <c r="C422" t="str">
        <f t="shared" si="1"/>
        <v/>
      </c>
    </row>
    <row r="423">
      <c r="B423" s="92" t="str">
        <f t="shared" si="2"/>
        <v/>
      </c>
      <c r="C423" t="str">
        <f t="shared" si="1"/>
        <v/>
      </c>
    </row>
    <row r="424">
      <c r="B424" s="92" t="str">
        <f t="shared" si="2"/>
        <v/>
      </c>
      <c r="C424" t="str">
        <f t="shared" si="1"/>
        <v/>
      </c>
    </row>
    <row r="425">
      <c r="B425" s="92" t="str">
        <f t="shared" si="2"/>
        <v/>
      </c>
      <c r="C425" t="str">
        <f t="shared" si="1"/>
        <v/>
      </c>
    </row>
    <row r="426">
      <c r="B426" s="92" t="str">
        <f t="shared" si="2"/>
        <v/>
      </c>
      <c r="C426" t="str">
        <f t="shared" si="1"/>
        <v/>
      </c>
    </row>
    <row r="427">
      <c r="B427" s="92" t="str">
        <f t="shared" si="2"/>
        <v/>
      </c>
      <c r="C427" t="str">
        <f t="shared" si="1"/>
        <v/>
      </c>
    </row>
    <row r="428">
      <c r="B428" s="92" t="str">
        <f t="shared" si="2"/>
        <v/>
      </c>
      <c r="C428" t="str">
        <f t="shared" si="1"/>
        <v/>
      </c>
    </row>
    <row r="429">
      <c r="B429" s="92" t="str">
        <f t="shared" si="2"/>
        <v/>
      </c>
      <c r="C429" t="str">
        <f t="shared" si="1"/>
        <v/>
      </c>
    </row>
    <row r="430">
      <c r="B430" s="92" t="str">
        <f t="shared" si="2"/>
        <v/>
      </c>
      <c r="C430" t="str">
        <f t="shared" si="1"/>
        <v/>
      </c>
    </row>
    <row r="431">
      <c r="B431" s="92" t="str">
        <f t="shared" si="2"/>
        <v/>
      </c>
      <c r="C431" t="str">
        <f t="shared" si="1"/>
        <v/>
      </c>
    </row>
    <row r="432">
      <c r="B432" s="92" t="str">
        <f t="shared" si="2"/>
        <v/>
      </c>
      <c r="C432" t="str">
        <f t="shared" si="1"/>
        <v/>
      </c>
    </row>
    <row r="433">
      <c r="B433" s="92" t="str">
        <f t="shared" si="2"/>
        <v/>
      </c>
      <c r="C433" t="str">
        <f t="shared" si="1"/>
        <v/>
      </c>
    </row>
    <row r="434">
      <c r="B434" s="92" t="str">
        <f t="shared" si="2"/>
        <v/>
      </c>
      <c r="C434" t="str">
        <f t="shared" si="1"/>
        <v/>
      </c>
    </row>
    <row r="435">
      <c r="B435" s="92" t="str">
        <f t="shared" si="2"/>
        <v/>
      </c>
      <c r="C435" t="str">
        <f t="shared" si="1"/>
        <v/>
      </c>
    </row>
    <row r="436">
      <c r="B436" s="92" t="str">
        <f t="shared" si="2"/>
        <v/>
      </c>
      <c r="C436" t="str">
        <f t="shared" si="1"/>
        <v/>
      </c>
    </row>
    <row r="437">
      <c r="B437" s="92" t="str">
        <f t="shared" si="2"/>
        <v/>
      </c>
      <c r="C437" t="str">
        <f t="shared" si="1"/>
        <v/>
      </c>
    </row>
    <row r="438">
      <c r="B438" s="92" t="str">
        <f t="shared" si="2"/>
        <v/>
      </c>
      <c r="C438" t="str">
        <f t="shared" si="1"/>
        <v/>
      </c>
    </row>
    <row r="439">
      <c r="B439" s="92" t="str">
        <f t="shared" si="2"/>
        <v/>
      </c>
      <c r="C439" t="str">
        <f t="shared" si="1"/>
        <v/>
      </c>
    </row>
    <row r="440">
      <c r="B440" s="92" t="str">
        <f t="shared" si="2"/>
        <v/>
      </c>
      <c r="C440" t="str">
        <f t="shared" si="1"/>
        <v/>
      </c>
    </row>
    <row r="441">
      <c r="B441" s="92" t="str">
        <f t="shared" si="2"/>
        <v/>
      </c>
      <c r="C441" t="str">
        <f t="shared" si="1"/>
        <v/>
      </c>
    </row>
    <row r="442">
      <c r="B442" s="92" t="str">
        <f t="shared" si="2"/>
        <v/>
      </c>
      <c r="C442" t="str">
        <f t="shared" si="1"/>
        <v/>
      </c>
    </row>
    <row r="443">
      <c r="B443" s="92" t="str">
        <f t="shared" si="2"/>
        <v/>
      </c>
      <c r="C443" t="str">
        <f t="shared" si="1"/>
        <v/>
      </c>
    </row>
    <row r="444">
      <c r="B444" s="92" t="str">
        <f t="shared" si="2"/>
        <v/>
      </c>
      <c r="C444" t="str">
        <f t="shared" si="1"/>
        <v/>
      </c>
    </row>
    <row r="445">
      <c r="B445" s="92" t="str">
        <f t="shared" si="2"/>
        <v/>
      </c>
      <c r="C445" t="str">
        <f t="shared" si="1"/>
        <v/>
      </c>
    </row>
    <row r="446">
      <c r="B446" s="92" t="str">
        <f t="shared" si="2"/>
        <v/>
      </c>
      <c r="C446" t="str">
        <f t="shared" si="1"/>
        <v/>
      </c>
    </row>
    <row r="447">
      <c r="B447" s="92" t="str">
        <f t="shared" si="2"/>
        <v/>
      </c>
      <c r="C447" t="str">
        <f t="shared" si="1"/>
        <v/>
      </c>
    </row>
    <row r="448">
      <c r="B448" s="92" t="str">
        <f t="shared" si="2"/>
        <v/>
      </c>
      <c r="C448" t="str">
        <f t="shared" si="1"/>
        <v/>
      </c>
    </row>
    <row r="449">
      <c r="B449" s="92" t="str">
        <f t="shared" si="2"/>
        <v/>
      </c>
      <c r="C449" t="str">
        <f t="shared" si="1"/>
        <v/>
      </c>
    </row>
    <row r="450">
      <c r="B450" s="92" t="str">
        <f t="shared" si="2"/>
        <v/>
      </c>
      <c r="C450" t="str">
        <f t="shared" si="1"/>
        <v/>
      </c>
    </row>
    <row r="451">
      <c r="B451" s="92" t="str">
        <f t="shared" si="2"/>
        <v/>
      </c>
      <c r="C451" t="str">
        <f t="shared" si="1"/>
        <v/>
      </c>
    </row>
    <row r="452">
      <c r="B452" s="92" t="str">
        <f t="shared" si="2"/>
        <v/>
      </c>
      <c r="C452" t="str">
        <f t="shared" si="1"/>
        <v/>
      </c>
    </row>
    <row r="453">
      <c r="B453" s="92" t="str">
        <f t="shared" si="2"/>
        <v/>
      </c>
      <c r="C453" t="str">
        <f t="shared" si="1"/>
        <v/>
      </c>
    </row>
    <row r="454">
      <c r="B454" s="92" t="str">
        <f t="shared" si="2"/>
        <v/>
      </c>
      <c r="C454" t="str">
        <f t="shared" si="1"/>
        <v/>
      </c>
    </row>
    <row r="455">
      <c r="B455" s="92" t="str">
        <f t="shared" si="2"/>
        <v/>
      </c>
      <c r="C455" t="str">
        <f t="shared" si="1"/>
        <v/>
      </c>
    </row>
    <row r="456">
      <c r="B456" s="92" t="str">
        <f t="shared" si="2"/>
        <v/>
      </c>
      <c r="C456" t="str">
        <f t="shared" si="1"/>
        <v/>
      </c>
    </row>
    <row r="457">
      <c r="B457" s="92" t="str">
        <f t="shared" si="2"/>
        <v/>
      </c>
      <c r="C457" t="str">
        <f t="shared" si="1"/>
        <v/>
      </c>
    </row>
    <row r="458">
      <c r="B458" s="92" t="str">
        <f t="shared" si="2"/>
        <v/>
      </c>
      <c r="C458" t="str">
        <f t="shared" si="1"/>
        <v/>
      </c>
    </row>
    <row r="459">
      <c r="B459" s="92" t="str">
        <f t="shared" si="2"/>
        <v/>
      </c>
      <c r="C459" t="str">
        <f t="shared" si="1"/>
        <v/>
      </c>
    </row>
    <row r="460">
      <c r="B460" s="92" t="str">
        <f t="shared" si="2"/>
        <v/>
      </c>
      <c r="C460" t="str">
        <f t="shared" si="1"/>
        <v/>
      </c>
    </row>
    <row r="461">
      <c r="B461" s="92" t="str">
        <f t="shared" si="2"/>
        <v/>
      </c>
      <c r="C461" t="str">
        <f t="shared" si="1"/>
        <v/>
      </c>
    </row>
    <row r="462">
      <c r="B462" s="92" t="str">
        <f t="shared" si="2"/>
        <v/>
      </c>
      <c r="C462" t="str">
        <f t="shared" si="1"/>
        <v/>
      </c>
    </row>
    <row r="463">
      <c r="B463" s="92" t="str">
        <f t="shared" si="2"/>
        <v/>
      </c>
      <c r="C463" t="str">
        <f t="shared" si="1"/>
        <v/>
      </c>
    </row>
    <row r="464">
      <c r="B464" s="92" t="str">
        <f t="shared" si="2"/>
        <v/>
      </c>
      <c r="C464" t="str">
        <f t="shared" si="1"/>
        <v/>
      </c>
    </row>
    <row r="465">
      <c r="B465" s="92" t="str">
        <f t="shared" si="2"/>
        <v/>
      </c>
      <c r="C465" t="str">
        <f t="shared" si="1"/>
        <v/>
      </c>
    </row>
    <row r="466">
      <c r="B466" s="92" t="str">
        <f t="shared" si="2"/>
        <v/>
      </c>
      <c r="C466" t="str">
        <f t="shared" si="1"/>
        <v/>
      </c>
    </row>
    <row r="467">
      <c r="B467" s="92" t="str">
        <f t="shared" si="2"/>
        <v/>
      </c>
      <c r="C467" t="str">
        <f t="shared" si="1"/>
        <v/>
      </c>
    </row>
    <row r="468">
      <c r="B468" s="92" t="str">
        <f t="shared" si="2"/>
        <v/>
      </c>
      <c r="C468" t="str">
        <f t="shared" si="1"/>
        <v/>
      </c>
    </row>
    <row r="469">
      <c r="B469" s="92" t="str">
        <f t="shared" si="2"/>
        <v/>
      </c>
      <c r="C469" t="str">
        <f t="shared" si="1"/>
        <v/>
      </c>
    </row>
    <row r="470">
      <c r="B470" s="92" t="str">
        <f t="shared" si="2"/>
        <v/>
      </c>
      <c r="C470" t="str">
        <f t="shared" si="1"/>
        <v/>
      </c>
    </row>
    <row r="471">
      <c r="B471" s="92" t="str">
        <f t="shared" si="2"/>
        <v/>
      </c>
      <c r="C471" t="str">
        <f t="shared" si="1"/>
        <v/>
      </c>
    </row>
    <row r="472">
      <c r="B472" s="92" t="str">
        <f t="shared" si="2"/>
        <v/>
      </c>
      <c r="C472" t="str">
        <f t="shared" si="1"/>
        <v/>
      </c>
    </row>
    <row r="473">
      <c r="B473" s="92" t="str">
        <f t="shared" si="2"/>
        <v/>
      </c>
      <c r="C473" t="str">
        <f t="shared" si="1"/>
        <v/>
      </c>
    </row>
    <row r="474">
      <c r="B474" s="92" t="str">
        <f t="shared" si="2"/>
        <v/>
      </c>
      <c r="C474" t="str">
        <f t="shared" si="1"/>
        <v/>
      </c>
    </row>
    <row r="475">
      <c r="B475" s="92" t="str">
        <f t="shared" si="2"/>
        <v/>
      </c>
      <c r="C475" t="str">
        <f t="shared" si="1"/>
        <v/>
      </c>
    </row>
    <row r="476">
      <c r="B476" s="92" t="str">
        <f t="shared" si="2"/>
        <v/>
      </c>
      <c r="C476" t="str">
        <f t="shared" si="1"/>
        <v/>
      </c>
    </row>
    <row r="477">
      <c r="B477" s="92" t="str">
        <f t="shared" si="2"/>
        <v/>
      </c>
      <c r="C477" t="str">
        <f t="shared" si="1"/>
        <v/>
      </c>
    </row>
    <row r="478">
      <c r="B478" s="92" t="str">
        <f t="shared" si="2"/>
        <v/>
      </c>
      <c r="C478" t="str">
        <f t="shared" si="1"/>
        <v/>
      </c>
    </row>
    <row r="479">
      <c r="B479" s="92" t="str">
        <f t="shared" si="2"/>
        <v/>
      </c>
      <c r="C479" t="str">
        <f t="shared" si="1"/>
        <v/>
      </c>
    </row>
    <row r="480">
      <c r="B480" s="92" t="str">
        <f t="shared" si="2"/>
        <v/>
      </c>
      <c r="C480" t="str">
        <f t="shared" si="1"/>
        <v/>
      </c>
    </row>
    <row r="481">
      <c r="B481" s="92" t="str">
        <f t="shared" si="2"/>
        <v/>
      </c>
      <c r="C481" t="str">
        <f t="shared" si="1"/>
        <v/>
      </c>
    </row>
    <row r="482">
      <c r="B482" s="92" t="str">
        <f t="shared" si="2"/>
        <v/>
      </c>
      <c r="C482" t="str">
        <f t="shared" si="1"/>
        <v/>
      </c>
    </row>
    <row r="483">
      <c r="B483" s="92" t="str">
        <f t="shared" si="2"/>
        <v/>
      </c>
      <c r="C483" t="str">
        <f t="shared" si="1"/>
        <v/>
      </c>
    </row>
    <row r="484">
      <c r="B484" s="92" t="str">
        <f t="shared" si="2"/>
        <v/>
      </c>
      <c r="C484" t="str">
        <f t="shared" si="1"/>
        <v/>
      </c>
    </row>
    <row r="485">
      <c r="B485" s="92" t="str">
        <f t="shared" si="2"/>
        <v/>
      </c>
      <c r="C485" t="str">
        <f t="shared" si="1"/>
        <v/>
      </c>
    </row>
    <row r="486">
      <c r="B486" s="92" t="str">
        <f t="shared" si="2"/>
        <v/>
      </c>
      <c r="C486" t="str">
        <f t="shared" si="1"/>
        <v/>
      </c>
    </row>
    <row r="487">
      <c r="B487" s="92" t="str">
        <f t="shared" si="2"/>
        <v/>
      </c>
      <c r="C487" t="str">
        <f t="shared" si="1"/>
        <v/>
      </c>
    </row>
    <row r="488">
      <c r="B488" s="92" t="str">
        <f t="shared" si="2"/>
        <v/>
      </c>
      <c r="C488" t="str">
        <f t="shared" si="1"/>
        <v/>
      </c>
    </row>
    <row r="489">
      <c r="B489" s="92" t="str">
        <f t="shared" si="2"/>
        <v/>
      </c>
      <c r="C489" t="str">
        <f t="shared" si="1"/>
        <v/>
      </c>
    </row>
    <row r="490">
      <c r="B490" s="92" t="str">
        <f t="shared" si="2"/>
        <v/>
      </c>
      <c r="C490" t="str">
        <f t="shared" si="1"/>
        <v/>
      </c>
    </row>
    <row r="491">
      <c r="B491" s="92" t="str">
        <f t="shared" si="2"/>
        <v/>
      </c>
      <c r="C491" t="str">
        <f t="shared" si="1"/>
        <v/>
      </c>
    </row>
    <row r="492">
      <c r="B492" s="92" t="str">
        <f t="shared" si="2"/>
        <v/>
      </c>
      <c r="C492" t="str">
        <f t="shared" si="1"/>
        <v/>
      </c>
    </row>
    <row r="493">
      <c r="B493" s="92" t="str">
        <f t="shared" si="2"/>
        <v/>
      </c>
      <c r="C493" t="str">
        <f t="shared" si="1"/>
        <v/>
      </c>
    </row>
    <row r="494">
      <c r="B494" s="92" t="str">
        <f t="shared" si="2"/>
        <v/>
      </c>
      <c r="C494" t="str">
        <f t="shared" si="1"/>
        <v/>
      </c>
    </row>
    <row r="495">
      <c r="B495" s="92" t="str">
        <f t="shared" si="2"/>
        <v/>
      </c>
      <c r="C495" t="str">
        <f t="shared" si="1"/>
        <v/>
      </c>
    </row>
    <row r="496">
      <c r="B496" s="92" t="str">
        <f t="shared" si="2"/>
        <v/>
      </c>
      <c r="C496" t="str">
        <f t="shared" si="1"/>
        <v/>
      </c>
    </row>
    <row r="497">
      <c r="B497" s="92" t="str">
        <f t="shared" si="2"/>
        <v/>
      </c>
      <c r="C497" t="str">
        <f t="shared" si="1"/>
        <v/>
      </c>
    </row>
    <row r="498">
      <c r="B498" s="92" t="str">
        <f t="shared" si="2"/>
        <v/>
      </c>
      <c r="C498" t="str">
        <f t="shared" si="1"/>
        <v/>
      </c>
    </row>
    <row r="499">
      <c r="B499" s="92" t="str">
        <f t="shared" si="2"/>
        <v/>
      </c>
      <c r="C499" t="str">
        <f t="shared" si="1"/>
        <v/>
      </c>
    </row>
    <row r="500">
      <c r="B500" s="92" t="str">
        <f t="shared" si="2"/>
        <v/>
      </c>
      <c r="C500" t="str">
        <f t="shared" si="1"/>
        <v/>
      </c>
    </row>
    <row r="501">
      <c r="B501" s="92" t="str">
        <f t="shared" si="2"/>
        <v/>
      </c>
      <c r="C501" t="str">
        <f t="shared" si="1"/>
        <v/>
      </c>
    </row>
    <row r="502">
      <c r="B502" s="92" t="str">
        <f t="shared" si="2"/>
        <v/>
      </c>
      <c r="C502" t="str">
        <f t="shared" si="1"/>
        <v/>
      </c>
    </row>
    <row r="503">
      <c r="B503" s="92" t="str">
        <f t="shared" si="2"/>
        <v/>
      </c>
      <c r="C503" t="str">
        <f t="shared" si="1"/>
        <v/>
      </c>
    </row>
    <row r="504">
      <c r="B504" s="92" t="str">
        <f t="shared" si="2"/>
        <v/>
      </c>
      <c r="C504" t="str">
        <f t="shared" si="1"/>
        <v/>
      </c>
    </row>
    <row r="505">
      <c r="B505" s="92" t="str">
        <f t="shared" si="2"/>
        <v/>
      </c>
      <c r="C505" t="str">
        <f t="shared" si="1"/>
        <v/>
      </c>
    </row>
    <row r="506">
      <c r="B506" s="92" t="str">
        <f t="shared" si="2"/>
        <v/>
      </c>
      <c r="C506" t="str">
        <f t="shared" si="1"/>
        <v/>
      </c>
    </row>
    <row r="507">
      <c r="B507" s="92" t="str">
        <f t="shared" si="2"/>
        <v/>
      </c>
      <c r="C507" t="str">
        <f t="shared" si="1"/>
        <v/>
      </c>
    </row>
    <row r="508">
      <c r="B508" s="92" t="str">
        <f t="shared" si="2"/>
        <v/>
      </c>
      <c r="C508" t="str">
        <f t="shared" si="1"/>
        <v/>
      </c>
    </row>
    <row r="509">
      <c r="B509" s="92" t="str">
        <f t="shared" si="2"/>
        <v/>
      </c>
      <c r="C509" t="str">
        <f t="shared" si="1"/>
        <v/>
      </c>
    </row>
    <row r="510">
      <c r="B510" s="92" t="str">
        <f t="shared" si="2"/>
        <v/>
      </c>
      <c r="C510" t="str">
        <f t="shared" si="1"/>
        <v/>
      </c>
    </row>
    <row r="511">
      <c r="B511" s="92" t="str">
        <f t="shared" si="2"/>
        <v/>
      </c>
      <c r="C511" t="str">
        <f t="shared" si="1"/>
        <v/>
      </c>
    </row>
    <row r="512">
      <c r="B512" s="92" t="str">
        <f t="shared" si="2"/>
        <v/>
      </c>
      <c r="C512" t="str">
        <f t="shared" si="1"/>
        <v/>
      </c>
    </row>
    <row r="513">
      <c r="B513" s="92" t="str">
        <f t="shared" si="2"/>
        <v/>
      </c>
      <c r="C513" t="str">
        <f t="shared" si="1"/>
        <v/>
      </c>
    </row>
    <row r="514">
      <c r="B514" s="92" t="str">
        <f t="shared" si="2"/>
        <v/>
      </c>
      <c r="C514" t="str">
        <f t="shared" si="1"/>
        <v/>
      </c>
    </row>
    <row r="515">
      <c r="B515" s="92" t="str">
        <f t="shared" si="2"/>
        <v/>
      </c>
      <c r="C515" t="str">
        <f t="shared" si="1"/>
        <v/>
      </c>
    </row>
    <row r="516">
      <c r="B516" s="92" t="str">
        <f t="shared" si="2"/>
        <v/>
      </c>
      <c r="C516" t="str">
        <f t="shared" si="1"/>
        <v/>
      </c>
    </row>
    <row r="517">
      <c r="B517" s="92" t="str">
        <f t="shared" si="2"/>
        <v/>
      </c>
      <c r="C517" t="str">
        <f t="shared" si="1"/>
        <v/>
      </c>
    </row>
    <row r="518">
      <c r="B518" s="92" t="str">
        <f t="shared" si="2"/>
        <v/>
      </c>
      <c r="C518" t="str">
        <f t="shared" si="1"/>
        <v/>
      </c>
    </row>
    <row r="519">
      <c r="B519" s="92" t="str">
        <f t="shared" si="2"/>
        <v/>
      </c>
      <c r="C519" t="str">
        <f t="shared" si="1"/>
        <v/>
      </c>
    </row>
    <row r="520">
      <c r="B520" s="92" t="str">
        <f t="shared" si="2"/>
        <v/>
      </c>
      <c r="C520" t="str">
        <f t="shared" si="1"/>
        <v/>
      </c>
    </row>
    <row r="521">
      <c r="B521" s="92" t="str">
        <f t="shared" si="2"/>
        <v/>
      </c>
      <c r="C521" t="str">
        <f t="shared" si="1"/>
        <v/>
      </c>
    </row>
    <row r="522">
      <c r="B522" s="92" t="str">
        <f t="shared" si="2"/>
        <v/>
      </c>
      <c r="C522" t="str">
        <f t="shared" si="1"/>
        <v/>
      </c>
    </row>
    <row r="523">
      <c r="B523" s="92" t="str">
        <f t="shared" si="2"/>
        <v/>
      </c>
      <c r="C523" t="str">
        <f t="shared" si="1"/>
        <v/>
      </c>
    </row>
    <row r="524">
      <c r="B524" s="92" t="str">
        <f t="shared" si="2"/>
        <v/>
      </c>
      <c r="C524" t="str">
        <f t="shared" si="1"/>
        <v/>
      </c>
    </row>
    <row r="525">
      <c r="B525" s="92" t="str">
        <f t="shared" si="2"/>
        <v/>
      </c>
      <c r="C525" t="str">
        <f t="shared" si="1"/>
        <v/>
      </c>
    </row>
    <row r="526">
      <c r="B526" s="92" t="str">
        <f t="shared" si="2"/>
        <v/>
      </c>
      <c r="C526" t="str">
        <f t="shared" si="1"/>
        <v/>
      </c>
    </row>
    <row r="527">
      <c r="B527" s="92" t="str">
        <f t="shared" si="2"/>
        <v/>
      </c>
      <c r="C527" t="str">
        <f t="shared" si="1"/>
        <v/>
      </c>
    </row>
    <row r="528">
      <c r="B528" s="92" t="str">
        <f t="shared" si="2"/>
        <v/>
      </c>
      <c r="C528" t="str">
        <f t="shared" si="1"/>
        <v/>
      </c>
    </row>
    <row r="529">
      <c r="B529" s="92" t="str">
        <f t="shared" si="2"/>
        <v/>
      </c>
      <c r="C529" t="str">
        <f t="shared" si="1"/>
        <v/>
      </c>
    </row>
    <row r="530">
      <c r="B530" s="92" t="str">
        <f t="shared" si="2"/>
        <v/>
      </c>
      <c r="C530" t="str">
        <f t="shared" si="1"/>
        <v/>
      </c>
    </row>
    <row r="531">
      <c r="B531" s="92" t="str">
        <f t="shared" si="2"/>
        <v/>
      </c>
      <c r="C531" t="str">
        <f t="shared" si="1"/>
        <v/>
      </c>
    </row>
    <row r="532">
      <c r="B532" s="92" t="str">
        <f t="shared" si="2"/>
        <v/>
      </c>
      <c r="C532" t="str">
        <f t="shared" si="1"/>
        <v/>
      </c>
    </row>
    <row r="533">
      <c r="B533" s="92" t="str">
        <f t="shared" si="2"/>
        <v/>
      </c>
      <c r="C533" t="str">
        <f t="shared" si="1"/>
        <v/>
      </c>
    </row>
    <row r="534">
      <c r="B534" s="92" t="str">
        <f t="shared" si="2"/>
        <v/>
      </c>
      <c r="C534" t="str">
        <f t="shared" si="1"/>
        <v/>
      </c>
    </row>
    <row r="535">
      <c r="B535" s="92" t="str">
        <f t="shared" si="2"/>
        <v/>
      </c>
      <c r="C535" t="str">
        <f t="shared" si="1"/>
        <v/>
      </c>
    </row>
    <row r="536">
      <c r="B536" s="92" t="str">
        <f t="shared" si="2"/>
        <v/>
      </c>
      <c r="C536" t="str">
        <f t="shared" si="1"/>
        <v/>
      </c>
    </row>
    <row r="537">
      <c r="B537" s="92" t="str">
        <f t="shared" si="2"/>
        <v/>
      </c>
      <c r="C537" t="str">
        <f t="shared" si="1"/>
        <v/>
      </c>
    </row>
    <row r="538">
      <c r="B538" s="92" t="str">
        <f t="shared" si="2"/>
        <v/>
      </c>
      <c r="C538" t="str">
        <f t="shared" si="1"/>
        <v/>
      </c>
    </row>
    <row r="539">
      <c r="B539" s="92" t="str">
        <f t="shared" si="2"/>
        <v/>
      </c>
      <c r="C539" t="str">
        <f t="shared" si="1"/>
        <v/>
      </c>
    </row>
    <row r="540">
      <c r="B540" s="92" t="str">
        <f t="shared" si="2"/>
        <v/>
      </c>
      <c r="C540" t="str">
        <f t="shared" si="1"/>
        <v/>
      </c>
    </row>
    <row r="541">
      <c r="B541" s="92" t="str">
        <f t="shared" si="2"/>
        <v/>
      </c>
      <c r="C541" t="str">
        <f t="shared" si="1"/>
        <v/>
      </c>
    </row>
    <row r="542">
      <c r="B542" s="92" t="str">
        <f t="shared" si="2"/>
        <v/>
      </c>
      <c r="C542" t="str">
        <f t="shared" si="1"/>
        <v/>
      </c>
    </row>
    <row r="543">
      <c r="B543" s="92" t="str">
        <f t="shared" si="2"/>
        <v/>
      </c>
      <c r="C543" t="str">
        <f t="shared" si="1"/>
        <v/>
      </c>
    </row>
    <row r="544">
      <c r="B544" s="92" t="str">
        <f t="shared" si="2"/>
        <v/>
      </c>
      <c r="C544" t="str">
        <f t="shared" si="1"/>
        <v/>
      </c>
    </row>
    <row r="545">
      <c r="B545" s="92" t="str">
        <f t="shared" si="2"/>
        <v/>
      </c>
      <c r="C545" t="str">
        <f t="shared" si="1"/>
        <v/>
      </c>
    </row>
    <row r="546">
      <c r="B546" s="92" t="str">
        <f t="shared" si="2"/>
        <v/>
      </c>
      <c r="C546" t="str">
        <f t="shared" si="1"/>
        <v/>
      </c>
    </row>
    <row r="547">
      <c r="B547" s="92" t="str">
        <f t="shared" si="2"/>
        <v/>
      </c>
      <c r="C547" t="str">
        <f t="shared" si="1"/>
        <v/>
      </c>
    </row>
    <row r="548">
      <c r="B548" s="92" t="str">
        <f t="shared" si="2"/>
        <v/>
      </c>
      <c r="C548" t="str">
        <f t="shared" si="1"/>
        <v/>
      </c>
    </row>
    <row r="549">
      <c r="B549" s="92" t="str">
        <f t="shared" si="2"/>
        <v/>
      </c>
      <c r="C549" t="str">
        <f t="shared" si="1"/>
        <v/>
      </c>
    </row>
    <row r="550">
      <c r="B550" s="92" t="str">
        <f t="shared" si="2"/>
        <v/>
      </c>
      <c r="C550" t="str">
        <f t="shared" si="1"/>
        <v/>
      </c>
    </row>
    <row r="551">
      <c r="B551" s="92" t="str">
        <f t="shared" si="2"/>
        <v/>
      </c>
      <c r="C551" t="str">
        <f t="shared" si="1"/>
        <v/>
      </c>
    </row>
    <row r="552">
      <c r="B552" s="92" t="str">
        <f t="shared" si="2"/>
        <v/>
      </c>
      <c r="C552" t="str">
        <f t="shared" si="1"/>
        <v/>
      </c>
    </row>
    <row r="553">
      <c r="B553" s="92" t="str">
        <f t="shared" si="2"/>
        <v/>
      </c>
      <c r="C553" t="str">
        <f t="shared" si="1"/>
        <v/>
      </c>
    </row>
    <row r="554">
      <c r="B554" s="92" t="str">
        <f t="shared" si="2"/>
        <v/>
      </c>
      <c r="C554" t="str">
        <f t="shared" si="1"/>
        <v/>
      </c>
    </row>
    <row r="555">
      <c r="B555" s="92" t="str">
        <f t="shared" si="2"/>
        <v/>
      </c>
      <c r="C555" t="str">
        <f t="shared" si="1"/>
        <v/>
      </c>
    </row>
    <row r="556">
      <c r="B556" s="92" t="str">
        <f t="shared" si="2"/>
        <v/>
      </c>
      <c r="C556" t="str">
        <f t="shared" si="1"/>
        <v/>
      </c>
    </row>
    <row r="557">
      <c r="B557" s="92" t="str">
        <f t="shared" si="2"/>
        <v/>
      </c>
      <c r="C557" t="str">
        <f t="shared" si="1"/>
        <v/>
      </c>
    </row>
    <row r="558">
      <c r="B558" s="92" t="str">
        <f t="shared" si="2"/>
        <v/>
      </c>
      <c r="C558" t="str">
        <f t="shared" si="1"/>
        <v/>
      </c>
    </row>
    <row r="559">
      <c r="B559" s="92" t="str">
        <f t="shared" si="2"/>
        <v/>
      </c>
      <c r="C559" t="str">
        <f t="shared" si="1"/>
        <v/>
      </c>
    </row>
    <row r="560">
      <c r="B560" s="92" t="str">
        <f t="shared" si="2"/>
        <v/>
      </c>
      <c r="C560" t="str">
        <f t="shared" si="1"/>
        <v/>
      </c>
    </row>
    <row r="561">
      <c r="B561" s="92" t="str">
        <f t="shared" si="2"/>
        <v/>
      </c>
      <c r="C561" t="str">
        <f t="shared" si="1"/>
        <v/>
      </c>
    </row>
    <row r="562">
      <c r="B562" s="92" t="str">
        <f t="shared" si="2"/>
        <v/>
      </c>
      <c r="C562" t="str">
        <f t="shared" si="1"/>
        <v/>
      </c>
    </row>
    <row r="563">
      <c r="B563" s="92" t="str">
        <f t="shared" si="2"/>
        <v/>
      </c>
      <c r="C563" t="str">
        <f t="shared" si="1"/>
        <v/>
      </c>
    </row>
    <row r="564">
      <c r="B564" s="92" t="str">
        <f t="shared" si="2"/>
        <v/>
      </c>
      <c r="C564" t="str">
        <f t="shared" si="1"/>
        <v/>
      </c>
    </row>
    <row r="565">
      <c r="B565" s="92" t="str">
        <f t="shared" si="2"/>
        <v/>
      </c>
      <c r="C565" t="str">
        <f t="shared" si="1"/>
        <v/>
      </c>
    </row>
    <row r="566">
      <c r="B566" s="92" t="str">
        <f t="shared" si="2"/>
        <v/>
      </c>
      <c r="C566" t="str">
        <f t="shared" si="1"/>
        <v/>
      </c>
    </row>
    <row r="567">
      <c r="B567" s="92" t="str">
        <f t="shared" si="2"/>
        <v/>
      </c>
      <c r="C567" t="str">
        <f t="shared" si="1"/>
        <v/>
      </c>
    </row>
    <row r="568">
      <c r="B568" s="92" t="str">
        <f t="shared" si="2"/>
        <v/>
      </c>
      <c r="C568" t="str">
        <f t="shared" si="1"/>
        <v/>
      </c>
    </row>
    <row r="569">
      <c r="B569" s="92" t="str">
        <f t="shared" si="2"/>
        <v/>
      </c>
      <c r="C569" t="str">
        <f t="shared" si="1"/>
        <v/>
      </c>
    </row>
    <row r="570">
      <c r="B570" s="92" t="str">
        <f t="shared" si="2"/>
        <v/>
      </c>
      <c r="C570" t="str">
        <f t="shared" si="1"/>
        <v/>
      </c>
    </row>
    <row r="571">
      <c r="B571" s="92" t="str">
        <f t="shared" si="2"/>
        <v/>
      </c>
      <c r="C571" t="str">
        <f t="shared" si="1"/>
        <v/>
      </c>
    </row>
    <row r="572">
      <c r="B572" s="92" t="str">
        <f t="shared" si="2"/>
        <v/>
      </c>
      <c r="C572" t="str">
        <f t="shared" si="1"/>
        <v/>
      </c>
    </row>
    <row r="573">
      <c r="B573" s="92" t="str">
        <f t="shared" si="2"/>
        <v/>
      </c>
      <c r="C573" t="str">
        <f t="shared" si="1"/>
        <v/>
      </c>
    </row>
    <row r="574">
      <c r="B574" s="92" t="str">
        <f t="shared" si="2"/>
        <v/>
      </c>
      <c r="C574" t="str">
        <f t="shared" si="1"/>
        <v/>
      </c>
    </row>
    <row r="575">
      <c r="B575" s="92" t="str">
        <f t="shared" si="2"/>
        <v/>
      </c>
      <c r="C575" t="str">
        <f t="shared" si="1"/>
        <v/>
      </c>
    </row>
    <row r="576">
      <c r="B576" s="92" t="str">
        <f t="shared" si="2"/>
        <v/>
      </c>
      <c r="C576" t="str">
        <f t="shared" si="1"/>
        <v/>
      </c>
    </row>
    <row r="577">
      <c r="B577" s="92" t="str">
        <f t="shared" si="2"/>
        <v/>
      </c>
      <c r="C577" t="str">
        <f t="shared" si="1"/>
        <v/>
      </c>
    </row>
    <row r="578">
      <c r="B578" s="92" t="str">
        <f t="shared" si="2"/>
        <v/>
      </c>
      <c r="C578" t="str">
        <f t="shared" si="1"/>
        <v/>
      </c>
    </row>
    <row r="579">
      <c r="B579" s="92" t="str">
        <f t="shared" si="2"/>
        <v/>
      </c>
      <c r="C579" t="str">
        <f t="shared" si="1"/>
        <v/>
      </c>
    </row>
    <row r="580">
      <c r="B580" s="92" t="str">
        <f t="shared" si="2"/>
        <v/>
      </c>
      <c r="C580" t="str">
        <f t="shared" si="1"/>
        <v/>
      </c>
    </row>
    <row r="581">
      <c r="B581" s="92" t="str">
        <f t="shared" si="2"/>
        <v/>
      </c>
      <c r="C581" t="str">
        <f t="shared" si="1"/>
        <v/>
      </c>
    </row>
    <row r="582">
      <c r="B582" s="92" t="str">
        <f t="shared" si="2"/>
        <v/>
      </c>
      <c r="C582" t="str">
        <f t="shared" si="1"/>
        <v/>
      </c>
    </row>
    <row r="583">
      <c r="B583" s="92" t="str">
        <f t="shared" si="2"/>
        <v/>
      </c>
      <c r="C583" t="str">
        <f t="shared" si="1"/>
        <v/>
      </c>
    </row>
    <row r="584">
      <c r="B584" s="92" t="str">
        <f t="shared" si="2"/>
        <v/>
      </c>
      <c r="C584" t="str">
        <f t="shared" si="1"/>
        <v/>
      </c>
    </row>
    <row r="585">
      <c r="B585" s="92" t="str">
        <f t="shared" si="2"/>
        <v/>
      </c>
      <c r="C585" t="str">
        <f t="shared" si="1"/>
        <v/>
      </c>
    </row>
    <row r="586">
      <c r="B586" s="92" t="str">
        <f t="shared" si="2"/>
        <v/>
      </c>
      <c r="C586" t="str">
        <f t="shared" si="1"/>
        <v/>
      </c>
    </row>
    <row r="587">
      <c r="B587" s="92" t="str">
        <f t="shared" si="2"/>
        <v/>
      </c>
      <c r="C587" t="str">
        <f t="shared" si="1"/>
        <v/>
      </c>
    </row>
    <row r="588">
      <c r="B588" s="92" t="str">
        <f t="shared" si="2"/>
        <v/>
      </c>
      <c r="C588" t="str">
        <f t="shared" si="1"/>
        <v/>
      </c>
    </row>
    <row r="589">
      <c r="B589" s="92" t="str">
        <f t="shared" si="2"/>
        <v/>
      </c>
      <c r="C589" t="str">
        <f t="shared" si="1"/>
        <v/>
      </c>
    </row>
    <row r="590">
      <c r="B590" s="92" t="str">
        <f t="shared" si="2"/>
        <v/>
      </c>
      <c r="C590" t="str">
        <f t="shared" si="1"/>
        <v/>
      </c>
    </row>
    <row r="591">
      <c r="B591" s="92" t="str">
        <f t="shared" si="2"/>
        <v/>
      </c>
      <c r="C591" t="str">
        <f t="shared" si="1"/>
        <v/>
      </c>
    </row>
    <row r="592">
      <c r="B592" s="92" t="str">
        <f t="shared" si="2"/>
        <v/>
      </c>
      <c r="C592" t="str">
        <f t="shared" si="1"/>
        <v/>
      </c>
    </row>
    <row r="593">
      <c r="B593" s="92" t="str">
        <f t="shared" si="2"/>
        <v/>
      </c>
      <c r="C593" t="str">
        <f t="shared" si="1"/>
        <v/>
      </c>
    </row>
    <row r="594">
      <c r="B594" s="92" t="str">
        <f t="shared" si="2"/>
        <v/>
      </c>
      <c r="C594" t="str">
        <f t="shared" si="1"/>
        <v/>
      </c>
    </row>
    <row r="595">
      <c r="B595" s="92" t="str">
        <f t="shared" si="2"/>
        <v/>
      </c>
      <c r="C595" t="str">
        <f t="shared" si="1"/>
        <v/>
      </c>
    </row>
    <row r="596">
      <c r="B596" s="92" t="str">
        <f t="shared" si="2"/>
        <v/>
      </c>
      <c r="C596" t="str">
        <f t="shared" si="1"/>
        <v/>
      </c>
    </row>
    <row r="597">
      <c r="B597" s="92" t="str">
        <f t="shared" si="2"/>
        <v/>
      </c>
      <c r="C597" t="str">
        <f t="shared" si="1"/>
        <v/>
      </c>
    </row>
    <row r="598">
      <c r="B598" s="92" t="str">
        <f t="shared" si="2"/>
        <v/>
      </c>
      <c r="C598" t="str">
        <f t="shared" si="1"/>
        <v/>
      </c>
    </row>
    <row r="599">
      <c r="B599" s="92" t="str">
        <f t="shared" si="2"/>
        <v/>
      </c>
      <c r="C599" t="str">
        <f t="shared" si="1"/>
        <v/>
      </c>
    </row>
    <row r="600">
      <c r="B600" s="92" t="str">
        <f t="shared" si="2"/>
        <v/>
      </c>
      <c r="C600" t="str">
        <f t="shared" si="1"/>
        <v/>
      </c>
    </row>
    <row r="601">
      <c r="B601" s="92" t="str">
        <f t="shared" si="2"/>
        <v/>
      </c>
      <c r="C601" t="str">
        <f t="shared" si="1"/>
        <v/>
      </c>
    </row>
    <row r="602">
      <c r="B602" s="92" t="str">
        <f t="shared" si="2"/>
        <v/>
      </c>
      <c r="C602" t="str">
        <f t="shared" si="1"/>
        <v/>
      </c>
    </row>
    <row r="603">
      <c r="B603" s="92" t="str">
        <f t="shared" si="2"/>
        <v/>
      </c>
      <c r="C603" t="str">
        <f t="shared" si="1"/>
        <v/>
      </c>
    </row>
    <row r="604">
      <c r="B604" s="92" t="str">
        <f t="shared" si="2"/>
        <v/>
      </c>
      <c r="C604" t="str">
        <f t="shared" si="1"/>
        <v/>
      </c>
    </row>
    <row r="605">
      <c r="B605" s="92" t="str">
        <f t="shared" si="2"/>
        <v/>
      </c>
      <c r="C605" t="str">
        <f t="shared" si="1"/>
        <v/>
      </c>
    </row>
    <row r="606">
      <c r="B606" s="92" t="str">
        <f t="shared" si="2"/>
        <v/>
      </c>
      <c r="C606" t="str">
        <f t="shared" si="1"/>
        <v/>
      </c>
    </row>
    <row r="607">
      <c r="B607" s="92" t="str">
        <f t="shared" si="2"/>
        <v/>
      </c>
      <c r="C607" t="str">
        <f t="shared" si="1"/>
        <v/>
      </c>
    </row>
    <row r="608">
      <c r="B608" s="92" t="str">
        <f t="shared" si="2"/>
        <v/>
      </c>
      <c r="C608" t="str">
        <f t="shared" si="1"/>
        <v/>
      </c>
    </row>
    <row r="609">
      <c r="B609" s="92" t="str">
        <f t="shared" si="2"/>
        <v/>
      </c>
      <c r="C609" t="str">
        <f t="shared" si="1"/>
        <v/>
      </c>
    </row>
    <row r="610">
      <c r="B610" s="92" t="str">
        <f t="shared" si="2"/>
        <v/>
      </c>
      <c r="C610" t="str">
        <f t="shared" si="1"/>
        <v/>
      </c>
    </row>
    <row r="611">
      <c r="B611" s="92" t="str">
        <f t="shared" si="2"/>
        <v/>
      </c>
      <c r="C611" t="str">
        <f t="shared" si="1"/>
        <v/>
      </c>
    </row>
    <row r="612">
      <c r="B612" s="92" t="str">
        <f t="shared" si="2"/>
        <v/>
      </c>
      <c r="C612" t="str">
        <f t="shared" si="1"/>
        <v/>
      </c>
    </row>
    <row r="613">
      <c r="B613" s="92" t="str">
        <f t="shared" si="2"/>
        <v/>
      </c>
      <c r="C613" t="str">
        <f t="shared" si="1"/>
        <v/>
      </c>
    </row>
    <row r="614">
      <c r="B614" s="92" t="str">
        <f t="shared" si="2"/>
        <v/>
      </c>
      <c r="C614" t="str">
        <f t="shared" si="1"/>
        <v/>
      </c>
    </row>
    <row r="615">
      <c r="B615" s="92" t="str">
        <f t="shared" si="2"/>
        <v/>
      </c>
      <c r="C615" t="str">
        <f t="shared" si="1"/>
        <v/>
      </c>
    </row>
    <row r="616">
      <c r="B616" s="92" t="str">
        <f t="shared" si="2"/>
        <v/>
      </c>
      <c r="C616" t="str">
        <f t="shared" si="1"/>
        <v/>
      </c>
    </row>
    <row r="617">
      <c r="B617" s="92" t="str">
        <f t="shared" si="2"/>
        <v/>
      </c>
      <c r="C617" t="str">
        <f t="shared" si="1"/>
        <v/>
      </c>
    </row>
    <row r="618">
      <c r="B618" s="92" t="str">
        <f t="shared" si="2"/>
        <v/>
      </c>
      <c r="C618" t="str">
        <f t="shared" si="1"/>
        <v/>
      </c>
    </row>
    <row r="619">
      <c r="B619" s="92" t="str">
        <f t="shared" si="2"/>
        <v/>
      </c>
      <c r="C619" t="str">
        <f t="shared" si="1"/>
        <v/>
      </c>
    </row>
    <row r="620">
      <c r="B620" s="92" t="str">
        <f t="shared" si="2"/>
        <v/>
      </c>
      <c r="C620" t="str">
        <f t="shared" si="1"/>
        <v/>
      </c>
    </row>
    <row r="621">
      <c r="B621" s="92" t="str">
        <f t="shared" si="2"/>
        <v/>
      </c>
      <c r="C621" t="str">
        <f t="shared" si="1"/>
        <v/>
      </c>
    </row>
    <row r="622">
      <c r="B622" s="92" t="str">
        <f t="shared" si="2"/>
        <v/>
      </c>
      <c r="C622" t="str">
        <f t="shared" si="1"/>
        <v/>
      </c>
    </row>
    <row r="623">
      <c r="B623" s="92" t="str">
        <f t="shared" si="2"/>
        <v/>
      </c>
      <c r="C623" t="str">
        <f t="shared" si="1"/>
        <v/>
      </c>
    </row>
    <row r="624">
      <c r="B624" s="92" t="str">
        <f t="shared" si="2"/>
        <v/>
      </c>
      <c r="C624" t="str">
        <f t="shared" si="1"/>
        <v/>
      </c>
    </row>
    <row r="625">
      <c r="B625" s="92" t="str">
        <f t="shared" si="2"/>
        <v/>
      </c>
      <c r="C625" t="str">
        <f t="shared" si="1"/>
        <v/>
      </c>
    </row>
    <row r="626">
      <c r="B626" s="92" t="str">
        <f t="shared" si="2"/>
        <v/>
      </c>
      <c r="C626" t="str">
        <f t="shared" si="1"/>
        <v/>
      </c>
    </row>
    <row r="627">
      <c r="B627" s="92" t="str">
        <f t="shared" si="2"/>
        <v/>
      </c>
      <c r="C627" t="str">
        <f t="shared" si="1"/>
        <v/>
      </c>
    </row>
    <row r="628">
      <c r="B628" s="92" t="str">
        <f t="shared" si="2"/>
        <v/>
      </c>
      <c r="C628" t="str">
        <f t="shared" si="1"/>
        <v/>
      </c>
    </row>
    <row r="629">
      <c r="B629" s="92" t="str">
        <f t="shared" si="2"/>
        <v/>
      </c>
      <c r="C629" t="str">
        <f t="shared" si="1"/>
        <v/>
      </c>
    </row>
    <row r="630">
      <c r="B630" s="92" t="str">
        <f t="shared" si="2"/>
        <v/>
      </c>
      <c r="C630" t="str">
        <f t="shared" si="1"/>
        <v/>
      </c>
    </row>
    <row r="631">
      <c r="B631" s="92" t="str">
        <f t="shared" si="2"/>
        <v/>
      </c>
      <c r="C631" t="str">
        <f t="shared" si="1"/>
        <v/>
      </c>
    </row>
    <row r="632">
      <c r="B632" s="92" t="str">
        <f t="shared" si="2"/>
        <v/>
      </c>
      <c r="C632" t="str">
        <f t="shared" si="1"/>
        <v/>
      </c>
    </row>
    <row r="633">
      <c r="B633" s="92" t="str">
        <f t="shared" si="2"/>
        <v/>
      </c>
      <c r="C633" t="str">
        <f t="shared" si="1"/>
        <v/>
      </c>
    </row>
    <row r="634">
      <c r="B634" s="92" t="str">
        <f t="shared" si="2"/>
        <v/>
      </c>
      <c r="C634" t="str">
        <f t="shared" si="1"/>
        <v/>
      </c>
    </row>
    <row r="635">
      <c r="B635" s="92" t="str">
        <f t="shared" si="2"/>
        <v/>
      </c>
      <c r="C635" t="str">
        <f t="shared" si="1"/>
        <v/>
      </c>
    </row>
    <row r="636">
      <c r="B636" s="92" t="str">
        <f t="shared" si="2"/>
        <v/>
      </c>
      <c r="C636" t="str">
        <f t="shared" si="1"/>
        <v/>
      </c>
    </row>
    <row r="637">
      <c r="B637" s="92" t="str">
        <f t="shared" si="2"/>
        <v/>
      </c>
      <c r="C637" t="str">
        <f t="shared" si="1"/>
        <v/>
      </c>
    </row>
    <row r="638">
      <c r="B638" s="92" t="str">
        <f t="shared" si="2"/>
        <v/>
      </c>
      <c r="C638" t="str">
        <f t="shared" si="1"/>
        <v/>
      </c>
    </row>
    <row r="639">
      <c r="B639" s="92" t="str">
        <f t="shared" si="2"/>
        <v/>
      </c>
      <c r="C639" t="str">
        <f t="shared" si="1"/>
        <v/>
      </c>
    </row>
    <row r="640">
      <c r="B640" s="92" t="str">
        <f t="shared" si="2"/>
        <v/>
      </c>
      <c r="C640" t="str">
        <f t="shared" si="1"/>
        <v/>
      </c>
    </row>
    <row r="641">
      <c r="B641" s="92" t="str">
        <f t="shared" si="2"/>
        <v/>
      </c>
      <c r="C641" t="str">
        <f t="shared" si="1"/>
        <v/>
      </c>
    </row>
    <row r="642">
      <c r="B642" s="92" t="str">
        <f t="shared" si="2"/>
        <v/>
      </c>
      <c r="C642" t="str">
        <f t="shared" si="1"/>
        <v/>
      </c>
    </row>
    <row r="643">
      <c r="B643" s="92" t="str">
        <f t="shared" si="2"/>
        <v/>
      </c>
      <c r="C643" t="str">
        <f t="shared" si="1"/>
        <v/>
      </c>
    </row>
    <row r="644">
      <c r="B644" s="92" t="str">
        <f t="shared" si="2"/>
        <v/>
      </c>
      <c r="C644" t="str">
        <f t="shared" si="1"/>
        <v/>
      </c>
    </row>
    <row r="645">
      <c r="B645" s="92" t="str">
        <f t="shared" si="2"/>
        <v/>
      </c>
      <c r="C645" t="str">
        <f t="shared" si="1"/>
        <v/>
      </c>
    </row>
    <row r="646">
      <c r="B646" s="92" t="str">
        <f t="shared" si="2"/>
        <v/>
      </c>
      <c r="C646" t="str">
        <f t="shared" si="1"/>
        <v/>
      </c>
    </row>
    <row r="647">
      <c r="B647" s="92" t="str">
        <f t="shared" si="2"/>
        <v/>
      </c>
      <c r="C647" t="str">
        <f t="shared" si="1"/>
        <v/>
      </c>
    </row>
    <row r="648">
      <c r="B648" s="92" t="str">
        <f t="shared" si="2"/>
        <v/>
      </c>
      <c r="C648" t="str">
        <f t="shared" si="1"/>
        <v/>
      </c>
    </row>
    <row r="649">
      <c r="B649" s="92" t="str">
        <f t="shared" si="2"/>
        <v/>
      </c>
      <c r="C649" t="str">
        <f t="shared" si="1"/>
        <v/>
      </c>
    </row>
    <row r="650">
      <c r="B650" s="92" t="str">
        <f t="shared" si="2"/>
        <v/>
      </c>
      <c r="C650" t="str">
        <f t="shared" si="1"/>
        <v/>
      </c>
    </row>
    <row r="651">
      <c r="B651" s="92" t="str">
        <f t="shared" si="2"/>
        <v/>
      </c>
      <c r="C651" t="str">
        <f t="shared" si="1"/>
        <v/>
      </c>
    </row>
    <row r="652">
      <c r="B652" s="92" t="str">
        <f t="shared" si="2"/>
        <v/>
      </c>
      <c r="C652" t="str">
        <f t="shared" si="1"/>
        <v/>
      </c>
    </row>
    <row r="653">
      <c r="B653" s="92" t="str">
        <f t="shared" si="2"/>
        <v/>
      </c>
      <c r="C653" t="str">
        <f t="shared" si="1"/>
        <v/>
      </c>
    </row>
    <row r="654">
      <c r="B654" s="92" t="str">
        <f t="shared" si="2"/>
        <v/>
      </c>
      <c r="C654" t="str">
        <f t="shared" si="1"/>
        <v/>
      </c>
    </row>
    <row r="655">
      <c r="B655" s="92" t="str">
        <f t="shared" si="2"/>
        <v/>
      </c>
      <c r="C655" t="str">
        <f t="shared" si="1"/>
        <v/>
      </c>
    </row>
    <row r="656">
      <c r="B656" s="92" t="str">
        <f t="shared" si="2"/>
        <v/>
      </c>
      <c r="C656" t="str">
        <f t="shared" si="1"/>
        <v/>
      </c>
    </row>
    <row r="657">
      <c r="B657" s="92" t="str">
        <f t="shared" si="2"/>
        <v/>
      </c>
      <c r="C657" t="str">
        <f t="shared" si="1"/>
        <v/>
      </c>
    </row>
    <row r="658">
      <c r="B658" s="92" t="str">
        <f t="shared" si="2"/>
        <v/>
      </c>
      <c r="C658" t="str">
        <f t="shared" si="1"/>
        <v/>
      </c>
    </row>
    <row r="659">
      <c r="B659" s="92" t="str">
        <f t="shared" si="2"/>
        <v/>
      </c>
      <c r="C659" t="str">
        <f t="shared" si="1"/>
        <v/>
      </c>
    </row>
    <row r="660">
      <c r="B660" s="92" t="str">
        <f t="shared" si="2"/>
        <v/>
      </c>
      <c r="C660" t="str">
        <f t="shared" si="1"/>
        <v/>
      </c>
    </row>
    <row r="661">
      <c r="B661" s="92" t="str">
        <f t="shared" si="2"/>
        <v/>
      </c>
      <c r="C661" t="str">
        <f t="shared" si="1"/>
        <v/>
      </c>
    </row>
    <row r="662">
      <c r="B662" s="92" t="str">
        <f t="shared" si="2"/>
        <v/>
      </c>
      <c r="C662" t="str">
        <f t="shared" si="1"/>
        <v/>
      </c>
    </row>
    <row r="663">
      <c r="B663" s="92" t="str">
        <f t="shared" si="2"/>
        <v/>
      </c>
      <c r="C663" t="str">
        <f t="shared" si="1"/>
        <v/>
      </c>
    </row>
    <row r="664">
      <c r="B664" s="92" t="str">
        <f t="shared" si="2"/>
        <v/>
      </c>
      <c r="C664" t="str">
        <f t="shared" si="1"/>
        <v/>
      </c>
    </row>
    <row r="665">
      <c r="B665" s="92" t="str">
        <f t="shared" si="2"/>
        <v/>
      </c>
      <c r="C665" t="str">
        <f t="shared" si="1"/>
        <v/>
      </c>
    </row>
    <row r="666">
      <c r="B666" s="92" t="str">
        <f t="shared" si="2"/>
        <v/>
      </c>
      <c r="C666" t="str">
        <f t="shared" si="1"/>
        <v/>
      </c>
    </row>
    <row r="667">
      <c r="B667" s="92" t="str">
        <f t="shared" si="2"/>
        <v/>
      </c>
      <c r="C667" t="str">
        <f t="shared" si="1"/>
        <v/>
      </c>
    </row>
    <row r="668">
      <c r="B668" s="92" t="str">
        <f t="shared" si="2"/>
        <v/>
      </c>
      <c r="C668" t="str">
        <f t="shared" si="1"/>
        <v/>
      </c>
    </row>
    <row r="669">
      <c r="B669" s="92" t="str">
        <f t="shared" si="2"/>
        <v/>
      </c>
      <c r="C669" t="str">
        <f t="shared" si="1"/>
        <v/>
      </c>
    </row>
    <row r="670">
      <c r="B670" s="92" t="str">
        <f t="shared" si="2"/>
        <v/>
      </c>
      <c r="C670" t="str">
        <f t="shared" si="1"/>
        <v/>
      </c>
    </row>
    <row r="671">
      <c r="B671" s="92" t="str">
        <f t="shared" si="2"/>
        <v/>
      </c>
      <c r="C671" t="str">
        <f t="shared" si="1"/>
        <v/>
      </c>
    </row>
    <row r="672">
      <c r="B672" s="92" t="str">
        <f t="shared" si="2"/>
        <v/>
      </c>
      <c r="C672" t="str">
        <f t="shared" si="1"/>
        <v/>
      </c>
    </row>
    <row r="673">
      <c r="B673" s="92" t="str">
        <f t="shared" si="2"/>
        <v/>
      </c>
      <c r="C673" t="str">
        <f t="shared" si="1"/>
        <v/>
      </c>
    </row>
    <row r="674">
      <c r="B674" s="92" t="str">
        <f t="shared" si="2"/>
        <v/>
      </c>
      <c r="C674" t="str">
        <f t="shared" si="1"/>
        <v/>
      </c>
    </row>
    <row r="675">
      <c r="B675" s="92" t="str">
        <f t="shared" si="2"/>
        <v/>
      </c>
      <c r="C675" t="str">
        <f t="shared" si="1"/>
        <v/>
      </c>
    </row>
    <row r="676">
      <c r="B676" s="92" t="str">
        <f t="shared" si="2"/>
        <v/>
      </c>
      <c r="C676" t="str">
        <f t="shared" si="1"/>
        <v/>
      </c>
    </row>
    <row r="677">
      <c r="B677" s="92" t="str">
        <f t="shared" si="2"/>
        <v/>
      </c>
      <c r="C677" t="str">
        <f t="shared" si="1"/>
        <v/>
      </c>
    </row>
    <row r="678">
      <c r="B678" s="92" t="str">
        <f t="shared" si="2"/>
        <v/>
      </c>
      <c r="C678" t="str">
        <f t="shared" si="1"/>
        <v/>
      </c>
    </row>
    <row r="679">
      <c r="B679" s="92" t="str">
        <f t="shared" si="2"/>
        <v/>
      </c>
      <c r="C679" t="str">
        <f t="shared" si="1"/>
        <v/>
      </c>
    </row>
    <row r="680">
      <c r="B680" s="92" t="str">
        <f t="shared" si="2"/>
        <v/>
      </c>
      <c r="C680" t="str">
        <f t="shared" si="1"/>
        <v/>
      </c>
    </row>
    <row r="681">
      <c r="B681" s="92" t="str">
        <f t="shared" si="2"/>
        <v/>
      </c>
      <c r="C681" t="str">
        <f t="shared" si="1"/>
        <v/>
      </c>
    </row>
    <row r="682">
      <c r="B682" s="92" t="str">
        <f t="shared" si="2"/>
        <v/>
      </c>
      <c r="C682" t="str">
        <f t="shared" si="1"/>
        <v/>
      </c>
    </row>
    <row r="683">
      <c r="B683" s="92" t="str">
        <f t="shared" si="2"/>
        <v/>
      </c>
      <c r="C683" t="str">
        <f t="shared" si="1"/>
        <v/>
      </c>
    </row>
    <row r="684">
      <c r="B684" s="92" t="str">
        <f t="shared" si="2"/>
        <v/>
      </c>
      <c r="C684" t="str">
        <f t="shared" si="1"/>
        <v/>
      </c>
    </row>
    <row r="685">
      <c r="B685" s="92" t="str">
        <f t="shared" si="2"/>
        <v/>
      </c>
      <c r="C685" t="str">
        <f t="shared" si="1"/>
        <v/>
      </c>
    </row>
    <row r="686">
      <c r="B686" s="92" t="str">
        <f t="shared" si="2"/>
        <v/>
      </c>
      <c r="C686" t="str">
        <f t="shared" si="1"/>
        <v/>
      </c>
    </row>
    <row r="687">
      <c r="B687" s="92" t="str">
        <f t="shared" si="2"/>
        <v/>
      </c>
      <c r="C687" t="str">
        <f t="shared" si="1"/>
        <v/>
      </c>
    </row>
    <row r="688">
      <c r="B688" s="92" t="str">
        <f t="shared" si="2"/>
        <v/>
      </c>
      <c r="C688" t="str">
        <f t="shared" si="1"/>
        <v/>
      </c>
    </row>
    <row r="689">
      <c r="B689" s="92" t="str">
        <f t="shared" si="2"/>
        <v/>
      </c>
      <c r="C689" t="str">
        <f t="shared" si="1"/>
        <v/>
      </c>
    </row>
    <row r="690">
      <c r="B690" s="92" t="str">
        <f t="shared" si="2"/>
        <v/>
      </c>
      <c r="C690" t="str">
        <f t="shared" si="1"/>
        <v/>
      </c>
    </row>
    <row r="691">
      <c r="B691" s="92" t="str">
        <f t="shared" si="2"/>
        <v/>
      </c>
      <c r="C691" t="str">
        <f t="shared" si="1"/>
        <v/>
      </c>
    </row>
    <row r="692">
      <c r="B692" s="92" t="str">
        <f t="shared" si="2"/>
        <v/>
      </c>
      <c r="C692" t="str">
        <f t="shared" si="1"/>
        <v/>
      </c>
    </row>
    <row r="693">
      <c r="B693" s="92" t="str">
        <f t="shared" si="2"/>
        <v/>
      </c>
      <c r="C693" t="str">
        <f t="shared" si="1"/>
        <v/>
      </c>
    </row>
    <row r="694">
      <c r="B694" s="92" t="str">
        <f t="shared" si="2"/>
        <v/>
      </c>
      <c r="C694" t="str">
        <f t="shared" si="1"/>
        <v/>
      </c>
    </row>
    <row r="695">
      <c r="B695" s="92" t="str">
        <f t="shared" si="2"/>
        <v/>
      </c>
      <c r="C695" t="str">
        <f t="shared" si="1"/>
        <v/>
      </c>
    </row>
    <row r="696">
      <c r="B696" s="92" t="str">
        <f t="shared" si="2"/>
        <v/>
      </c>
      <c r="C696" t="str">
        <f t="shared" si="1"/>
        <v/>
      </c>
    </row>
    <row r="697">
      <c r="B697" s="92" t="str">
        <f t="shared" si="2"/>
        <v/>
      </c>
      <c r="C697" t="str">
        <f t="shared" si="1"/>
        <v/>
      </c>
    </row>
    <row r="698">
      <c r="B698" s="92" t="str">
        <f t="shared" si="2"/>
        <v/>
      </c>
      <c r="C698" t="str">
        <f t="shared" si="1"/>
        <v/>
      </c>
    </row>
    <row r="699">
      <c r="B699" s="92" t="str">
        <f t="shared" si="2"/>
        <v/>
      </c>
      <c r="C699" t="str">
        <f t="shared" si="1"/>
        <v/>
      </c>
    </row>
    <row r="700">
      <c r="B700" s="92" t="str">
        <f t="shared" si="2"/>
        <v/>
      </c>
      <c r="C700" t="str">
        <f t="shared" si="1"/>
        <v/>
      </c>
    </row>
    <row r="701">
      <c r="B701" s="92" t="str">
        <f t="shared" si="2"/>
        <v/>
      </c>
      <c r="C701" t="str">
        <f t="shared" si="1"/>
        <v/>
      </c>
    </row>
    <row r="702">
      <c r="B702" s="92" t="str">
        <f t="shared" si="2"/>
        <v/>
      </c>
      <c r="C702" t="str">
        <f t="shared" si="1"/>
        <v/>
      </c>
    </row>
    <row r="703">
      <c r="B703" s="92" t="str">
        <f t="shared" si="2"/>
        <v/>
      </c>
      <c r="C703" t="str">
        <f t="shared" si="1"/>
        <v/>
      </c>
    </row>
    <row r="704">
      <c r="B704" s="92" t="str">
        <f t="shared" si="2"/>
        <v/>
      </c>
      <c r="C704" t="str">
        <f t="shared" si="1"/>
        <v/>
      </c>
    </row>
    <row r="705">
      <c r="B705" s="92" t="str">
        <f t="shared" si="2"/>
        <v/>
      </c>
      <c r="C705" t="str">
        <f t="shared" si="1"/>
        <v/>
      </c>
    </row>
    <row r="706">
      <c r="B706" s="92" t="str">
        <f t="shared" si="2"/>
        <v/>
      </c>
      <c r="C706" t="str">
        <f t="shared" si="1"/>
        <v/>
      </c>
    </row>
    <row r="707">
      <c r="B707" s="92" t="str">
        <f t="shared" si="2"/>
        <v/>
      </c>
      <c r="C707" t="str">
        <f t="shared" si="1"/>
        <v/>
      </c>
    </row>
    <row r="708">
      <c r="B708" s="92" t="str">
        <f t="shared" si="2"/>
        <v/>
      </c>
      <c r="C708" t="str">
        <f t="shared" si="1"/>
        <v/>
      </c>
    </row>
    <row r="709">
      <c r="B709" s="92" t="str">
        <f t="shared" si="2"/>
        <v/>
      </c>
      <c r="C709" t="str">
        <f t="shared" si="1"/>
        <v/>
      </c>
    </row>
    <row r="710">
      <c r="B710" s="92" t="str">
        <f t="shared" si="2"/>
        <v/>
      </c>
      <c r="C710" t="str">
        <f t="shared" si="1"/>
        <v/>
      </c>
    </row>
    <row r="711">
      <c r="B711" s="92" t="str">
        <f t="shared" si="2"/>
        <v/>
      </c>
      <c r="C711" t="str">
        <f t="shared" si="1"/>
        <v/>
      </c>
    </row>
    <row r="712">
      <c r="B712" s="92" t="str">
        <f t="shared" si="2"/>
        <v/>
      </c>
      <c r="C712" t="str">
        <f t="shared" si="1"/>
        <v/>
      </c>
    </row>
    <row r="713">
      <c r="B713" s="92" t="str">
        <f t="shared" si="2"/>
        <v/>
      </c>
      <c r="C713" t="str">
        <f t="shared" si="1"/>
        <v/>
      </c>
    </row>
    <row r="714">
      <c r="B714" s="92" t="str">
        <f t="shared" si="2"/>
        <v/>
      </c>
      <c r="C714" t="str">
        <f t="shared" si="1"/>
        <v/>
      </c>
    </row>
    <row r="715">
      <c r="B715" s="92" t="str">
        <f t="shared" si="2"/>
        <v/>
      </c>
      <c r="C715" t="str">
        <f t="shared" si="1"/>
        <v/>
      </c>
    </row>
    <row r="716">
      <c r="B716" s="92" t="str">
        <f t="shared" si="2"/>
        <v/>
      </c>
      <c r="C716" t="str">
        <f t="shared" si="1"/>
        <v/>
      </c>
    </row>
    <row r="717">
      <c r="B717" s="92" t="str">
        <f t="shared" si="2"/>
        <v/>
      </c>
      <c r="C717" t="str">
        <f t="shared" si="1"/>
        <v/>
      </c>
    </row>
    <row r="718">
      <c r="B718" s="92" t="str">
        <f t="shared" si="2"/>
        <v/>
      </c>
      <c r="C718" t="str">
        <f t="shared" si="1"/>
        <v/>
      </c>
    </row>
    <row r="719">
      <c r="B719" s="92" t="str">
        <f t="shared" si="2"/>
        <v/>
      </c>
      <c r="C719" t="str">
        <f t="shared" si="1"/>
        <v/>
      </c>
    </row>
    <row r="720">
      <c r="B720" s="92" t="str">
        <f t="shared" si="2"/>
        <v/>
      </c>
      <c r="C720" t="str">
        <f t="shared" si="1"/>
        <v/>
      </c>
    </row>
    <row r="721">
      <c r="B721" s="92" t="str">
        <f t="shared" si="2"/>
        <v/>
      </c>
      <c r="C721" t="str">
        <f t="shared" si="1"/>
        <v/>
      </c>
    </row>
    <row r="722">
      <c r="B722" s="92" t="str">
        <f t="shared" si="2"/>
        <v/>
      </c>
      <c r="C722" t="str">
        <f t="shared" si="1"/>
        <v/>
      </c>
    </row>
    <row r="723">
      <c r="B723" s="92" t="str">
        <f t="shared" si="2"/>
        <v/>
      </c>
      <c r="C723" t="str">
        <f t="shared" si="1"/>
        <v/>
      </c>
    </row>
    <row r="724">
      <c r="B724" s="92" t="str">
        <f t="shared" si="2"/>
        <v/>
      </c>
      <c r="C724" t="str">
        <f t="shared" si="1"/>
        <v/>
      </c>
    </row>
    <row r="725">
      <c r="B725" s="92" t="str">
        <f t="shared" si="2"/>
        <v/>
      </c>
      <c r="C725" t="str">
        <f t="shared" si="1"/>
        <v/>
      </c>
    </row>
    <row r="726">
      <c r="B726" s="92" t="str">
        <f t="shared" si="2"/>
        <v/>
      </c>
      <c r="C726" t="str">
        <f t="shared" si="1"/>
        <v/>
      </c>
    </row>
    <row r="727">
      <c r="B727" s="92" t="str">
        <f t="shared" si="2"/>
        <v/>
      </c>
      <c r="C727" t="str">
        <f t="shared" si="1"/>
        <v/>
      </c>
    </row>
    <row r="728">
      <c r="B728" s="92" t="str">
        <f t="shared" si="2"/>
        <v/>
      </c>
      <c r="C728" t="str">
        <f t="shared" si="1"/>
        <v/>
      </c>
    </row>
    <row r="729">
      <c r="B729" s="92" t="str">
        <f t="shared" si="2"/>
        <v/>
      </c>
      <c r="C729" t="str">
        <f t="shared" si="1"/>
        <v/>
      </c>
    </row>
    <row r="730">
      <c r="B730" s="92" t="str">
        <f t="shared" si="2"/>
        <v/>
      </c>
      <c r="C730" t="str">
        <f t="shared" si="1"/>
        <v/>
      </c>
    </row>
    <row r="731">
      <c r="B731" s="92" t="str">
        <f t="shared" si="2"/>
        <v/>
      </c>
      <c r="C731" t="str">
        <f t="shared" si="1"/>
        <v/>
      </c>
    </row>
    <row r="732">
      <c r="B732" s="92" t="str">
        <f t="shared" si="2"/>
        <v/>
      </c>
      <c r="C732" t="str">
        <f t="shared" si="1"/>
        <v/>
      </c>
    </row>
    <row r="733">
      <c r="B733" s="92" t="str">
        <f t="shared" si="2"/>
        <v/>
      </c>
      <c r="C733" t="str">
        <f t="shared" si="1"/>
        <v/>
      </c>
    </row>
    <row r="734">
      <c r="B734" s="92" t="str">
        <f t="shared" si="2"/>
        <v/>
      </c>
      <c r="C734" t="str">
        <f t="shared" si="1"/>
        <v/>
      </c>
    </row>
    <row r="735">
      <c r="B735" s="92" t="str">
        <f t="shared" si="2"/>
        <v/>
      </c>
      <c r="C735" t="str">
        <f t="shared" si="1"/>
        <v/>
      </c>
    </row>
    <row r="736">
      <c r="B736" s="92" t="str">
        <f t="shared" si="2"/>
        <v/>
      </c>
      <c r="C736" t="str">
        <f t="shared" si="1"/>
        <v/>
      </c>
    </row>
    <row r="737">
      <c r="B737" s="92" t="str">
        <f t="shared" si="2"/>
        <v/>
      </c>
      <c r="C737" t="str">
        <f t="shared" si="1"/>
        <v/>
      </c>
    </row>
    <row r="738">
      <c r="B738" s="92" t="str">
        <f t="shared" si="2"/>
        <v/>
      </c>
      <c r="C738" t="str">
        <f t="shared" si="1"/>
        <v/>
      </c>
    </row>
    <row r="739">
      <c r="B739" s="92" t="str">
        <f t="shared" si="2"/>
        <v/>
      </c>
      <c r="C739" t="str">
        <f t="shared" si="1"/>
        <v/>
      </c>
    </row>
    <row r="740">
      <c r="B740" s="92" t="str">
        <f t="shared" si="2"/>
        <v/>
      </c>
      <c r="C740" t="str">
        <f t="shared" si="1"/>
        <v/>
      </c>
    </row>
    <row r="741">
      <c r="B741" s="92" t="str">
        <f t="shared" si="2"/>
        <v/>
      </c>
      <c r="C741" t="str">
        <f t="shared" si="1"/>
        <v/>
      </c>
    </row>
    <row r="742">
      <c r="B742" s="92" t="str">
        <f t="shared" si="2"/>
        <v/>
      </c>
      <c r="C742" t="str">
        <f t="shared" si="1"/>
        <v/>
      </c>
    </row>
    <row r="743">
      <c r="B743" s="92" t="str">
        <f t="shared" si="2"/>
        <v/>
      </c>
      <c r="C743" t="str">
        <f t="shared" si="1"/>
        <v/>
      </c>
    </row>
    <row r="744">
      <c r="B744" s="92" t="str">
        <f t="shared" si="2"/>
        <v/>
      </c>
      <c r="C744" t="str">
        <f t="shared" si="1"/>
        <v/>
      </c>
    </row>
    <row r="745">
      <c r="B745" s="92" t="str">
        <f t="shared" si="2"/>
        <v/>
      </c>
      <c r="C745" t="str">
        <f t="shared" si="1"/>
        <v/>
      </c>
    </row>
    <row r="746">
      <c r="B746" s="92" t="str">
        <f t="shared" si="2"/>
        <v/>
      </c>
      <c r="C746" t="str">
        <f t="shared" si="1"/>
        <v/>
      </c>
    </row>
    <row r="747">
      <c r="B747" s="92" t="str">
        <f t="shared" si="2"/>
        <v/>
      </c>
      <c r="C747" t="str">
        <f t="shared" si="1"/>
        <v/>
      </c>
    </row>
    <row r="748">
      <c r="B748" s="92" t="str">
        <f t="shared" si="2"/>
        <v/>
      </c>
      <c r="C748" t="str">
        <f t="shared" si="1"/>
        <v/>
      </c>
    </row>
    <row r="749">
      <c r="B749" s="92" t="str">
        <f t="shared" si="2"/>
        <v/>
      </c>
      <c r="C749" t="str">
        <f t="shared" si="1"/>
        <v/>
      </c>
    </row>
    <row r="750">
      <c r="B750" s="92" t="str">
        <f t="shared" si="2"/>
        <v/>
      </c>
      <c r="C750" t="str">
        <f t="shared" si="1"/>
        <v/>
      </c>
    </row>
    <row r="751">
      <c r="B751" s="92" t="str">
        <f t="shared" si="2"/>
        <v/>
      </c>
      <c r="C751" t="str">
        <f t="shared" si="1"/>
        <v/>
      </c>
    </row>
    <row r="752">
      <c r="B752" s="92" t="str">
        <f t="shared" si="2"/>
        <v/>
      </c>
      <c r="C752" t="str">
        <f t="shared" si="1"/>
        <v/>
      </c>
    </row>
    <row r="753">
      <c r="B753" s="92" t="str">
        <f t="shared" si="2"/>
        <v/>
      </c>
      <c r="C753" t="str">
        <f t="shared" si="1"/>
        <v/>
      </c>
    </row>
    <row r="754">
      <c r="B754" s="92" t="str">
        <f t="shared" si="2"/>
        <v/>
      </c>
      <c r="C754" t="str">
        <f t="shared" si="1"/>
        <v/>
      </c>
    </row>
    <row r="755">
      <c r="B755" s="92" t="str">
        <f t="shared" si="2"/>
        <v/>
      </c>
      <c r="C755" t="str">
        <f t="shared" si="1"/>
        <v/>
      </c>
    </row>
    <row r="756">
      <c r="B756" s="92" t="str">
        <f t="shared" si="2"/>
        <v/>
      </c>
      <c r="C756" t="str">
        <f t="shared" si="1"/>
        <v/>
      </c>
    </row>
    <row r="757">
      <c r="B757" s="92" t="str">
        <f t="shared" si="2"/>
        <v/>
      </c>
      <c r="C757" t="str">
        <f t="shared" si="1"/>
        <v/>
      </c>
    </row>
    <row r="758">
      <c r="B758" s="92" t="str">
        <f t="shared" si="2"/>
        <v/>
      </c>
      <c r="C758" t="str">
        <f t="shared" si="1"/>
        <v/>
      </c>
    </row>
    <row r="759">
      <c r="B759" s="92" t="str">
        <f t="shared" si="2"/>
        <v/>
      </c>
      <c r="C759" t="str">
        <f t="shared" si="1"/>
        <v/>
      </c>
    </row>
    <row r="760">
      <c r="B760" s="92" t="str">
        <f t="shared" si="2"/>
        <v/>
      </c>
      <c r="C760" t="str">
        <f t="shared" si="1"/>
        <v/>
      </c>
    </row>
    <row r="761">
      <c r="B761" s="92" t="str">
        <f t="shared" si="2"/>
        <v/>
      </c>
      <c r="C761" t="str">
        <f t="shared" si="1"/>
        <v/>
      </c>
    </row>
    <row r="762">
      <c r="B762" s="92" t="str">
        <f t="shared" si="2"/>
        <v/>
      </c>
      <c r="C762" t="str">
        <f t="shared" si="1"/>
        <v/>
      </c>
    </row>
    <row r="763">
      <c r="B763" s="92" t="str">
        <f t="shared" si="2"/>
        <v/>
      </c>
      <c r="C763" t="str">
        <f t="shared" si="1"/>
        <v/>
      </c>
    </row>
    <row r="764">
      <c r="B764" s="92" t="str">
        <f t="shared" si="2"/>
        <v/>
      </c>
      <c r="C764" t="str">
        <f t="shared" si="1"/>
        <v/>
      </c>
    </row>
    <row r="765">
      <c r="B765" s="92" t="str">
        <f t="shared" si="2"/>
        <v/>
      </c>
      <c r="C765" t="str">
        <f t="shared" si="1"/>
        <v/>
      </c>
    </row>
    <row r="766">
      <c r="B766" s="92" t="str">
        <f t="shared" si="2"/>
        <v/>
      </c>
      <c r="C766" t="str">
        <f t="shared" si="1"/>
        <v/>
      </c>
    </row>
    <row r="767">
      <c r="B767" s="92" t="str">
        <f t="shared" si="2"/>
        <v/>
      </c>
      <c r="C767" t="str">
        <f t="shared" si="1"/>
        <v/>
      </c>
    </row>
    <row r="768">
      <c r="B768" s="92" t="str">
        <f t="shared" si="2"/>
        <v/>
      </c>
      <c r="C768" t="str">
        <f t="shared" si="1"/>
        <v/>
      </c>
    </row>
    <row r="769">
      <c r="B769" s="92" t="str">
        <f t="shared" si="2"/>
        <v/>
      </c>
      <c r="C769" t="str">
        <f t="shared" si="1"/>
        <v/>
      </c>
    </row>
    <row r="770">
      <c r="B770" s="92" t="str">
        <f t="shared" si="2"/>
        <v/>
      </c>
      <c r="C770" t="str">
        <f t="shared" si="1"/>
        <v/>
      </c>
    </row>
    <row r="771">
      <c r="B771" s="92" t="str">
        <f t="shared" si="2"/>
        <v/>
      </c>
      <c r="C771" t="str">
        <f t="shared" si="1"/>
        <v/>
      </c>
    </row>
    <row r="772">
      <c r="B772" s="92" t="str">
        <f t="shared" si="2"/>
        <v/>
      </c>
      <c r="C772" t="str">
        <f t="shared" si="1"/>
        <v/>
      </c>
    </row>
    <row r="773">
      <c r="B773" s="92" t="str">
        <f t="shared" si="2"/>
        <v/>
      </c>
      <c r="C773" t="str">
        <f t="shared" si="1"/>
        <v/>
      </c>
    </row>
    <row r="774">
      <c r="B774" s="92" t="str">
        <f t="shared" si="2"/>
        <v/>
      </c>
      <c r="C774" t="str">
        <f t="shared" si="1"/>
        <v/>
      </c>
    </row>
    <row r="775">
      <c r="B775" s="92" t="str">
        <f t="shared" si="2"/>
        <v/>
      </c>
      <c r="C775" t="str">
        <f t="shared" si="1"/>
        <v/>
      </c>
    </row>
    <row r="776">
      <c r="B776" s="92" t="str">
        <f t="shared" si="2"/>
        <v/>
      </c>
      <c r="C776" t="str">
        <f t="shared" si="1"/>
        <v/>
      </c>
    </row>
    <row r="777">
      <c r="B777" s="92" t="str">
        <f t="shared" si="2"/>
        <v/>
      </c>
      <c r="C777" t="str">
        <f t="shared" si="1"/>
        <v/>
      </c>
    </row>
    <row r="778">
      <c r="B778" s="92" t="str">
        <f t="shared" si="2"/>
        <v/>
      </c>
      <c r="C778" t="str">
        <f t="shared" si="1"/>
        <v/>
      </c>
    </row>
    <row r="779">
      <c r="B779" s="92" t="str">
        <f t="shared" si="2"/>
        <v/>
      </c>
      <c r="C779" t="str">
        <f t="shared" si="1"/>
        <v/>
      </c>
    </row>
    <row r="780">
      <c r="B780" s="92" t="str">
        <f t="shared" si="2"/>
        <v/>
      </c>
      <c r="C780" t="str">
        <f t="shared" si="1"/>
        <v/>
      </c>
    </row>
    <row r="781">
      <c r="B781" s="92" t="str">
        <f t="shared" si="2"/>
        <v/>
      </c>
      <c r="C781" t="str">
        <f t="shared" si="1"/>
        <v/>
      </c>
    </row>
    <row r="782">
      <c r="B782" s="92" t="str">
        <f t="shared" si="2"/>
        <v/>
      </c>
      <c r="C782" t="str">
        <f t="shared" si="1"/>
        <v/>
      </c>
    </row>
    <row r="783">
      <c r="B783" s="92" t="str">
        <f t="shared" si="2"/>
        <v/>
      </c>
      <c r="C783" t="str">
        <f t="shared" si="1"/>
        <v/>
      </c>
    </row>
    <row r="784">
      <c r="B784" s="92" t="str">
        <f t="shared" si="2"/>
        <v/>
      </c>
      <c r="C784" t="str">
        <f t="shared" si="1"/>
        <v/>
      </c>
    </row>
    <row r="785">
      <c r="B785" s="92" t="str">
        <f t="shared" si="2"/>
        <v/>
      </c>
      <c r="C785" t="str">
        <f t="shared" si="1"/>
        <v/>
      </c>
    </row>
    <row r="786">
      <c r="B786" s="92" t="str">
        <f t="shared" si="2"/>
        <v/>
      </c>
      <c r="C786" t="str">
        <f t="shared" si="1"/>
        <v/>
      </c>
    </row>
    <row r="787">
      <c r="B787" s="92" t="str">
        <f t="shared" si="2"/>
        <v/>
      </c>
      <c r="C787" t="str">
        <f t="shared" si="1"/>
        <v/>
      </c>
    </row>
    <row r="788">
      <c r="B788" s="92" t="str">
        <f t="shared" si="2"/>
        <v/>
      </c>
      <c r="C788" t="str">
        <f t="shared" si="1"/>
        <v/>
      </c>
    </row>
    <row r="789">
      <c r="B789" s="92" t="str">
        <f t="shared" si="2"/>
        <v/>
      </c>
      <c r="C789" t="str">
        <f t="shared" si="1"/>
        <v/>
      </c>
    </row>
    <row r="790">
      <c r="B790" s="92" t="str">
        <f t="shared" si="2"/>
        <v/>
      </c>
      <c r="C790" t="str">
        <f t="shared" si="1"/>
        <v/>
      </c>
    </row>
    <row r="791">
      <c r="B791" s="92" t="str">
        <f t="shared" si="2"/>
        <v/>
      </c>
      <c r="C791" t="str">
        <f t="shared" si="1"/>
        <v/>
      </c>
    </row>
    <row r="792">
      <c r="B792" s="92" t="str">
        <f t="shared" si="2"/>
        <v/>
      </c>
      <c r="C792" t="str">
        <f t="shared" si="1"/>
        <v/>
      </c>
    </row>
    <row r="793">
      <c r="B793" s="92" t="str">
        <f t="shared" si="2"/>
        <v/>
      </c>
      <c r="C793" t="str">
        <f t="shared" si="1"/>
        <v/>
      </c>
    </row>
    <row r="794">
      <c r="B794" s="92" t="str">
        <f t="shared" si="2"/>
        <v/>
      </c>
      <c r="C794" t="str">
        <f t="shared" si="1"/>
        <v/>
      </c>
    </row>
    <row r="795">
      <c r="B795" s="92" t="str">
        <f t="shared" si="2"/>
        <v/>
      </c>
      <c r="C795" t="str">
        <f t="shared" si="1"/>
        <v/>
      </c>
    </row>
    <row r="796">
      <c r="B796" s="92" t="str">
        <f t="shared" si="2"/>
        <v/>
      </c>
      <c r="C796" t="str">
        <f t="shared" si="1"/>
        <v/>
      </c>
    </row>
    <row r="797">
      <c r="B797" s="92" t="str">
        <f t="shared" si="2"/>
        <v/>
      </c>
      <c r="C797" t="str">
        <f t="shared" si="1"/>
        <v/>
      </c>
    </row>
    <row r="798">
      <c r="B798" s="92" t="str">
        <f t="shared" si="2"/>
        <v/>
      </c>
      <c r="C798" t="str">
        <f t="shared" si="1"/>
        <v/>
      </c>
    </row>
    <row r="799">
      <c r="B799" s="92" t="str">
        <f t="shared" si="2"/>
        <v/>
      </c>
      <c r="C799" t="str">
        <f t="shared" si="1"/>
        <v/>
      </c>
    </row>
    <row r="800">
      <c r="B800" s="92" t="str">
        <f t="shared" si="2"/>
        <v/>
      </c>
      <c r="C800" t="str">
        <f t="shared" si="1"/>
        <v/>
      </c>
    </row>
    <row r="801">
      <c r="B801" s="92" t="str">
        <f t="shared" si="2"/>
        <v/>
      </c>
      <c r="C801" t="str">
        <f t="shared" si="1"/>
        <v/>
      </c>
    </row>
    <row r="802">
      <c r="B802" s="92" t="str">
        <f t="shared" si="2"/>
        <v/>
      </c>
      <c r="C802" t="str">
        <f t="shared" si="1"/>
        <v/>
      </c>
    </row>
    <row r="803">
      <c r="B803" s="92" t="str">
        <f t="shared" si="2"/>
        <v/>
      </c>
      <c r="C803" t="str">
        <f t="shared" si="1"/>
        <v/>
      </c>
    </row>
    <row r="804">
      <c r="B804" s="92" t="str">
        <f t="shared" si="2"/>
        <v/>
      </c>
      <c r="C804" t="str">
        <f t="shared" si="1"/>
        <v/>
      </c>
    </row>
    <row r="805">
      <c r="B805" s="92" t="str">
        <f t="shared" si="2"/>
        <v/>
      </c>
      <c r="C805" t="str">
        <f t="shared" si="1"/>
        <v/>
      </c>
    </row>
    <row r="806">
      <c r="B806" s="92" t="str">
        <f t="shared" si="2"/>
        <v/>
      </c>
      <c r="C806" t="str">
        <f t="shared" si="1"/>
        <v/>
      </c>
    </row>
    <row r="807">
      <c r="B807" s="92" t="str">
        <f t="shared" si="2"/>
        <v/>
      </c>
      <c r="C807" t="str">
        <f t="shared" si="1"/>
        <v/>
      </c>
    </row>
    <row r="808">
      <c r="B808" s="92" t="str">
        <f t="shared" si="2"/>
        <v/>
      </c>
      <c r="C808" t="str">
        <f t="shared" si="1"/>
        <v/>
      </c>
    </row>
    <row r="809">
      <c r="B809" s="92" t="str">
        <f t="shared" si="2"/>
        <v/>
      </c>
      <c r="C809" t="str">
        <f t="shared" si="1"/>
        <v/>
      </c>
    </row>
    <row r="810">
      <c r="B810" s="92" t="str">
        <f t="shared" si="2"/>
        <v/>
      </c>
      <c r="C810" t="str">
        <f t="shared" si="1"/>
        <v/>
      </c>
    </row>
    <row r="811">
      <c r="B811" s="92" t="str">
        <f t="shared" si="2"/>
        <v/>
      </c>
      <c r="C811" t="str">
        <f t="shared" si="1"/>
        <v/>
      </c>
    </row>
    <row r="812">
      <c r="B812" s="92" t="str">
        <f t="shared" si="2"/>
        <v/>
      </c>
      <c r="C812" t="str">
        <f t="shared" si="1"/>
        <v/>
      </c>
    </row>
    <row r="813">
      <c r="B813" s="92" t="str">
        <f t="shared" si="2"/>
        <v/>
      </c>
      <c r="C813" t="str">
        <f t="shared" si="1"/>
        <v/>
      </c>
    </row>
    <row r="814">
      <c r="B814" s="92" t="str">
        <f t="shared" si="2"/>
        <v/>
      </c>
      <c r="C814" t="str">
        <f t="shared" si="1"/>
        <v/>
      </c>
    </row>
    <row r="815">
      <c r="B815" s="92" t="str">
        <f t="shared" si="2"/>
        <v/>
      </c>
      <c r="C815" t="str">
        <f t="shared" si="1"/>
        <v/>
      </c>
    </row>
    <row r="816">
      <c r="B816" s="92" t="str">
        <f t="shared" si="2"/>
        <v/>
      </c>
      <c r="C816" t="str">
        <f t="shared" si="1"/>
        <v/>
      </c>
    </row>
    <row r="817">
      <c r="B817" s="92" t="str">
        <f t="shared" si="2"/>
        <v/>
      </c>
      <c r="C817" t="str">
        <f t="shared" si="1"/>
        <v/>
      </c>
    </row>
    <row r="818">
      <c r="B818" s="92" t="str">
        <f t="shared" si="2"/>
        <v/>
      </c>
      <c r="C818" t="str">
        <f t="shared" si="1"/>
        <v/>
      </c>
    </row>
    <row r="819">
      <c r="B819" s="92" t="str">
        <f t="shared" si="2"/>
        <v/>
      </c>
      <c r="C819" t="str">
        <f t="shared" si="1"/>
        <v/>
      </c>
    </row>
    <row r="820">
      <c r="B820" s="92" t="str">
        <f t="shared" si="2"/>
        <v/>
      </c>
      <c r="C820" t="str">
        <f t="shared" si="1"/>
        <v/>
      </c>
    </row>
    <row r="821">
      <c r="B821" s="92" t="str">
        <f t="shared" si="2"/>
        <v/>
      </c>
      <c r="C821" t="str">
        <f t="shared" si="1"/>
        <v/>
      </c>
    </row>
    <row r="822">
      <c r="B822" s="92" t="str">
        <f t="shared" si="2"/>
        <v/>
      </c>
      <c r="C822" t="str">
        <f t="shared" si="1"/>
        <v/>
      </c>
    </row>
    <row r="823">
      <c r="B823" s="92" t="str">
        <f t="shared" si="2"/>
        <v/>
      </c>
      <c r="C823" t="str">
        <f t="shared" si="1"/>
        <v/>
      </c>
    </row>
    <row r="824">
      <c r="B824" s="92" t="str">
        <f t="shared" si="2"/>
        <v/>
      </c>
      <c r="C824" t="str">
        <f t="shared" si="1"/>
        <v/>
      </c>
    </row>
    <row r="825">
      <c r="B825" s="92" t="str">
        <f t="shared" si="2"/>
        <v/>
      </c>
      <c r="C825" t="str">
        <f t="shared" si="1"/>
        <v/>
      </c>
    </row>
    <row r="826">
      <c r="B826" s="92" t="str">
        <f t="shared" si="2"/>
        <v/>
      </c>
      <c r="C826" t="str">
        <f t="shared" si="1"/>
        <v/>
      </c>
    </row>
    <row r="827">
      <c r="B827" s="92" t="str">
        <f t="shared" si="2"/>
        <v/>
      </c>
      <c r="C827" t="str">
        <f t="shared" si="1"/>
        <v/>
      </c>
    </row>
    <row r="828">
      <c r="B828" s="92" t="str">
        <f t="shared" si="2"/>
        <v/>
      </c>
      <c r="C828" t="str">
        <f t="shared" si="1"/>
        <v/>
      </c>
    </row>
    <row r="829">
      <c r="B829" s="92" t="str">
        <f t="shared" si="2"/>
        <v/>
      </c>
      <c r="C829" t="str">
        <f t="shared" si="1"/>
        <v/>
      </c>
    </row>
    <row r="830">
      <c r="B830" s="92" t="str">
        <f t="shared" si="2"/>
        <v/>
      </c>
      <c r="C830" t="str">
        <f t="shared" si="1"/>
        <v/>
      </c>
    </row>
    <row r="831">
      <c r="B831" s="92" t="str">
        <f t="shared" si="2"/>
        <v/>
      </c>
      <c r="C831" t="str">
        <f t="shared" si="1"/>
        <v/>
      </c>
    </row>
    <row r="832">
      <c r="B832" s="92" t="str">
        <f t="shared" si="2"/>
        <v/>
      </c>
      <c r="C832" t="str">
        <f t="shared" si="1"/>
        <v/>
      </c>
    </row>
    <row r="833">
      <c r="B833" s="92" t="str">
        <f t="shared" si="2"/>
        <v/>
      </c>
      <c r="C833" t="str">
        <f t="shared" si="1"/>
        <v/>
      </c>
    </row>
    <row r="834">
      <c r="B834" s="92" t="str">
        <f t="shared" si="2"/>
        <v/>
      </c>
      <c r="C834" t="str">
        <f t="shared" si="1"/>
        <v/>
      </c>
    </row>
    <row r="835">
      <c r="B835" s="92" t="str">
        <f t="shared" si="2"/>
        <v/>
      </c>
      <c r="C835" t="str">
        <f t="shared" si="1"/>
        <v/>
      </c>
    </row>
    <row r="836">
      <c r="B836" s="92" t="str">
        <f t="shared" si="2"/>
        <v/>
      </c>
      <c r="C836" t="str">
        <f t="shared" si="1"/>
        <v/>
      </c>
    </row>
    <row r="837">
      <c r="B837" s="92" t="str">
        <f t="shared" si="2"/>
        <v/>
      </c>
      <c r="C837" t="str">
        <f t="shared" si="1"/>
        <v/>
      </c>
    </row>
    <row r="838">
      <c r="B838" s="92" t="str">
        <f t="shared" si="2"/>
        <v/>
      </c>
      <c r="C838" t="str">
        <f t="shared" si="1"/>
        <v/>
      </c>
    </row>
    <row r="839">
      <c r="B839" s="92" t="str">
        <f t="shared" si="2"/>
        <v/>
      </c>
      <c r="C839" t="str">
        <f t="shared" si="1"/>
        <v/>
      </c>
    </row>
    <row r="840">
      <c r="B840" s="92" t="str">
        <f t="shared" si="2"/>
        <v/>
      </c>
      <c r="C840" t="str">
        <f t="shared" si="1"/>
        <v/>
      </c>
    </row>
    <row r="841">
      <c r="B841" s="92" t="str">
        <f t="shared" si="2"/>
        <v/>
      </c>
      <c r="C841" t="str">
        <f t="shared" si="1"/>
        <v/>
      </c>
    </row>
    <row r="842">
      <c r="B842" s="92" t="str">
        <f t="shared" si="2"/>
        <v/>
      </c>
      <c r="C842" t="str">
        <f t="shared" si="1"/>
        <v/>
      </c>
    </row>
    <row r="843">
      <c r="B843" s="92" t="str">
        <f t="shared" si="2"/>
        <v/>
      </c>
      <c r="C843" t="str">
        <f t="shared" si="1"/>
        <v/>
      </c>
    </row>
    <row r="844">
      <c r="B844" s="92" t="str">
        <f t="shared" si="2"/>
        <v/>
      </c>
      <c r="C844" t="str">
        <f t="shared" si="1"/>
        <v/>
      </c>
    </row>
    <row r="845">
      <c r="B845" s="92" t="str">
        <f t="shared" si="2"/>
        <v/>
      </c>
      <c r="C845" t="str">
        <f t="shared" si="1"/>
        <v/>
      </c>
    </row>
    <row r="846">
      <c r="B846" s="92" t="str">
        <f t="shared" si="2"/>
        <v/>
      </c>
      <c r="C846" t="str">
        <f t="shared" si="1"/>
        <v/>
      </c>
    </row>
    <row r="847">
      <c r="B847" s="92" t="str">
        <f t="shared" si="2"/>
        <v/>
      </c>
      <c r="C847" t="str">
        <f t="shared" si="1"/>
        <v/>
      </c>
    </row>
    <row r="848">
      <c r="B848" s="92" t="str">
        <f t="shared" si="2"/>
        <v/>
      </c>
      <c r="C848" t="str">
        <f t="shared" si="1"/>
        <v/>
      </c>
    </row>
    <row r="849">
      <c r="B849" s="92" t="str">
        <f t="shared" si="2"/>
        <v/>
      </c>
      <c r="C849" t="str">
        <f t="shared" si="1"/>
        <v/>
      </c>
    </row>
    <row r="850">
      <c r="B850" s="92" t="str">
        <f t="shared" si="2"/>
        <v/>
      </c>
      <c r="C850" t="str">
        <f t="shared" si="1"/>
        <v/>
      </c>
    </row>
    <row r="851">
      <c r="B851" s="92" t="str">
        <f t="shared" si="2"/>
        <v/>
      </c>
      <c r="C851" t="str">
        <f t="shared" si="1"/>
        <v/>
      </c>
    </row>
    <row r="852">
      <c r="B852" s="92" t="str">
        <f t="shared" si="2"/>
        <v/>
      </c>
      <c r="C852" t="str">
        <f t="shared" si="1"/>
        <v/>
      </c>
    </row>
    <row r="853">
      <c r="B853" s="92" t="str">
        <f t="shared" si="2"/>
        <v/>
      </c>
      <c r="C853" t="str">
        <f t="shared" si="1"/>
        <v/>
      </c>
    </row>
    <row r="854">
      <c r="B854" s="92" t="str">
        <f t="shared" si="2"/>
        <v/>
      </c>
      <c r="C854" t="str">
        <f t="shared" si="1"/>
        <v/>
      </c>
    </row>
    <row r="855">
      <c r="B855" s="92" t="str">
        <f t="shared" si="2"/>
        <v/>
      </c>
      <c r="C855" t="str">
        <f t="shared" si="1"/>
        <v/>
      </c>
    </row>
    <row r="856">
      <c r="B856" s="92" t="str">
        <f t="shared" si="2"/>
        <v/>
      </c>
      <c r="C856" t="str">
        <f t="shared" si="1"/>
        <v/>
      </c>
    </row>
    <row r="857">
      <c r="B857" s="92" t="str">
        <f t="shared" si="2"/>
        <v/>
      </c>
      <c r="C857" t="str">
        <f t="shared" si="1"/>
        <v/>
      </c>
    </row>
    <row r="858">
      <c r="B858" s="92" t="str">
        <f t="shared" si="2"/>
        <v/>
      </c>
      <c r="C858" t="str">
        <f t="shared" si="1"/>
        <v/>
      </c>
    </row>
    <row r="859">
      <c r="B859" s="92" t="str">
        <f t="shared" si="2"/>
        <v/>
      </c>
      <c r="C859" t="str">
        <f t="shared" si="1"/>
        <v/>
      </c>
    </row>
    <row r="860">
      <c r="B860" s="92" t="str">
        <f t="shared" si="2"/>
        <v/>
      </c>
      <c r="C860" t="str">
        <f t="shared" si="1"/>
        <v/>
      </c>
    </row>
    <row r="861">
      <c r="B861" s="92" t="str">
        <f t="shared" si="2"/>
        <v/>
      </c>
      <c r="C861" t="str">
        <f t="shared" si="1"/>
        <v/>
      </c>
    </row>
    <row r="862">
      <c r="B862" s="92" t="str">
        <f t="shared" si="2"/>
        <v/>
      </c>
      <c r="C862" t="str">
        <f t="shared" si="1"/>
        <v/>
      </c>
    </row>
    <row r="863">
      <c r="B863" s="92" t="str">
        <f t="shared" si="2"/>
        <v/>
      </c>
      <c r="C863" t="str">
        <f t="shared" si="1"/>
        <v/>
      </c>
    </row>
    <row r="864">
      <c r="B864" s="92" t="str">
        <f t="shared" si="2"/>
        <v/>
      </c>
      <c r="C864" t="str">
        <f t="shared" si="1"/>
        <v/>
      </c>
    </row>
    <row r="865">
      <c r="B865" s="92" t="str">
        <f t="shared" si="2"/>
        <v/>
      </c>
      <c r="C865" t="str">
        <f t="shared" si="1"/>
        <v/>
      </c>
    </row>
    <row r="866">
      <c r="B866" s="92" t="str">
        <f t="shared" si="2"/>
        <v/>
      </c>
      <c r="C866" t="str">
        <f t="shared" si="1"/>
        <v/>
      </c>
    </row>
    <row r="867">
      <c r="B867" s="92" t="str">
        <f t="shared" si="2"/>
        <v/>
      </c>
      <c r="C867" t="str">
        <f t="shared" si="1"/>
        <v/>
      </c>
    </row>
    <row r="868">
      <c r="B868" s="92" t="str">
        <f t="shared" si="2"/>
        <v/>
      </c>
      <c r="C868" t="str">
        <f t="shared" si="1"/>
        <v/>
      </c>
    </row>
    <row r="869">
      <c r="B869" s="92" t="str">
        <f t="shared" si="2"/>
        <v/>
      </c>
      <c r="C869" t="str">
        <f t="shared" si="1"/>
        <v/>
      </c>
    </row>
    <row r="870">
      <c r="B870" s="92" t="str">
        <f t="shared" si="2"/>
        <v/>
      </c>
      <c r="C870" t="str">
        <f t="shared" si="1"/>
        <v/>
      </c>
    </row>
    <row r="871">
      <c r="B871" s="92" t="str">
        <f t="shared" si="2"/>
        <v/>
      </c>
      <c r="C871" t="str">
        <f t="shared" si="1"/>
        <v/>
      </c>
    </row>
    <row r="872">
      <c r="B872" s="92" t="str">
        <f t="shared" si="2"/>
        <v/>
      </c>
      <c r="C872" t="str">
        <f t="shared" si="1"/>
        <v/>
      </c>
    </row>
    <row r="873">
      <c r="B873" s="92" t="str">
        <f t="shared" si="2"/>
        <v/>
      </c>
      <c r="C873" t="str">
        <f t="shared" si="1"/>
        <v/>
      </c>
    </row>
    <row r="874">
      <c r="B874" s="92" t="str">
        <f t="shared" si="2"/>
        <v/>
      </c>
      <c r="C874" t="str">
        <f t="shared" si="1"/>
        <v/>
      </c>
    </row>
    <row r="875">
      <c r="B875" s="92" t="str">
        <f t="shared" si="2"/>
        <v/>
      </c>
      <c r="C875" t="str">
        <f t="shared" si="1"/>
        <v/>
      </c>
    </row>
    <row r="876">
      <c r="B876" s="92" t="str">
        <f t="shared" si="2"/>
        <v/>
      </c>
      <c r="C876" t="str">
        <f t="shared" si="1"/>
        <v/>
      </c>
    </row>
    <row r="877">
      <c r="B877" s="92" t="str">
        <f t="shared" si="2"/>
        <v/>
      </c>
      <c r="C877" t="str">
        <f t="shared" si="1"/>
        <v/>
      </c>
    </row>
    <row r="878">
      <c r="B878" s="92" t="str">
        <f t="shared" si="2"/>
        <v/>
      </c>
      <c r="C878" t="str">
        <f t="shared" si="1"/>
        <v/>
      </c>
    </row>
    <row r="879">
      <c r="B879" s="92" t="str">
        <f t="shared" si="2"/>
        <v/>
      </c>
      <c r="C879" t="str">
        <f t="shared" si="1"/>
        <v/>
      </c>
    </row>
    <row r="880">
      <c r="B880" s="92" t="str">
        <f t="shared" si="2"/>
        <v/>
      </c>
      <c r="C880" t="str">
        <f t="shared" si="1"/>
        <v/>
      </c>
    </row>
    <row r="881">
      <c r="B881" s="92" t="str">
        <f t="shared" si="2"/>
        <v/>
      </c>
      <c r="C881" t="str">
        <f t="shared" si="1"/>
        <v/>
      </c>
    </row>
    <row r="882">
      <c r="B882" s="92" t="str">
        <f t="shared" si="2"/>
        <v/>
      </c>
      <c r="C882" t="str">
        <f t="shared" si="1"/>
        <v/>
      </c>
    </row>
    <row r="883">
      <c r="B883" s="92" t="str">
        <f t="shared" si="2"/>
        <v/>
      </c>
      <c r="C883" t="str">
        <f t="shared" si="1"/>
        <v/>
      </c>
    </row>
    <row r="884">
      <c r="B884" s="92" t="str">
        <f t="shared" si="2"/>
        <v/>
      </c>
      <c r="C884" t="str">
        <f t="shared" si="1"/>
        <v/>
      </c>
    </row>
    <row r="885">
      <c r="B885" s="92" t="str">
        <f t="shared" si="2"/>
        <v/>
      </c>
      <c r="C885" t="str">
        <f t="shared" si="1"/>
        <v/>
      </c>
    </row>
    <row r="886">
      <c r="B886" s="92" t="str">
        <f t="shared" si="2"/>
        <v/>
      </c>
      <c r="C886" t="str">
        <f t="shared" si="1"/>
        <v/>
      </c>
    </row>
    <row r="887">
      <c r="B887" s="92" t="str">
        <f t="shared" si="2"/>
        <v/>
      </c>
      <c r="C887" t="str">
        <f t="shared" si="1"/>
        <v/>
      </c>
    </row>
    <row r="888">
      <c r="B888" s="92" t="str">
        <f t="shared" si="2"/>
        <v/>
      </c>
      <c r="C888" t="str">
        <f t="shared" si="1"/>
        <v/>
      </c>
    </row>
    <row r="889">
      <c r="B889" s="92" t="str">
        <f t="shared" si="2"/>
        <v/>
      </c>
      <c r="C889" t="str">
        <f t="shared" si="1"/>
        <v/>
      </c>
    </row>
    <row r="890">
      <c r="B890" s="92" t="str">
        <f t="shared" si="2"/>
        <v/>
      </c>
      <c r="C890" t="str">
        <f t="shared" si="1"/>
        <v/>
      </c>
    </row>
    <row r="891">
      <c r="B891" s="92" t="str">
        <f t="shared" si="2"/>
        <v/>
      </c>
      <c r="C891" t="str">
        <f t="shared" si="1"/>
        <v/>
      </c>
    </row>
    <row r="892">
      <c r="B892" s="92" t="str">
        <f t="shared" si="2"/>
        <v/>
      </c>
      <c r="C892" t="str">
        <f t="shared" si="1"/>
        <v/>
      </c>
    </row>
    <row r="893">
      <c r="B893" s="92" t="str">
        <f t="shared" si="2"/>
        <v/>
      </c>
      <c r="C893" t="str">
        <f t="shared" si="1"/>
        <v/>
      </c>
    </row>
    <row r="894">
      <c r="B894" s="92" t="str">
        <f t="shared" si="2"/>
        <v/>
      </c>
      <c r="C894" t="str">
        <f t="shared" si="1"/>
        <v/>
      </c>
    </row>
    <row r="895">
      <c r="B895" s="92" t="str">
        <f t="shared" si="2"/>
        <v/>
      </c>
      <c r="C895" t="str">
        <f t="shared" si="1"/>
        <v/>
      </c>
    </row>
    <row r="896">
      <c r="B896" s="92" t="str">
        <f t="shared" si="2"/>
        <v/>
      </c>
      <c r="C896" t="str">
        <f t="shared" si="1"/>
        <v/>
      </c>
    </row>
    <row r="897">
      <c r="B897" s="92" t="str">
        <f t="shared" si="2"/>
        <v/>
      </c>
      <c r="C897" t="str">
        <f t="shared" si="1"/>
        <v/>
      </c>
    </row>
    <row r="898">
      <c r="B898" s="92" t="str">
        <f t="shared" si="2"/>
        <v/>
      </c>
      <c r="C898" t="str">
        <f t="shared" si="1"/>
        <v/>
      </c>
    </row>
    <row r="899">
      <c r="B899" s="92" t="str">
        <f t="shared" si="2"/>
        <v/>
      </c>
      <c r="C899" t="str">
        <f t="shared" si="1"/>
        <v/>
      </c>
    </row>
    <row r="900">
      <c r="B900" s="92" t="str">
        <f t="shared" si="2"/>
        <v/>
      </c>
      <c r="C900" t="str">
        <f t="shared" si="1"/>
        <v/>
      </c>
    </row>
    <row r="901">
      <c r="B901" s="92" t="str">
        <f t="shared" si="2"/>
        <v/>
      </c>
      <c r="C901" t="str">
        <f t="shared" si="1"/>
        <v/>
      </c>
    </row>
    <row r="902">
      <c r="B902" s="92" t="str">
        <f t="shared" si="2"/>
        <v/>
      </c>
      <c r="C902" t="str">
        <f t="shared" si="1"/>
        <v/>
      </c>
    </row>
    <row r="903">
      <c r="B903" s="92" t="str">
        <f t="shared" si="2"/>
        <v/>
      </c>
      <c r="C903" t="str">
        <f t="shared" si="1"/>
        <v/>
      </c>
    </row>
    <row r="904">
      <c r="B904" s="92" t="str">
        <f t="shared" si="2"/>
        <v/>
      </c>
      <c r="C904" t="str">
        <f t="shared" si="1"/>
        <v/>
      </c>
    </row>
    <row r="905">
      <c r="B905" s="92" t="str">
        <f t="shared" si="2"/>
        <v/>
      </c>
      <c r="C905" t="str">
        <f t="shared" si="1"/>
        <v/>
      </c>
    </row>
    <row r="906">
      <c r="B906" s="92" t="str">
        <f t="shared" si="2"/>
        <v/>
      </c>
      <c r="C906" t="str">
        <f t="shared" si="1"/>
        <v/>
      </c>
    </row>
    <row r="907">
      <c r="B907" s="92" t="str">
        <f t="shared" si="2"/>
        <v/>
      </c>
      <c r="C907" t="str">
        <f t="shared" si="1"/>
        <v/>
      </c>
    </row>
    <row r="908">
      <c r="B908" s="92" t="str">
        <f t="shared" si="2"/>
        <v/>
      </c>
      <c r="C908" t="str">
        <f t="shared" si="1"/>
        <v/>
      </c>
    </row>
    <row r="909">
      <c r="B909" s="92" t="str">
        <f t="shared" si="2"/>
        <v/>
      </c>
      <c r="C909" t="str">
        <f t="shared" si="1"/>
        <v/>
      </c>
    </row>
    <row r="910">
      <c r="B910" s="92" t="str">
        <f t="shared" si="2"/>
        <v/>
      </c>
      <c r="C910" t="str">
        <f t="shared" si="1"/>
        <v/>
      </c>
    </row>
    <row r="911">
      <c r="B911" s="92" t="str">
        <f t="shared" si="2"/>
        <v/>
      </c>
      <c r="C911" t="str">
        <f t="shared" si="1"/>
        <v/>
      </c>
    </row>
    <row r="912">
      <c r="B912" s="92" t="str">
        <f t="shared" si="2"/>
        <v/>
      </c>
      <c r="C912" t="str">
        <f t="shared" si="1"/>
        <v/>
      </c>
    </row>
    <row r="913">
      <c r="B913" s="92" t="str">
        <f t="shared" si="2"/>
        <v/>
      </c>
      <c r="C913" t="str">
        <f t="shared" si="1"/>
        <v/>
      </c>
    </row>
    <row r="914">
      <c r="B914" s="92" t="str">
        <f t="shared" si="2"/>
        <v/>
      </c>
      <c r="C914" t="str">
        <f t="shared" si="1"/>
        <v/>
      </c>
    </row>
    <row r="915">
      <c r="B915" s="92" t="str">
        <f t="shared" si="2"/>
        <v/>
      </c>
      <c r="C915" t="str">
        <f t="shared" si="1"/>
        <v/>
      </c>
    </row>
    <row r="916">
      <c r="B916" s="92" t="str">
        <f t="shared" si="2"/>
        <v/>
      </c>
      <c r="C916" t="str">
        <f t="shared" si="1"/>
        <v/>
      </c>
    </row>
    <row r="917">
      <c r="B917" s="92" t="str">
        <f t="shared" si="2"/>
        <v/>
      </c>
      <c r="C917" t="str">
        <f t="shared" si="1"/>
        <v/>
      </c>
    </row>
    <row r="918">
      <c r="B918" s="92" t="str">
        <f t="shared" si="2"/>
        <v/>
      </c>
      <c r="C918" t="str">
        <f t="shared" si="1"/>
        <v/>
      </c>
    </row>
    <row r="919">
      <c r="B919" s="92" t="str">
        <f t="shared" si="2"/>
        <v/>
      </c>
      <c r="C919" t="str">
        <f t="shared" si="1"/>
        <v/>
      </c>
    </row>
    <row r="920">
      <c r="B920" s="92" t="str">
        <f t="shared" si="2"/>
        <v/>
      </c>
      <c r="C920" t="str">
        <f t="shared" si="1"/>
        <v/>
      </c>
    </row>
    <row r="921">
      <c r="B921" s="92" t="str">
        <f t="shared" si="2"/>
        <v/>
      </c>
      <c r="C921" t="str">
        <f t="shared" si="1"/>
        <v/>
      </c>
    </row>
    <row r="922">
      <c r="B922" s="92" t="str">
        <f t="shared" si="2"/>
        <v/>
      </c>
      <c r="C922" t="str">
        <f t="shared" si="1"/>
        <v/>
      </c>
    </row>
    <row r="923">
      <c r="B923" s="92" t="str">
        <f t="shared" si="2"/>
        <v/>
      </c>
      <c r="C923" t="str">
        <f t="shared" si="1"/>
        <v/>
      </c>
    </row>
    <row r="924">
      <c r="B924" s="92" t="str">
        <f t="shared" si="2"/>
        <v/>
      </c>
      <c r="C924" t="str">
        <f t="shared" si="1"/>
        <v/>
      </c>
    </row>
    <row r="925">
      <c r="B925" s="92" t="str">
        <f t="shared" si="2"/>
        <v/>
      </c>
      <c r="C925" t="str">
        <f t="shared" si="1"/>
        <v/>
      </c>
    </row>
    <row r="926">
      <c r="B926" s="92" t="str">
        <f t="shared" si="2"/>
        <v/>
      </c>
      <c r="C926" t="str">
        <f t="shared" si="1"/>
        <v/>
      </c>
    </row>
    <row r="927">
      <c r="B927" s="92" t="str">
        <f t="shared" si="2"/>
        <v/>
      </c>
      <c r="C927" t="str">
        <f t="shared" si="1"/>
        <v/>
      </c>
    </row>
    <row r="928">
      <c r="B928" s="92" t="str">
        <f t="shared" si="2"/>
        <v/>
      </c>
      <c r="C928" t="str">
        <f t="shared" si="1"/>
        <v/>
      </c>
    </row>
    <row r="929">
      <c r="B929" s="92" t="str">
        <f t="shared" si="2"/>
        <v/>
      </c>
      <c r="C929" t="str">
        <f t="shared" si="1"/>
        <v/>
      </c>
    </row>
    <row r="930">
      <c r="B930" s="92" t="str">
        <f t="shared" si="2"/>
        <v/>
      </c>
      <c r="C930" t="str">
        <f t="shared" si="1"/>
        <v/>
      </c>
    </row>
    <row r="931">
      <c r="B931" s="92" t="str">
        <f t="shared" si="2"/>
        <v/>
      </c>
      <c r="C931" t="str">
        <f t="shared" si="1"/>
        <v/>
      </c>
    </row>
    <row r="932">
      <c r="B932" s="92" t="str">
        <f t="shared" si="2"/>
        <v/>
      </c>
      <c r="C932" t="str">
        <f t="shared" si="1"/>
        <v/>
      </c>
    </row>
    <row r="933">
      <c r="B933" s="92" t="str">
        <f t="shared" si="2"/>
        <v/>
      </c>
      <c r="C933" t="str">
        <f t="shared" si="1"/>
        <v/>
      </c>
    </row>
    <row r="934">
      <c r="B934" s="92" t="str">
        <f t="shared" si="2"/>
        <v/>
      </c>
      <c r="C934" t="str">
        <f t="shared" si="1"/>
        <v/>
      </c>
    </row>
    <row r="935">
      <c r="B935" s="92" t="str">
        <f t="shared" si="2"/>
        <v/>
      </c>
      <c r="C935" t="str">
        <f t="shared" si="1"/>
        <v/>
      </c>
    </row>
    <row r="936">
      <c r="B936" s="92" t="str">
        <f t="shared" si="2"/>
        <v/>
      </c>
      <c r="C936" t="str">
        <f t="shared" si="1"/>
        <v/>
      </c>
    </row>
    <row r="937">
      <c r="B937" s="92" t="str">
        <f t="shared" si="2"/>
        <v/>
      </c>
      <c r="C937" t="str">
        <f t="shared" si="1"/>
        <v/>
      </c>
    </row>
    <row r="938">
      <c r="B938" s="92" t="str">
        <f t="shared" si="2"/>
        <v/>
      </c>
      <c r="C938" t="str">
        <f t="shared" si="1"/>
        <v/>
      </c>
    </row>
    <row r="939">
      <c r="B939" s="92" t="str">
        <f t="shared" si="2"/>
        <v/>
      </c>
      <c r="C939" t="str">
        <f t="shared" si="1"/>
        <v/>
      </c>
    </row>
    <row r="940">
      <c r="B940" s="92" t="str">
        <f t="shared" si="2"/>
        <v/>
      </c>
      <c r="C940" t="str">
        <f t="shared" si="1"/>
        <v/>
      </c>
    </row>
    <row r="941">
      <c r="B941" s="92" t="str">
        <f t="shared" si="2"/>
        <v/>
      </c>
      <c r="C941" t="str">
        <f t="shared" si="1"/>
        <v/>
      </c>
    </row>
    <row r="942">
      <c r="B942" s="92" t="str">
        <f t="shared" si="2"/>
        <v/>
      </c>
      <c r="C942" t="str">
        <f t="shared" si="1"/>
        <v/>
      </c>
    </row>
    <row r="943">
      <c r="B943" s="92" t="str">
        <f t="shared" si="2"/>
        <v/>
      </c>
      <c r="C943" t="str">
        <f t="shared" si="1"/>
        <v/>
      </c>
    </row>
    <row r="944">
      <c r="B944" s="92" t="str">
        <f t="shared" si="2"/>
        <v/>
      </c>
      <c r="C944" t="str">
        <f t="shared" si="1"/>
        <v/>
      </c>
    </row>
    <row r="945">
      <c r="B945" s="92" t="str">
        <f t="shared" si="2"/>
        <v/>
      </c>
      <c r="C945" t="str">
        <f t="shared" si="1"/>
        <v/>
      </c>
    </row>
    <row r="946">
      <c r="B946" s="92" t="str">
        <f t="shared" si="2"/>
        <v/>
      </c>
      <c r="C946" t="str">
        <f t="shared" si="1"/>
        <v/>
      </c>
    </row>
    <row r="947">
      <c r="B947" s="92" t="str">
        <f t="shared" si="2"/>
        <v/>
      </c>
      <c r="C947" t="str">
        <f t="shared" si="1"/>
        <v/>
      </c>
    </row>
    <row r="948">
      <c r="B948" s="92" t="str">
        <f t="shared" si="2"/>
        <v/>
      </c>
      <c r="C948" t="str">
        <f t="shared" si="1"/>
        <v/>
      </c>
    </row>
    <row r="949">
      <c r="B949" s="92" t="str">
        <f t="shared" si="2"/>
        <v/>
      </c>
      <c r="C949" t="str">
        <f t="shared" si="1"/>
        <v/>
      </c>
    </row>
    <row r="950">
      <c r="B950" s="92" t="str">
        <f t="shared" si="2"/>
        <v/>
      </c>
      <c r="C950" t="str">
        <f t="shared" si="1"/>
        <v/>
      </c>
    </row>
    <row r="951">
      <c r="B951" s="92" t="str">
        <f t="shared" si="2"/>
        <v/>
      </c>
      <c r="C951" t="str">
        <f t="shared" si="1"/>
        <v/>
      </c>
    </row>
    <row r="952">
      <c r="B952" s="92" t="str">
        <f t="shared" si="2"/>
        <v/>
      </c>
      <c r="C952" t="str">
        <f t="shared" si="1"/>
        <v/>
      </c>
    </row>
    <row r="953">
      <c r="B953" s="92" t="str">
        <f t="shared" si="2"/>
        <v/>
      </c>
      <c r="C953" t="str">
        <f t="shared" si="1"/>
        <v/>
      </c>
    </row>
    <row r="954">
      <c r="B954" s="92" t="str">
        <f t="shared" si="2"/>
        <v/>
      </c>
      <c r="C954" t="str">
        <f t="shared" si="1"/>
        <v/>
      </c>
    </row>
    <row r="955">
      <c r="B955" s="92" t="str">
        <f t="shared" si="2"/>
        <v/>
      </c>
      <c r="C955" t="str">
        <f t="shared" si="1"/>
        <v/>
      </c>
    </row>
    <row r="956">
      <c r="B956" s="92" t="str">
        <f t="shared" si="2"/>
        <v/>
      </c>
      <c r="C956" t="str">
        <f t="shared" si="1"/>
        <v/>
      </c>
    </row>
    <row r="957">
      <c r="B957" s="92" t="str">
        <f t="shared" si="2"/>
        <v/>
      </c>
      <c r="C957" t="str">
        <f t="shared" si="1"/>
        <v/>
      </c>
    </row>
    <row r="958">
      <c r="B958" s="92" t="str">
        <f t="shared" si="2"/>
        <v/>
      </c>
      <c r="C958" t="str">
        <f t="shared" si="1"/>
        <v/>
      </c>
    </row>
    <row r="959">
      <c r="B959" s="92" t="str">
        <f t="shared" si="2"/>
        <v/>
      </c>
      <c r="C959" t="str">
        <f t="shared" si="1"/>
        <v/>
      </c>
    </row>
    <row r="960">
      <c r="B960" s="92" t="str">
        <f t="shared" si="2"/>
        <v/>
      </c>
      <c r="C960" t="str">
        <f t="shared" si="1"/>
        <v/>
      </c>
    </row>
    <row r="961">
      <c r="B961" s="92" t="str">
        <f t="shared" si="2"/>
        <v/>
      </c>
      <c r="C961" t="str">
        <f t="shared" si="1"/>
        <v/>
      </c>
    </row>
    <row r="962">
      <c r="B962" s="92" t="str">
        <f t="shared" si="2"/>
        <v/>
      </c>
      <c r="C962" t="str">
        <f t="shared" si="1"/>
        <v/>
      </c>
    </row>
    <row r="963">
      <c r="B963" s="92" t="str">
        <f t="shared" si="2"/>
        <v/>
      </c>
      <c r="C963" t="str">
        <f t="shared" si="1"/>
        <v/>
      </c>
    </row>
    <row r="964">
      <c r="B964" s="92" t="str">
        <f t="shared" si="2"/>
        <v/>
      </c>
      <c r="C964" t="str">
        <f t="shared" si="1"/>
        <v/>
      </c>
    </row>
    <row r="965">
      <c r="B965" s="92" t="str">
        <f t="shared" si="2"/>
        <v/>
      </c>
      <c r="C965" t="str">
        <f t="shared" si="1"/>
        <v/>
      </c>
    </row>
    <row r="966">
      <c r="B966" s="92" t="str">
        <f t="shared" si="2"/>
        <v/>
      </c>
      <c r="C966" t="str">
        <f t="shared" si="1"/>
        <v/>
      </c>
    </row>
    <row r="967">
      <c r="B967" s="92" t="str">
        <f t="shared" si="2"/>
        <v/>
      </c>
      <c r="C967" t="str">
        <f t="shared" si="1"/>
        <v/>
      </c>
    </row>
    <row r="968">
      <c r="B968" s="92" t="str">
        <f t="shared" si="2"/>
        <v/>
      </c>
      <c r="C968" t="str">
        <f t="shared" si="1"/>
        <v/>
      </c>
    </row>
    <row r="969">
      <c r="B969" s="92" t="str">
        <f t="shared" si="2"/>
        <v/>
      </c>
      <c r="C969" t="str">
        <f t="shared" si="1"/>
        <v/>
      </c>
    </row>
    <row r="970">
      <c r="B970" s="92" t="str">
        <f t="shared" si="2"/>
        <v/>
      </c>
      <c r="C970" t="str">
        <f t="shared" si="1"/>
        <v/>
      </c>
    </row>
    <row r="971">
      <c r="B971" s="92" t="str">
        <f t="shared" si="2"/>
        <v/>
      </c>
      <c r="C971" t="str">
        <f t="shared" si="1"/>
        <v/>
      </c>
    </row>
    <row r="972">
      <c r="B972" s="92" t="str">
        <f t="shared" si="2"/>
        <v/>
      </c>
      <c r="C972" t="str">
        <f t="shared" si="1"/>
        <v/>
      </c>
    </row>
    <row r="973">
      <c r="B973" s="92" t="str">
        <f t="shared" si="2"/>
        <v/>
      </c>
      <c r="C973" t="str">
        <f t="shared" si="1"/>
        <v/>
      </c>
    </row>
    <row r="974">
      <c r="B974" s="92" t="str">
        <f t="shared" si="2"/>
        <v/>
      </c>
      <c r="C974" t="str">
        <f t="shared" si="1"/>
        <v/>
      </c>
    </row>
    <row r="975">
      <c r="B975" s="92" t="str">
        <f t="shared" si="2"/>
        <v/>
      </c>
      <c r="C975" t="str">
        <f t="shared" si="1"/>
        <v/>
      </c>
    </row>
    <row r="976">
      <c r="B976" s="92" t="str">
        <f t="shared" si="2"/>
        <v/>
      </c>
      <c r="C976" t="str">
        <f t="shared" si="1"/>
        <v/>
      </c>
    </row>
    <row r="977">
      <c r="B977" s="92" t="str">
        <f t="shared" si="2"/>
        <v/>
      </c>
      <c r="C977" t="str">
        <f t="shared" si="1"/>
        <v/>
      </c>
    </row>
    <row r="978">
      <c r="B978" s="92" t="str">
        <f t="shared" si="2"/>
        <v/>
      </c>
      <c r="C978" t="str">
        <f t="shared" si="1"/>
        <v/>
      </c>
    </row>
    <row r="979">
      <c r="B979" s="92" t="str">
        <f t="shared" si="2"/>
        <v/>
      </c>
      <c r="C979" t="str">
        <f t="shared" si="1"/>
        <v/>
      </c>
    </row>
    <row r="980">
      <c r="B980" s="92" t="str">
        <f t="shared" si="2"/>
        <v/>
      </c>
      <c r="C980" t="str">
        <f t="shared" si="1"/>
        <v/>
      </c>
    </row>
    <row r="981">
      <c r="B981" s="92" t="str">
        <f t="shared" si="2"/>
        <v/>
      </c>
      <c r="C981" t="str">
        <f t="shared" si="1"/>
        <v/>
      </c>
    </row>
    <row r="982">
      <c r="B982" s="92" t="str">
        <f t="shared" si="2"/>
        <v/>
      </c>
      <c r="C982" t="str">
        <f t="shared" si="1"/>
        <v/>
      </c>
    </row>
    <row r="983">
      <c r="B983" s="92" t="str">
        <f t="shared" si="2"/>
        <v/>
      </c>
      <c r="C983" t="str">
        <f t="shared" si="1"/>
        <v/>
      </c>
    </row>
    <row r="984">
      <c r="B984" s="92" t="str">
        <f t="shared" si="2"/>
        <v/>
      </c>
      <c r="C984" t="str">
        <f t="shared" si="1"/>
        <v/>
      </c>
    </row>
    <row r="985">
      <c r="B985" s="92" t="str">
        <f t="shared" si="2"/>
        <v/>
      </c>
      <c r="C985" t="str">
        <f t="shared" si="1"/>
        <v/>
      </c>
    </row>
    <row r="986">
      <c r="B986" s="92" t="str">
        <f t="shared" si="2"/>
        <v/>
      </c>
      <c r="C986" t="str">
        <f t="shared" si="1"/>
        <v/>
      </c>
    </row>
    <row r="987">
      <c r="B987" s="92" t="str">
        <f t="shared" si="2"/>
        <v/>
      </c>
      <c r="C987" t="str">
        <f t="shared" si="1"/>
        <v/>
      </c>
    </row>
    <row r="988">
      <c r="B988" s="92" t="str">
        <f t="shared" si="2"/>
        <v/>
      </c>
      <c r="C988" t="str">
        <f t="shared" si="1"/>
        <v/>
      </c>
    </row>
    <row r="989">
      <c r="B989" s="92" t="str">
        <f t="shared" si="2"/>
        <v/>
      </c>
      <c r="C989" t="str">
        <f t="shared" si="1"/>
        <v/>
      </c>
    </row>
    <row r="990">
      <c r="B990" s="92" t="str">
        <f t="shared" si="2"/>
        <v/>
      </c>
      <c r="C990" t="str">
        <f t="shared" si="1"/>
        <v/>
      </c>
    </row>
    <row r="991">
      <c r="B991" s="92" t="str">
        <f t="shared" si="2"/>
        <v/>
      </c>
      <c r="C991" t="str">
        <f t="shared" si="1"/>
        <v/>
      </c>
    </row>
    <row r="992">
      <c r="B992" s="92" t="str">
        <f t="shared" si="2"/>
        <v/>
      </c>
      <c r="C992" t="str">
        <f t="shared" si="1"/>
        <v/>
      </c>
    </row>
    <row r="993">
      <c r="B993" s="92" t="str">
        <f t="shared" si="2"/>
        <v/>
      </c>
      <c r="C993" t="str">
        <f t="shared" si="1"/>
        <v/>
      </c>
    </row>
    <row r="994">
      <c r="B994" s="92" t="str">
        <f t="shared" si="2"/>
        <v/>
      </c>
      <c r="C994" t="str">
        <f t="shared" si="1"/>
        <v/>
      </c>
    </row>
    <row r="995">
      <c r="B995" s="92" t="str">
        <f t="shared" si="2"/>
        <v/>
      </c>
      <c r="C995" t="str">
        <f t="shared" si="1"/>
        <v/>
      </c>
    </row>
    <row r="996">
      <c r="B996" s="92" t="str">
        <f t="shared" si="2"/>
        <v/>
      </c>
      <c r="C996" t="str">
        <f t="shared" si="1"/>
        <v/>
      </c>
    </row>
    <row r="997">
      <c r="B997" s="92" t="str">
        <f t="shared" si="2"/>
        <v/>
      </c>
      <c r="C997" t="str">
        <f t="shared" si="1"/>
        <v/>
      </c>
    </row>
    <row r="998">
      <c r="B998" s="92" t="str">
        <f t="shared" si="2"/>
        <v/>
      </c>
      <c r="C998" t="str">
        <f t="shared" si="1"/>
        <v/>
      </c>
    </row>
    <row r="999">
      <c r="B999" s="92" t="str">
        <f t="shared" si="2"/>
        <v/>
      </c>
      <c r="C999" t="str">
        <f t="shared" si="1"/>
        <v/>
      </c>
    </row>
    <row r="1000">
      <c r="B1000" s="92" t="str">
        <f t="shared" si="2"/>
        <v/>
      </c>
      <c r="C1000" t="str">
        <f t="shared" si="1"/>
        <v/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93" t="str">
        <f>IFERROR(__xludf.DUMMYFUNCTION("IMPORTRANGE(""https://docs.google.com/spreadsheets/d/1mR3SzH-K-syWSkuods6xmxJHNd3kTPfvRxH5B2UMfKk"",""Entes!A1:B999"")"),"Ente")</f>
        <v>Ente</v>
      </c>
      <c r="B1" s="93" t="str">
        <f>IFERROR(__xludf.DUMMYFUNCTION("""COMPUTED_VALUE"""),"Sigla")</f>
        <v>Sigla</v>
      </c>
    </row>
    <row r="2">
      <c r="A2" t="str">
        <f>IFERROR(__xludf.DUMMYFUNCTION("""COMPUTED_VALUE"""),"Controladoria Geral do Município")</f>
        <v>Controladoria Geral do Município</v>
      </c>
      <c r="B2" t="str">
        <f>IFERROR(__xludf.DUMMYFUNCTION("""COMPUTED_VALUE"""),"CGM")</f>
        <v>CGM</v>
      </c>
    </row>
    <row r="3">
      <c r="A3" t="str">
        <f>IFERROR(__xludf.DUMMYFUNCTION("""COMPUTED_VALUE"""),"Procuradoria Geral do Município")</f>
        <v>Procuradoria Geral do Município</v>
      </c>
      <c r="B3" t="str">
        <f>IFERROR(__xludf.DUMMYFUNCTION("""COMPUTED_VALUE"""),"PGM")</f>
        <v>PGM</v>
      </c>
    </row>
    <row r="4">
      <c r="A4" t="str">
        <f>IFERROR(__xludf.DUMMYFUNCTION("""COMPUTED_VALUE"""),"Secretaria Municipal de Educação")</f>
        <v>Secretaria Municipal de Educação</v>
      </c>
      <c r="B4" t="str">
        <f>IFERROR(__xludf.DUMMYFUNCTION("""COMPUTED_VALUE"""),"SME")</f>
        <v>SME</v>
      </c>
    </row>
    <row r="5">
      <c r="A5" t="str">
        <f>IFERROR(__xludf.DUMMYFUNCTION("""COMPUTED_VALUE"""),"Secretaria Municipal de Gestão")</f>
        <v>Secretaria Municipal de Gestão</v>
      </c>
      <c r="B5" t="str">
        <f>IFERROR(__xludf.DUMMYFUNCTION("""COMPUTED_VALUE"""),"SG")</f>
        <v>SG</v>
      </c>
    </row>
    <row r="6">
      <c r="A6" t="str">
        <f>IFERROR(__xludf.DUMMYFUNCTION("""COMPUTED_VALUE"""),"Secretaria Municipal de Inovação e Tecnologia")</f>
        <v>Secretaria Municipal de Inovação e Tecnologia</v>
      </c>
      <c r="B6" t="str">
        <f>IFERROR(__xludf.DUMMYFUNCTION("""COMPUTED_VALUE"""),"SMIT")</f>
        <v>SMIT</v>
      </c>
    </row>
    <row r="7">
      <c r="A7" t="str">
        <f>IFERROR(__xludf.DUMMYFUNCTION("""COMPUTED_VALUE"""),"Secretaria Municipal de Justiça")</f>
        <v>Secretaria Municipal de Justiça</v>
      </c>
      <c r="B7" t="str">
        <f>IFERROR(__xludf.DUMMYFUNCTION("""COMPUTED_VALUE"""),"SMJ")</f>
        <v>SMJ</v>
      </c>
    </row>
    <row r="8">
      <c r="A8" t="str">
        <f>IFERROR(__xludf.DUMMYFUNCTION("""COMPUTED_VALUE"""),"Secretária Municipal de Pessoa com Deficiência")</f>
        <v>Secretária Municipal de Pessoa com Deficiência</v>
      </c>
      <c r="B8" t="str">
        <f>IFERROR(__xludf.DUMMYFUNCTION("""COMPUTED_VALUE"""),"SMPED")</f>
        <v>SMPED</v>
      </c>
    </row>
    <row r="9">
      <c r="A9" t="str">
        <f>IFERROR(__xludf.DUMMYFUNCTION("""COMPUTED_VALUE"""),"Secretaria Municipal do Desenvolvimento Econômico, Trabalho e Turismo")</f>
        <v>Secretaria Municipal do Desenvolvimento Econômico, Trabalho e Turismo</v>
      </c>
      <c r="B9" t="str">
        <f>IFERROR(__xludf.DUMMYFUNCTION("""COMPUTED_VALUE"""),"SMDET")</f>
        <v>SMDET</v>
      </c>
    </row>
    <row r="10">
      <c r="A10" t="str">
        <f>IFERROR(__xludf.DUMMYFUNCTION("""COMPUTED_VALUE"""),"Secretaria Municipal de Urbanismo e Licenciamento")</f>
        <v>Secretaria Municipal de Urbanismo e Licenciamento</v>
      </c>
      <c r="B10" t="str">
        <f>IFERROR(__xludf.DUMMYFUNCTION("""COMPUTED_VALUE"""),"SMUL")</f>
        <v>SMUL</v>
      </c>
    </row>
    <row r="11">
      <c r="A11" t="str">
        <f>IFERROR(__xludf.DUMMYFUNCTION("""COMPUTED_VALUE"""),"Secretaria Municipal de Desenvolvimento Urbano")</f>
        <v>Secretaria Municipal de Desenvolvimento Urbano</v>
      </c>
      <c r="B11" t="str">
        <f>IFERROR(__xludf.DUMMYFUNCTION("""COMPUTED_VALUE"""),"SMDU")</f>
        <v>SMDU</v>
      </c>
    </row>
    <row r="12">
      <c r="A12" t="str">
        <f>IFERROR(__xludf.DUMMYFUNCTION("""COMPUTED_VALUE"""),"Secretaria Municipal de Direitos Humanos e Cidadania")</f>
        <v>Secretaria Municipal de Direitos Humanos e Cidadania</v>
      </c>
      <c r="B12" t="str">
        <f>IFERROR(__xludf.DUMMYFUNCTION("""COMPUTED_VALUE"""),"SMDHC")</f>
        <v>SMDHC</v>
      </c>
    </row>
    <row r="13">
      <c r="A13" t="str">
        <f>IFERROR(__xludf.DUMMYFUNCTION("""COMPUTED_VALUE"""),"Secretaria Municipal de Desestatização e Parcerias")</f>
        <v>Secretaria Municipal de Desestatização e Parcerias</v>
      </c>
      <c r="B13" t="str">
        <f>IFERROR(__xludf.DUMMYFUNCTION("""COMPUTED_VALUE"""),"SMDP")</f>
        <v>SMDP</v>
      </c>
    </row>
    <row r="14">
      <c r="A14" t="str">
        <f>IFERROR(__xludf.DUMMYFUNCTION("""COMPUTED_VALUE"""),"Secretaria Municipal das Subprefeituras")</f>
        <v>Secretaria Municipal das Subprefeituras</v>
      </c>
      <c r="B14" t="str">
        <f>IFERROR(__xludf.DUMMYFUNCTION("""COMPUTED_VALUE"""),"SMSUB")</f>
        <v>SMSUB</v>
      </c>
    </row>
    <row r="15">
      <c r="A15" t="str">
        <f>IFERROR(__xludf.DUMMYFUNCTION("""COMPUTED_VALUE"""),"Secretaria Municipal de Relações Internacionais")</f>
        <v>Secretaria Municipal de Relações Internacionais</v>
      </c>
      <c r="B15" t="str">
        <f>IFERROR(__xludf.DUMMYFUNCTION("""COMPUTED_VALUE"""),"SMRI")</f>
        <v>SMRI</v>
      </c>
    </row>
    <row r="16">
      <c r="A16" t="str">
        <f>IFERROR(__xludf.DUMMYFUNCTION("""COMPUTED_VALUE"""),"Secretaria Municipal de Saúde")</f>
        <v>Secretaria Municipal de Saúde</v>
      </c>
      <c r="B16" t="str">
        <f>IFERROR(__xludf.DUMMYFUNCTION("""COMPUTED_VALUE"""),"SMS")</f>
        <v>SMS</v>
      </c>
    </row>
    <row r="17">
      <c r="A17" t="str">
        <f>IFERROR(__xludf.DUMMYFUNCTION("""COMPUTED_VALUE"""),"Secretaria Municipal de Infraestrutura Urbana ( Serviços e Obras)")</f>
        <v>Secretaria Municipal de Infraestrutura Urbana ( Serviços e Obras)</v>
      </c>
      <c r="B17" t="str">
        <f>IFERROR(__xludf.DUMMYFUNCTION("""COMPUTED_VALUE"""),"SIURB")</f>
        <v>SIURB</v>
      </c>
    </row>
    <row r="18">
      <c r="A18" t="str">
        <f>IFERROR(__xludf.DUMMYFUNCTION("""COMPUTED_VALUE"""),"Secretaria Municipal de Segurança Urbana")</f>
        <v>Secretaria Municipal de Segurança Urbana</v>
      </c>
      <c r="B18" t="str">
        <f>IFERROR(__xludf.DUMMYFUNCTION("""COMPUTED_VALUE"""),"SMSU")</f>
        <v>SMSU</v>
      </c>
    </row>
    <row r="19">
      <c r="A19" t="str">
        <f>IFERROR(__xludf.DUMMYFUNCTION("""COMPUTED_VALUE"""),"Secretaria Municipal de Mobilidade e Transportes")</f>
        <v>Secretaria Municipal de Mobilidade e Transportes</v>
      </c>
      <c r="B19" t="str">
        <f>IFERROR(__xludf.DUMMYFUNCTION("""COMPUTED_VALUE"""),"SMT")</f>
        <v>SMT</v>
      </c>
    </row>
    <row r="20">
      <c r="A20" t="str">
        <f>IFERROR(__xludf.DUMMYFUNCTION("""COMPUTED_VALUE"""),"Secretaria Municipal de Turismo")</f>
        <v>Secretaria Municipal de Turismo</v>
      </c>
      <c r="B20" t="str">
        <f>IFERROR(__xludf.DUMMYFUNCTION("""COMPUTED_VALUE"""),"SMTur")</f>
        <v>SMTur</v>
      </c>
    </row>
    <row r="21">
      <c r="A21" t="str">
        <f>IFERROR(__xludf.DUMMYFUNCTION("""COMPUTED_VALUE"""),"Secretaria Municipal do Verde e Meio Ambiente")</f>
        <v>Secretaria Municipal do Verde e Meio Ambiente</v>
      </c>
      <c r="B21" t="str">
        <f>IFERROR(__xludf.DUMMYFUNCTION("""COMPUTED_VALUE"""),"SVMA")</f>
        <v>SVMA</v>
      </c>
    </row>
    <row r="22">
      <c r="A22" t="str">
        <f>IFERROR(__xludf.DUMMYFUNCTION("""COMPUTED_VALUE"""),"Casa Civil do Gabinete do Prefeito")</f>
        <v>Casa Civil do Gabinete do Prefeito</v>
      </c>
      <c r="B22" t="str">
        <f>IFERROR(__xludf.DUMMYFUNCTION("""COMPUTED_VALUE"""),"CCGP")</f>
        <v>CCGP</v>
      </c>
    </row>
    <row r="23">
      <c r="A23" t="str">
        <f>IFERROR(__xludf.DUMMYFUNCTION("""COMPUTED_VALUE"""),"Secretaria Especial de Comunicação")</f>
        <v>Secretaria Especial de Comunicação</v>
      </c>
      <c r="B23" t="str">
        <f>IFERROR(__xludf.DUMMYFUNCTION("""COMPUTED_VALUE"""),"SECOM")</f>
        <v>SECOM</v>
      </c>
    </row>
    <row r="24">
      <c r="A24" t="str">
        <f>IFERROR(__xludf.DUMMYFUNCTION("""COMPUTED_VALUE"""),"Secretaria Municipal de Habitação")</f>
        <v>Secretaria Municipal de Habitação</v>
      </c>
      <c r="B24" t="str">
        <f>IFERROR(__xludf.DUMMYFUNCTION("""COMPUTED_VALUE"""),"SEHAB")</f>
        <v>SEHAB</v>
      </c>
    </row>
    <row r="25">
      <c r="A25" t="str">
        <f>IFERROR(__xludf.DUMMYFUNCTION("""COMPUTED_VALUE"""),"Secretaria de Esportes e Lazer")</f>
        <v>Secretaria de Esportes e Lazer</v>
      </c>
      <c r="B25" t="str">
        <f>IFERROR(__xludf.DUMMYFUNCTION("""COMPUTED_VALUE"""),"SEME")</f>
        <v>SEME</v>
      </c>
    </row>
    <row r="26">
      <c r="A26" t="str">
        <f>IFERROR(__xludf.DUMMYFUNCTION("""COMPUTED_VALUE"""),"Secretaria Municipal de Licenciamento")</f>
        <v>Secretaria Municipal de Licenciamento</v>
      </c>
      <c r="B26" t="str">
        <f>IFERROR(__xludf.DUMMYFUNCTION("""COMPUTED_VALUE"""),"SEL")</f>
        <v>SEL</v>
      </c>
    </row>
    <row r="27">
      <c r="A27" t="str">
        <f>IFERROR(__xludf.DUMMYFUNCTION("""COMPUTED_VALUE"""),"Secretaria Especial de Relações Sociais")</f>
        <v>Secretaria Especial de Relações Sociais</v>
      </c>
      <c r="B27" t="str">
        <f>IFERROR(__xludf.DUMMYFUNCTION("""COMPUTED_VALUE"""),"SERS")</f>
        <v>SERS</v>
      </c>
    </row>
    <row r="28">
      <c r="A28" t="str">
        <f>IFERROR(__xludf.DUMMYFUNCTION("""COMPUTED_VALUE"""),"Secretaria Municipal da Fazenda")</f>
        <v>Secretaria Municipal da Fazenda</v>
      </c>
      <c r="B28" t="str">
        <f>IFERROR(__xludf.DUMMYFUNCTION("""COMPUTED_VALUE"""),"SF")</f>
        <v>SF</v>
      </c>
    </row>
    <row r="29">
      <c r="A29" t="str">
        <f>IFERROR(__xludf.DUMMYFUNCTION("""COMPUTED_VALUE"""),"Secretaria de Governo Municipal")</f>
        <v>Secretaria de Governo Municipal</v>
      </c>
      <c r="B29" t="str">
        <f>IFERROR(__xludf.DUMMYFUNCTION("""COMPUTED_VALUE"""),"SGM")</f>
        <v>SGM</v>
      </c>
    </row>
    <row r="30">
      <c r="A30" t="str">
        <f>IFERROR(__xludf.DUMMYFUNCTION("""COMPUTED_VALUE"""),"Secretaria Municipal de Assistência e Desenvolvimento Social")</f>
        <v>Secretaria Municipal de Assistência e Desenvolvimento Social</v>
      </c>
      <c r="B30" t="str">
        <f>IFERROR(__xludf.DUMMYFUNCTION("""COMPUTED_VALUE"""),"SMADS")</f>
        <v>SMADS</v>
      </c>
    </row>
    <row r="31">
      <c r="A31" t="str">
        <f>IFERROR(__xludf.DUMMYFUNCTION("""COMPUTED_VALUE"""),"Secretaria Municipal de Cultura")</f>
        <v>Secretaria Municipal de Cultura</v>
      </c>
      <c r="B31" t="str">
        <f>IFERROR(__xludf.DUMMYFUNCTION("""COMPUTED_VALUE"""),"SMC")</f>
        <v>SMC</v>
      </c>
    </row>
    <row r="32">
      <c r="A32" t="str">
        <f>IFERROR(__xludf.DUMMYFUNCTION("""COMPUTED_VALUE"""),"Autoridade Municipal de Limpeza Urbana")</f>
        <v>Autoridade Municipal de Limpeza Urbana</v>
      </c>
      <c r="B32" t="str">
        <f>IFERROR(__xludf.DUMMYFUNCTION("""COMPUTED_VALUE"""),"AMLURB")</f>
        <v>AMLURB</v>
      </c>
    </row>
    <row r="33">
      <c r="A33" t="str">
        <f>IFERROR(__xludf.DUMMYFUNCTION("""COMPUTED_VALUE"""),"Fundação Paulistana de Educação, Tecnologia e Cultura")</f>
        <v>Fundação Paulistana de Educação, Tecnologia e Cultura</v>
      </c>
      <c r="B33" t="str">
        <f>IFERROR(__xludf.DUMMYFUNCTION("""COMPUTED_VALUE"""),"FUNDATEC")</f>
        <v>FUNDATEC</v>
      </c>
    </row>
    <row r="34">
      <c r="A34" t="str">
        <f>IFERROR(__xludf.DUMMYFUNCTION("""COMPUTED_VALUE"""),"Hospital do Servidor Público Municipal")</f>
        <v>Hospital do Servidor Público Municipal</v>
      </c>
      <c r="B34" t="str">
        <f>IFERROR(__xludf.DUMMYFUNCTION("""COMPUTED_VALUE"""),"HSPM")</f>
        <v>HSPM</v>
      </c>
    </row>
    <row r="35">
      <c r="A35" t="str">
        <f>IFERROR(__xludf.DUMMYFUNCTION("""COMPUTED_VALUE"""),"Empresa de Cinema e Audiovisual de São Paulo")</f>
        <v>Empresa de Cinema e Audiovisual de São Paulo</v>
      </c>
      <c r="B35" t="str">
        <f>IFERROR(__xludf.DUMMYFUNCTION("""COMPUTED_VALUE"""),"SPCINE")</f>
        <v>SPCINE</v>
      </c>
    </row>
    <row r="36">
      <c r="A36" t="str">
        <f>IFERROR(__xludf.DUMMYFUNCTION("""COMPUTED_VALUE"""),"São Paulo Transportes")</f>
        <v>São Paulo Transportes</v>
      </c>
      <c r="B36" t="str">
        <f>IFERROR(__xludf.DUMMYFUNCTION("""COMPUTED_VALUE"""),"SPTRANS")</f>
        <v>SPTRANS</v>
      </c>
    </row>
    <row r="37">
      <c r="A37" t="str">
        <f>IFERROR(__xludf.DUMMYFUNCTION("""COMPUTED_VALUE"""),"Companhia de Engenharia de Tráfego")</f>
        <v>Companhia de Engenharia de Tráfego</v>
      </c>
      <c r="B37" t="str">
        <f>IFERROR(__xludf.DUMMYFUNCTION("""COMPUTED_VALUE"""),"CET")</f>
        <v>CET</v>
      </c>
    </row>
    <row r="38">
      <c r="A38" t="str">
        <f>IFERROR(__xludf.DUMMYFUNCTION("""COMPUTED_VALUE"""),"Companhia Metropolitana de Habitação de São Paulo")</f>
        <v>Companhia Metropolitana de Habitação de São Paulo</v>
      </c>
      <c r="B38" t="str">
        <f>IFERROR(__xludf.DUMMYFUNCTION("""COMPUTED_VALUE"""),"COHAB")</f>
        <v>COHAB</v>
      </c>
    </row>
    <row r="39">
      <c r="A39" t="str">
        <f>IFERROR(__xludf.DUMMYFUNCTION("""COMPUTED_VALUE"""),"São Paulo Obras")</f>
        <v>São Paulo Obras</v>
      </c>
      <c r="B39" t="str">
        <f>IFERROR(__xludf.DUMMYFUNCTION("""COMPUTED_VALUE"""),"SP OBRAS")</f>
        <v>SP OBRAS</v>
      </c>
    </row>
    <row r="40">
      <c r="A40" t="str">
        <f>IFERROR(__xludf.DUMMYFUNCTION("""COMPUTED_VALUE"""),"São Paulo Parcerias")</f>
        <v>São Paulo Parcerias</v>
      </c>
      <c r="B40" t="str">
        <f>IFERROR(__xludf.DUMMYFUNCTION("""COMPUTED_VALUE"""),"SP PARCERIAS")</f>
        <v>SP PARCERIAS</v>
      </c>
    </row>
    <row r="41">
      <c r="A41" t="str">
        <f>IFERROR(__xludf.DUMMYFUNCTION("""COMPUTED_VALUE"""),"Companhia São Paulo de Desenvolvimento e Mobilização de Ativos")</f>
        <v>Companhia São Paulo de Desenvolvimento e Mobilização de Ativos</v>
      </c>
      <c r="B41" t="str">
        <f>IFERROR(__xludf.DUMMYFUNCTION("""COMPUTED_VALUE"""),"SPDA")</f>
        <v>SPDA</v>
      </c>
    </row>
    <row r="42">
      <c r="A42" t="str">
        <f>IFERROR(__xludf.DUMMYFUNCTION("""COMPUTED_VALUE"""),"Companhia Paulistana de Securitização")</f>
        <v>Companhia Paulistana de Securitização</v>
      </c>
      <c r="B42" t="str">
        <f>IFERROR(__xludf.DUMMYFUNCTION("""COMPUTED_VALUE"""),"SPSEC")</f>
        <v>SPSEC</v>
      </c>
    </row>
    <row r="43">
      <c r="A43" t="str">
        <f>IFERROR(__xludf.DUMMYFUNCTION("""COMPUTED_VALUE"""),"São Paulo Urbanismo")</f>
        <v>São Paulo Urbanismo</v>
      </c>
      <c r="B43" t="str">
        <f>IFERROR(__xludf.DUMMYFUNCTION("""COMPUTED_VALUE"""),"SP URBANISMO")</f>
        <v>SP URBANISMO</v>
      </c>
    </row>
    <row r="44">
      <c r="A44" t="str">
        <f>IFERROR(__xludf.DUMMYFUNCTION("""COMPUTED_VALUE"""),"Empresa de Tecnologia da Informação e Comunicação do Município de São Paulo")</f>
        <v>Empresa de Tecnologia da Informação e Comunicação do Município de São Paulo</v>
      </c>
      <c r="B44" t="str">
        <f>IFERROR(__xludf.DUMMYFUNCTION("""COMPUTED_VALUE"""),"PRODAM")</f>
        <v>PRODAM</v>
      </c>
    </row>
    <row r="45">
      <c r="A45" t="str">
        <f>IFERROR(__xludf.DUMMYFUNCTION("""COMPUTED_VALUE"""),"Autarquia Hospitalar Municipal")</f>
        <v>Autarquia Hospitalar Municipal</v>
      </c>
      <c r="B45" t="str">
        <f>IFERROR(__xludf.DUMMYFUNCTION("""COMPUTED_VALUE"""),"AHM")</f>
        <v>AHM</v>
      </c>
    </row>
    <row r="46">
      <c r="A46" t="str">
        <f>IFERROR(__xludf.DUMMYFUNCTION("""COMPUTED_VALUE"""),"Fundação Theatro Municipal de São Paulo")</f>
        <v>Fundação Theatro Municipal de São Paulo</v>
      </c>
      <c r="B46" t="str">
        <f>IFERROR(__xludf.DUMMYFUNCTION("""COMPUTED_VALUE"""),"FTM")</f>
        <v>FTM</v>
      </c>
    </row>
    <row r="47">
      <c r="A47" t="str">
        <f>IFERROR(__xludf.DUMMYFUNCTION("""COMPUTED_VALUE"""),"Instituto de Previdência Municipal de São Paulo")</f>
        <v>Instituto de Previdência Municipal de São Paulo</v>
      </c>
      <c r="B47" t="str">
        <f>IFERROR(__xludf.DUMMYFUNCTION("""COMPUTED_VALUE"""),"IPREM")</f>
        <v>IPREM</v>
      </c>
    </row>
    <row r="48">
      <c r="A48" t="str">
        <f>IFERROR(__xludf.DUMMYFUNCTION("""COMPUTED_VALUE"""),"Serviço Funerário do Município de São Paulo")</f>
        <v>Serviço Funerário do Município de São Paulo</v>
      </c>
      <c r="B48" t="str">
        <f>IFERROR(__xludf.DUMMYFUNCTION("""COMPUTED_VALUE"""),"SFMSP")</f>
        <v>SFMSP</v>
      </c>
    </row>
    <row r="49">
      <c r="A49" t="str">
        <f>IFERROR(__xludf.DUMMYFUNCTION("""COMPUTED_VALUE"""),"São Paulo Turismo")</f>
        <v>São Paulo Turismo</v>
      </c>
      <c r="B49" t="str">
        <f>IFERROR(__xludf.DUMMYFUNCTION("""COMPUTED_VALUE"""),"SP TURIS")</f>
        <v>SP TURIS</v>
      </c>
    </row>
    <row r="50">
      <c r="A50" t="str">
        <f>IFERROR(__xludf.DUMMYFUNCTION("""COMPUTED_VALUE"""),"Subprefeitura Campo Limpo")</f>
        <v>Subprefeitura Campo Limpo</v>
      </c>
      <c r="B50" t="str">
        <f>IFERROR(__xludf.DUMMYFUNCTION("""COMPUTED_VALUE"""),"SUB-CL")</f>
        <v>SUB-CL</v>
      </c>
    </row>
    <row r="51">
      <c r="A51" t="str">
        <f>IFERROR(__xludf.DUMMYFUNCTION("""COMPUTED_VALUE"""),"Subprefeitura Cidade Ademar")</f>
        <v>Subprefeitura Cidade Ademar</v>
      </c>
      <c r="B51" t="str">
        <f>IFERROR(__xludf.DUMMYFUNCTION("""COMPUTED_VALUE"""),"SUB-AD")</f>
        <v>SUB-AD</v>
      </c>
    </row>
    <row r="52">
      <c r="A52" t="str">
        <f>IFERROR(__xludf.DUMMYFUNCTION("""COMPUTED_VALUE"""),"Subprefeitura Butantã")</f>
        <v>Subprefeitura Butantã</v>
      </c>
      <c r="B52" t="str">
        <f>IFERROR(__xludf.DUMMYFUNCTION("""COMPUTED_VALUE"""),"SUB-BT")</f>
        <v>SUB-BT</v>
      </c>
    </row>
    <row r="53">
      <c r="A53" t="str">
        <f>IFERROR(__xludf.DUMMYFUNCTION("""COMPUTED_VALUE"""),"Subprefeitura Capela do Socorro")</f>
        <v>Subprefeitura Capela do Socorro</v>
      </c>
      <c r="B53" t="str">
        <f>IFERROR(__xludf.DUMMYFUNCTION("""COMPUTED_VALUE"""),"SUB-CS")</f>
        <v>SUB-CS</v>
      </c>
    </row>
    <row r="54">
      <c r="A54" t="str">
        <f>IFERROR(__xludf.DUMMYFUNCTION("""COMPUTED_VALUE"""),"Subprefeitura Ermelino Matarazzo")</f>
        <v>Subprefeitura Ermelino Matarazzo</v>
      </c>
      <c r="B54" t="str">
        <f>IFERROR(__xludf.DUMMYFUNCTION("""COMPUTED_VALUE"""),"SUB-EM")</f>
        <v>SUB-EM</v>
      </c>
    </row>
    <row r="55">
      <c r="A55" t="str">
        <f>IFERROR(__xludf.DUMMYFUNCTION("""COMPUTED_VALUE"""),"Subprefeitura Freguesia/Brasilândia")</f>
        <v>Subprefeitura Freguesia/Brasilândia</v>
      </c>
      <c r="B55" t="str">
        <f>IFERROR(__xludf.DUMMYFUNCTION("""COMPUTED_VALUE"""),"SUB-FB")</f>
        <v>SUB-FB</v>
      </c>
    </row>
    <row r="56">
      <c r="A56" t="str">
        <f>IFERROR(__xludf.DUMMYFUNCTION("""COMPUTED_VALUE"""),"Subprefeitura Itaquera")</f>
        <v>Subprefeitura Itaquera</v>
      </c>
      <c r="B56" t="str">
        <f>IFERROR(__xludf.DUMMYFUNCTION("""COMPUTED_VALUE"""),"SUB-IQ")</f>
        <v>SUB-IQ</v>
      </c>
    </row>
    <row r="57">
      <c r="A57" t="str">
        <f>IFERROR(__xludf.DUMMYFUNCTION("""COMPUTED_VALUE"""),"Subprefeitura M´Boi Mirim")</f>
        <v>Subprefeitura M´Boi Mirim</v>
      </c>
      <c r="B57" t="str">
        <f>IFERROR(__xludf.DUMMYFUNCTION("""COMPUTED_VALUE"""),"SUB-MB")</f>
        <v>SUB-MB</v>
      </c>
    </row>
    <row r="58">
      <c r="A58" t="str">
        <f>IFERROR(__xludf.DUMMYFUNCTION("""COMPUTED_VALUE"""),"Subprefeitura Perus")</f>
        <v>Subprefeitura Perus</v>
      </c>
      <c r="B58" t="str">
        <f>IFERROR(__xludf.DUMMYFUNCTION("""COMPUTED_VALUE"""),"SUB-PR")</f>
        <v>SUB-PR</v>
      </c>
    </row>
    <row r="59">
      <c r="A59" t="str">
        <f>IFERROR(__xludf.DUMMYFUNCTION("""COMPUTED_VALUE"""),"Subprefeitura Mooca")</f>
        <v>Subprefeitura Mooca</v>
      </c>
      <c r="B59" t="str">
        <f>IFERROR(__xludf.DUMMYFUNCTION("""COMPUTED_VALUE"""),"SUB-MO")</f>
        <v>SUB-MO</v>
      </c>
    </row>
    <row r="60">
      <c r="A60" t="str">
        <f>IFERROR(__xludf.DUMMYFUNCTION("""COMPUTED_VALUE"""),"Subprefeitura Penha")</f>
        <v>Subprefeitura Penha</v>
      </c>
      <c r="B60" t="str">
        <f>IFERROR(__xludf.DUMMYFUNCTION("""COMPUTED_VALUE"""),"SUB-PE")</f>
        <v>SUB-PE</v>
      </c>
    </row>
    <row r="61">
      <c r="A61" t="str">
        <f>IFERROR(__xludf.DUMMYFUNCTION("""COMPUTED_VALUE"""),"Subprefeitura Pinheiros")</f>
        <v>Subprefeitura Pinheiros</v>
      </c>
      <c r="B61" t="str">
        <f>IFERROR(__xludf.DUMMYFUNCTION("""COMPUTED_VALUE"""),"SUB-PI")</f>
        <v>SUB-PI</v>
      </c>
    </row>
    <row r="62">
      <c r="A62" t="str">
        <f>IFERROR(__xludf.DUMMYFUNCTION("""COMPUTED_VALUE"""),"Subprefeitura Ipiranga")</f>
        <v>Subprefeitura Ipiranga</v>
      </c>
      <c r="B62" t="str">
        <f>IFERROR(__xludf.DUMMYFUNCTION("""COMPUTED_VALUE"""),"SUB-IP")</f>
        <v>SUB-IP</v>
      </c>
    </row>
    <row r="63">
      <c r="A63" t="str">
        <f>IFERROR(__xludf.DUMMYFUNCTION("""COMPUTED_VALUE"""),"Subprefeitura Itaim Paulista")</f>
        <v>Subprefeitura Itaim Paulista</v>
      </c>
      <c r="B63" t="str">
        <f>IFERROR(__xludf.DUMMYFUNCTION("""COMPUTED_VALUE"""),"SUB-IT")</f>
        <v>SUB-IT</v>
      </c>
    </row>
    <row r="64">
      <c r="A64" t="str">
        <f>IFERROR(__xludf.DUMMYFUNCTION("""COMPUTED_VALUE"""),"Subprefeitura Jabaquara")</f>
        <v>Subprefeitura Jabaquara</v>
      </c>
      <c r="B64" t="str">
        <f>IFERROR(__xludf.DUMMYFUNCTION("""COMPUTED_VALUE"""),"SUB-JA")</f>
        <v>SUB-JA</v>
      </c>
    </row>
    <row r="65">
      <c r="A65" t="str">
        <f>IFERROR(__xludf.DUMMYFUNCTION("""COMPUTED_VALUE"""),"Subprefeitura Jaçanã/Tremembé")</f>
        <v>Subprefeitura Jaçanã/Tremembé</v>
      </c>
      <c r="B65" t="str">
        <f>IFERROR(__xludf.DUMMYFUNCTION("""COMPUTED_VALUE"""),"SUB-JT")</f>
        <v>SUB-JT</v>
      </c>
    </row>
    <row r="66">
      <c r="A66" t="str">
        <f>IFERROR(__xludf.DUMMYFUNCTION("""COMPUTED_VALUE"""),"Subprefeitura Lapa")</f>
        <v>Subprefeitura Lapa</v>
      </c>
      <c r="B66" t="str">
        <f>IFERROR(__xludf.DUMMYFUNCTION("""COMPUTED_VALUE"""),"SUB-LA")</f>
        <v>SUB-LA</v>
      </c>
    </row>
    <row r="67">
      <c r="A67" t="str">
        <f>IFERROR(__xludf.DUMMYFUNCTION("""COMPUTED_VALUE"""),"Subprefeitura Vila Maria /Vila Guilherme")</f>
        <v>Subprefeitura Vila Maria /Vila Guilherme</v>
      </c>
      <c r="B67" t="str">
        <f>IFERROR(__xludf.DUMMYFUNCTION("""COMPUTED_VALUE"""),"SUB-MG")</f>
        <v>SUB-MG</v>
      </c>
    </row>
    <row r="68">
      <c r="A68" t="str">
        <f>IFERROR(__xludf.DUMMYFUNCTION("""COMPUTED_VALUE"""),"Subprefeitura São Miguel")</f>
        <v>Subprefeitura São Miguel</v>
      </c>
      <c r="B68" t="str">
        <f>IFERROR(__xludf.DUMMYFUNCTION("""COMPUTED_VALUE"""),"SUB-MP")</f>
        <v>SUB-MP</v>
      </c>
    </row>
    <row r="69">
      <c r="A69" t="str">
        <f>IFERROR(__xludf.DUMMYFUNCTION("""COMPUTED_VALUE"""),"Subprefeitura Parelheiros")</f>
        <v>Subprefeitura Parelheiros</v>
      </c>
      <c r="B69" t="str">
        <f>IFERROR(__xludf.DUMMYFUNCTION("""COMPUTED_VALUE"""),"SUB-PA")</f>
        <v>SUB-PA</v>
      </c>
    </row>
    <row r="70">
      <c r="A70" t="str">
        <f>IFERROR(__xludf.DUMMYFUNCTION("""COMPUTED_VALUE"""),"Subprefeitura Pirituba/Jaraguá")</f>
        <v>Subprefeitura Pirituba/Jaraguá</v>
      </c>
      <c r="B70" t="str">
        <f>IFERROR(__xludf.DUMMYFUNCTION("""COMPUTED_VALUE"""),"SUB-PJ")</f>
        <v>SUB-PJ</v>
      </c>
    </row>
    <row r="71">
      <c r="A71" t="str">
        <f>IFERROR(__xludf.DUMMYFUNCTION("""COMPUTED_VALUE"""),"Subprefeitura Santo Amaro")</f>
        <v>Subprefeitura Santo Amaro</v>
      </c>
      <c r="B71" t="str">
        <f>IFERROR(__xludf.DUMMYFUNCTION("""COMPUTED_VALUE"""),"SUB-SA")</f>
        <v>SUB-SA</v>
      </c>
    </row>
    <row r="72">
      <c r="A72" t="str">
        <f>IFERROR(__xludf.DUMMYFUNCTION("""COMPUTED_VALUE"""),"Subprefeitura Sé")</f>
        <v>Subprefeitura Sé</v>
      </c>
      <c r="B72" t="str">
        <f>IFERROR(__xludf.DUMMYFUNCTION("""COMPUTED_VALUE"""),"SUB-SE")</f>
        <v>SUB-SE</v>
      </c>
    </row>
    <row r="73">
      <c r="A73" t="str">
        <f>IFERROR(__xludf.DUMMYFUNCTION("""COMPUTED_VALUE"""),"Subprefeitura São Mateus")</f>
        <v>Subprefeitura São Mateus</v>
      </c>
      <c r="B73" t="str">
        <f>IFERROR(__xludf.DUMMYFUNCTION("""COMPUTED_VALUE"""),"SUB-SM")</f>
        <v>SUB-SM</v>
      </c>
    </row>
    <row r="74">
      <c r="A74" t="str">
        <f>IFERROR(__xludf.DUMMYFUNCTION("""COMPUTED_VALUE"""),"Subprefeitura Sapopemba")</f>
        <v>Subprefeitura Sapopemba</v>
      </c>
      <c r="B74" t="str">
        <f>IFERROR(__xludf.DUMMYFUNCTION("""COMPUTED_VALUE"""),"SUB-SB")</f>
        <v>SUB-SB</v>
      </c>
    </row>
    <row r="75">
      <c r="A75" t="str">
        <f>IFERROR(__xludf.DUMMYFUNCTION("""COMPUTED_VALUE"""),"Subprefeitura Santana/Tucuruvi")</f>
        <v>Subprefeitura Santana/Tucuruvi</v>
      </c>
      <c r="B75" t="str">
        <f>IFERROR(__xludf.DUMMYFUNCTION("""COMPUTED_VALUE"""),"SUB-ST")</f>
        <v>SUB-ST</v>
      </c>
    </row>
    <row r="76">
      <c r="A76" t="str">
        <f>IFERROR(__xludf.DUMMYFUNCTION("""COMPUTED_VALUE"""),"Subprefeitura Vila Mariana")</f>
        <v>Subprefeitura Vila Mariana</v>
      </c>
      <c r="B76" t="str">
        <f>IFERROR(__xludf.DUMMYFUNCTION("""COMPUTED_VALUE"""),"SUB-VM")</f>
        <v>SUB-VM</v>
      </c>
    </row>
    <row r="77">
      <c r="A77" t="str">
        <f>IFERROR(__xludf.DUMMYFUNCTION("""COMPUTED_VALUE"""),"Subprefeitura Vila Prudente")</f>
        <v>Subprefeitura Vila Prudente</v>
      </c>
      <c r="B77" t="str">
        <f>IFERROR(__xludf.DUMMYFUNCTION("""COMPUTED_VALUE"""),"SUB-VP")</f>
        <v>SUB-VP</v>
      </c>
    </row>
    <row r="78">
      <c r="A78" t="str">
        <f>IFERROR(__xludf.DUMMYFUNCTION("""COMPUTED_VALUE"""),"Subprefeitura Aricanduva Formosa")</f>
        <v>Subprefeitura Aricanduva Formosa</v>
      </c>
      <c r="B78" t="str">
        <f>IFERROR(__xludf.DUMMYFUNCTION("""COMPUTED_VALUE"""),"SUB-AF")</f>
        <v>SUB-AF</v>
      </c>
    </row>
    <row r="79">
      <c r="A79" t="str">
        <f>IFERROR(__xludf.DUMMYFUNCTION("""COMPUTED_VALUE"""),"Subprefeitura Casa Verde")</f>
        <v>Subprefeitura Casa Verde</v>
      </c>
      <c r="B79" t="str">
        <f>IFERROR(__xludf.DUMMYFUNCTION("""COMPUTED_VALUE"""),"SUB-CV")</f>
        <v>SUB-CV</v>
      </c>
    </row>
    <row r="80">
      <c r="A80" t="str">
        <f>IFERROR(__xludf.DUMMYFUNCTION("""COMPUTED_VALUE"""),"Subprefeitura Cidade Tiradentes")</f>
        <v>Subprefeitura Cidade Tiradentes</v>
      </c>
      <c r="B80" t="str">
        <f>IFERROR(__xludf.DUMMYFUNCTION("""COMPUTED_VALUE"""),"SUB-CT")</f>
        <v>SUB-CT</v>
      </c>
    </row>
    <row r="81">
      <c r="A81" t="str">
        <f>IFERROR(__xludf.DUMMYFUNCTION("""COMPUTED_VALUE"""),"Subprefeitura Guaianases")</f>
        <v>Subprefeitura Guaianases</v>
      </c>
      <c r="B81" t="str">
        <f>IFERROR(__xludf.DUMMYFUNCTION("""COMPUTED_VALUE"""),"SUB-G")</f>
        <v>SUB-G</v>
      </c>
    </row>
    <row r="82">
      <c r="A82" t="str">
        <f>IFERROR(__xludf.DUMMYFUNCTION("""COMPUTED_VALUE"""),"São Paulo Negócios")</f>
        <v>São Paulo Negócios</v>
      </c>
      <c r="B82" t="str">
        <f>IFERROR(__xludf.DUMMYFUNCTION("""COMPUTED_VALUE"""),"SP Negócios")</f>
        <v>SP Negócios</v>
      </c>
    </row>
  </sheetData>
  <drawing r:id="rId1"/>
</worksheet>
</file>