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425"/>
  </bookViews>
  <sheets>
    <sheet name="Plan1" sheetId="1" r:id="rId1"/>
  </sheets>
  <definedNames>
    <definedName name="_xlnm._FilterDatabase" localSheetId="0" hidden="1">Plan1!$A$2:$W$41</definedName>
    <definedName name="_xlnm.Print_Area" localSheetId="0">Plan1!$A$1:$W$2</definedName>
  </definedNames>
  <calcPr calcId="152511"/>
</workbook>
</file>

<file path=xl/calcChain.xml><?xml version="1.0" encoding="utf-8"?>
<calcChain xmlns="http://schemas.openxmlformats.org/spreadsheetml/2006/main">
  <c r="D97" i="1" l="1"/>
  <c r="D93" i="1"/>
  <c r="D89" i="1"/>
  <c r="D85" i="1"/>
  <c r="U8" i="1" l="1"/>
  <c r="V36" i="1" l="1"/>
  <c r="V35" i="1"/>
  <c r="K36" i="1"/>
  <c r="K35" i="1"/>
  <c r="C73" i="1"/>
  <c r="B73" i="1"/>
  <c r="C69" i="1"/>
  <c r="A73" i="1"/>
  <c r="A69" i="1"/>
  <c r="A65" i="1"/>
  <c r="A61" i="1"/>
  <c r="A77" i="1" l="1"/>
  <c r="D73" i="1"/>
  <c r="U3" i="1"/>
  <c r="J27" i="1" l="1"/>
  <c r="Q27" i="1"/>
  <c r="U27" i="1"/>
  <c r="J28" i="1"/>
  <c r="K28" i="1" s="1"/>
  <c r="L28" i="1" s="1"/>
  <c r="Q28" i="1"/>
  <c r="U28" i="1"/>
  <c r="W28" i="1" s="1"/>
  <c r="Q32" i="1" l="1"/>
  <c r="L4" i="1" l="1"/>
  <c r="L5" i="1"/>
  <c r="L6" i="1"/>
  <c r="L7" i="1"/>
  <c r="L9" i="1"/>
  <c r="L11" i="1"/>
  <c r="L13" i="1"/>
  <c r="L14" i="1"/>
  <c r="L16" i="1"/>
  <c r="L17" i="1"/>
  <c r="L18" i="1"/>
  <c r="L22" i="1"/>
  <c r="L23" i="1"/>
  <c r="L24" i="1"/>
  <c r="L26" i="1"/>
  <c r="L29" i="1"/>
  <c r="L34" i="1"/>
  <c r="L35" i="1"/>
  <c r="L36" i="1"/>
  <c r="L37" i="1"/>
  <c r="W10" i="1"/>
  <c r="W18" i="1"/>
  <c r="W37" i="1"/>
  <c r="Q39" i="1" l="1"/>
  <c r="J39" i="1"/>
  <c r="D57" i="1" l="1"/>
  <c r="Q40" i="1"/>
  <c r="S41" i="1"/>
  <c r="Q41" i="1" s="1"/>
  <c r="J41" i="1"/>
  <c r="Q4" i="1"/>
  <c r="Q8" i="1"/>
  <c r="Q15" i="1"/>
  <c r="Q17" i="1"/>
  <c r="Q19" i="1"/>
  <c r="Q34" i="1"/>
  <c r="S38" i="1"/>
  <c r="Q38" i="1" s="1"/>
  <c r="J38" i="1"/>
  <c r="J4" i="1"/>
  <c r="S26" i="1"/>
  <c r="U4" i="1"/>
  <c r="W4" i="1" s="1"/>
  <c r="J26" i="1"/>
  <c r="U26" i="1" s="1"/>
  <c r="W26" i="1" s="1"/>
  <c r="S23" i="1"/>
  <c r="V23" i="1" s="1"/>
  <c r="Q23" i="1" s="1"/>
  <c r="J23" i="1"/>
  <c r="S37" i="1"/>
  <c r="V37" i="1" s="1"/>
  <c r="Q37" i="1" s="1"/>
  <c r="J37" i="1"/>
  <c r="U36" i="1"/>
  <c r="W36" i="1" s="1"/>
  <c r="U35" i="1"/>
  <c r="W35" i="1" s="1"/>
  <c r="J36" i="1"/>
  <c r="S36" i="1" s="1"/>
  <c r="J35" i="1"/>
  <c r="S35" i="1" s="1"/>
  <c r="Q26" i="1" l="1"/>
  <c r="B69" i="1"/>
  <c r="D69" i="1" s="1"/>
  <c r="Q35" i="1"/>
  <c r="Q36" i="1"/>
  <c r="U23" i="1"/>
  <c r="V22" i="1"/>
  <c r="U33" i="1"/>
  <c r="W33" i="1" s="1"/>
  <c r="K33" i="1"/>
  <c r="S14" i="1"/>
  <c r="U34" i="1"/>
  <c r="W34" i="1" s="1"/>
  <c r="J34" i="1"/>
  <c r="U31" i="1"/>
  <c r="V16" i="1"/>
  <c r="Q16" i="1" s="1"/>
  <c r="U16" i="1"/>
  <c r="U6" i="1"/>
  <c r="S33" i="1" l="1"/>
  <c r="Q33" i="1" s="1"/>
  <c r="L33" i="1"/>
  <c r="J33" i="1"/>
  <c r="J3" i="1"/>
  <c r="U21" i="1" l="1"/>
  <c r="J32" i="1" l="1"/>
  <c r="Q31" i="1" l="1"/>
  <c r="J22" i="1"/>
  <c r="U30" i="1"/>
  <c r="S30" i="1"/>
  <c r="V30" i="1" s="1"/>
  <c r="Q30" i="1" s="1"/>
  <c r="U29" i="1"/>
  <c r="J29" i="1"/>
  <c r="K25" i="1"/>
  <c r="L25" i="1" s="1"/>
  <c r="U25" i="1"/>
  <c r="W25" i="1" s="1"/>
  <c r="U24" i="1" l="1"/>
  <c r="W24" i="1" s="1"/>
  <c r="S24" i="1"/>
  <c r="V24" i="1" s="1"/>
  <c r="Q24" i="1" s="1"/>
  <c r="U19" i="1"/>
  <c r="K19" i="1"/>
  <c r="U17" i="1"/>
  <c r="J17" i="1"/>
  <c r="U15" i="1"/>
  <c r="J15" i="1"/>
  <c r="J19" i="1" l="1"/>
  <c r="L19" i="1"/>
  <c r="K10" i="1"/>
  <c r="L10" i="1" s="1"/>
  <c r="S22" i="1"/>
  <c r="Q22" i="1" s="1"/>
  <c r="I31" i="1"/>
  <c r="W31" i="1" s="1"/>
  <c r="I30" i="1"/>
  <c r="W30" i="1" s="1"/>
  <c r="I29" i="1"/>
  <c r="W29" i="1" s="1"/>
  <c r="I23" i="1"/>
  <c r="W23" i="1" s="1"/>
  <c r="I22" i="1"/>
  <c r="W22" i="1" s="1"/>
  <c r="K21" i="1"/>
  <c r="L21" i="1" s="1"/>
  <c r="I20" i="1"/>
  <c r="I19" i="1"/>
  <c r="W19" i="1" s="1"/>
  <c r="I17" i="1"/>
  <c r="W17" i="1" s="1"/>
  <c r="I16" i="1"/>
  <c r="W16" i="1" s="1"/>
  <c r="I15" i="1"/>
  <c r="K15" i="1" s="1"/>
  <c r="L15" i="1" s="1"/>
  <c r="I14" i="1"/>
  <c r="I13" i="1"/>
  <c r="W13" i="1" s="1"/>
  <c r="I12" i="1"/>
  <c r="I11" i="1"/>
  <c r="W11" i="1" s="1"/>
  <c r="I9" i="1"/>
  <c r="W9" i="1" s="1"/>
  <c r="W8" i="1"/>
  <c r="I7" i="1"/>
  <c r="W7" i="1" s="1"/>
  <c r="I6" i="1"/>
  <c r="W6" i="1" s="1"/>
  <c r="I5" i="1"/>
  <c r="W5" i="1" s="1"/>
  <c r="L3" i="1"/>
  <c r="R5" i="1"/>
  <c r="S5" i="1" s="1"/>
  <c r="R6" i="1"/>
  <c r="S6" i="1" s="1"/>
  <c r="V6" i="1" s="1"/>
  <c r="Q6" i="1" s="1"/>
  <c r="S7" i="1"/>
  <c r="R9" i="1"/>
  <c r="S9" i="1" s="1"/>
  <c r="S10" i="1"/>
  <c r="R11" i="1"/>
  <c r="S11" i="1" s="1"/>
  <c r="R12" i="1"/>
  <c r="V12" i="1" s="1"/>
  <c r="R13" i="1"/>
  <c r="S13" i="1" s="1"/>
  <c r="V14" i="1"/>
  <c r="R15" i="1"/>
  <c r="R16" i="1"/>
  <c r="R17" i="1"/>
  <c r="S18" i="1"/>
  <c r="R19" i="1"/>
  <c r="R21" i="1"/>
  <c r="S21" i="1" s="1"/>
  <c r="R25" i="1"/>
  <c r="S25" i="1" s="1"/>
  <c r="V25" i="1" s="1"/>
  <c r="Q25" i="1" s="1"/>
  <c r="S29" i="1"/>
  <c r="S3" i="1"/>
  <c r="V21" i="1" l="1"/>
  <c r="Q21" i="1" s="1"/>
  <c r="B65" i="1"/>
  <c r="Q3" i="1"/>
  <c r="Q14" i="1"/>
  <c r="U14" i="1"/>
  <c r="W14" i="1" s="1"/>
  <c r="K12" i="1"/>
  <c r="L12" i="1" s="1"/>
  <c r="W12" i="1"/>
  <c r="W15" i="1"/>
  <c r="K30" i="1"/>
  <c r="L30" i="1" s="1"/>
  <c r="K8" i="1"/>
  <c r="L8" i="1" s="1"/>
  <c r="V11" i="1"/>
  <c r="Q11" i="1" s="1"/>
  <c r="V18" i="1"/>
  <c r="Q18" i="1" s="1"/>
  <c r="V10" i="1"/>
  <c r="Q10" i="1" s="1"/>
  <c r="V7" i="1"/>
  <c r="Q7" i="1" s="1"/>
  <c r="S12" i="1"/>
  <c r="Q12" i="1" s="1"/>
  <c r="V29" i="1"/>
  <c r="Q29" i="1" s="1"/>
  <c r="V13" i="1"/>
  <c r="Q13" i="1" s="1"/>
  <c r="V9" i="1"/>
  <c r="Q9" i="1" s="1"/>
  <c r="V5" i="1"/>
  <c r="C61" i="1" l="1"/>
  <c r="C65" i="1"/>
  <c r="D65" i="1" s="1"/>
  <c r="B61" i="1"/>
  <c r="B77" i="1" s="1"/>
  <c r="Q5" i="1"/>
  <c r="S43" i="1"/>
  <c r="C57" i="1" s="1"/>
  <c r="V43" i="1"/>
  <c r="W3" i="1"/>
  <c r="W47" i="1" s="1"/>
  <c r="D61" i="1" l="1"/>
  <c r="C77" i="1"/>
  <c r="D77" i="1" s="1"/>
  <c r="V47" i="1"/>
  <c r="E57" i="1"/>
  <c r="F57" i="1" s="1"/>
</calcChain>
</file>

<file path=xl/sharedStrings.xml><?xml version="1.0" encoding="utf-8"?>
<sst xmlns="http://schemas.openxmlformats.org/spreadsheetml/2006/main" count="438" uniqueCount="247">
  <si>
    <t>Nº SOF</t>
  </si>
  <si>
    <t>Nome/ Razão Social</t>
  </si>
  <si>
    <t>Início da Vigência</t>
  </si>
  <si>
    <t>Fim da Vigência</t>
  </si>
  <si>
    <t>13105/2015</t>
  </si>
  <si>
    <t>COP BEM GRAFICA E EDITORA LTDA-EPP</t>
  </si>
  <si>
    <t>Contratação de Empresa Especializada em Prestação de Serviços Gráficos para o Gabinete do Prefeito Vice Prefeita e Sec. Mun. de Comunicação  TC 005/SECOM/2015</t>
  </si>
  <si>
    <t>10989/2015</t>
  </si>
  <si>
    <t xml:space="preserve">MARFLY VIAGENS E TURISMO LTDA ME </t>
  </si>
  <si>
    <t xml:space="preserve">Agenciamento de passagens aéreas </t>
  </si>
  <si>
    <t>25570/2016</t>
  </si>
  <si>
    <t>BOXNET SERVIÇOS DE INFORMAÇÕES LTDA</t>
  </si>
  <si>
    <t xml:space="preserve">CONTRATAÇÃO DE SERVIÇOS ESPECIALIZADOS NA GESTÃO DE INFORMAÇÕES (MONITORAMENTO, INTEGRAÇÃO, NOTIFICAÇÃO E DIVULGAÇÃO DE INFORMAÇÕES), CONTEMPLANDO A FUNÇÃO DE BUSCAS RÁPIDAS DE NOTÍCIAS E A TRANSCRIÇÃO NA ÍNTEGRA DAS INFORMAÇÕES MONITORADAS COM: DISPONIBILIZAÇÃO DE UNIDADE DE RÁDIO E TV ESCUTA, ALERTA E MONITORAMENTO DE ASSUNTOS E TEMAS LIGADOS À CIDADE DE SÃO PAULO, A CÂMARA MUNICIPAL DE SÃO PAULO E MONITORAMENTO DOS CONTEÚDOS DE INTERESSE DO DIÁRIO OFICIAL DA CIDADE E SUA DIVULGAÇÃO EM MODO DE CLIPPING PARA AS AUTORIDADES MUNICIPAIS E SERVIDORES MUNICIPAIS QUE NECESSITEM. </t>
  </si>
  <si>
    <t>29/09/2016</t>
  </si>
  <si>
    <t>28/09/2017</t>
  </si>
  <si>
    <t>191/2016</t>
  </si>
  <si>
    <t>MR COMPUTER INFORMÁTICA LTDA</t>
  </si>
  <si>
    <t xml:space="preserve">Prestação de serviços para impressão departamental para
atender às necessidades da Secretaria do Governo
Municipal e do Gabinete do Prefeito.
</t>
  </si>
  <si>
    <t>01/02/2016</t>
  </si>
  <si>
    <t>31/01/2019</t>
  </si>
  <si>
    <t>18513/2016</t>
  </si>
  <si>
    <t>LUZ PUBLICIDADE SP SUL LTDA</t>
  </si>
  <si>
    <t>Contratação de empresa especializada na prestação de serviços de veiculação impressa de publicidade para publicação anual de até 15.000 (quinze mil) cm x Coluna, em jornal de grande circulação paga, com edição de segunda-feira a domingo no Estado de São Paulo, de avisos de licitações e outros tipos de comunicados da Prefeitura do Município São Paulo (PMSP).</t>
  </si>
  <si>
    <t>31/07/2016</t>
  </si>
  <si>
    <t>30/07/2017</t>
  </si>
  <si>
    <t>1172/2013</t>
  </si>
  <si>
    <t xml:space="preserve">COOPER progresso - cooperativa de serviços de transportes </t>
  </si>
  <si>
    <t>Contratação de empresa para prestação de serviços de transporte, por meio
de 16 (dezesseis) veículos do Grupo C - veículo popular, incluindo
motorista, fornecimento de combustível e quilometragem livre, para atender
a Secretaria do Governo e Gabinete do Prefeito.</t>
  </si>
  <si>
    <t>26215/2016</t>
  </si>
  <si>
    <t>Ricohlor comercio  e sistemas reprograficos eireli - epp</t>
  </si>
  <si>
    <t xml:space="preserve">serviço de cópia de documentos </t>
  </si>
  <si>
    <t>25/10/2016</t>
  </si>
  <si>
    <t>24/10/2017</t>
  </si>
  <si>
    <t>4138/2017</t>
  </si>
  <si>
    <t xml:space="preserve">Empresa Brasileira de Correios  e Telegrafos </t>
  </si>
  <si>
    <t xml:space="preserve">Serviço de postagens </t>
  </si>
  <si>
    <t>27/03/2017</t>
  </si>
  <si>
    <t>26/03/2018</t>
  </si>
  <si>
    <t>285872016</t>
  </si>
  <si>
    <t>RV MANUTENÇÃO DE ELEVADORES LTDA EPP</t>
  </si>
  <si>
    <t>Manutenção preventiva e corretiva de três elevadores instalados no edíficio São Joaquim</t>
  </si>
  <si>
    <t>01/12/2016</t>
  </si>
  <si>
    <t>30/11/2017</t>
  </si>
  <si>
    <t>27704/2016</t>
  </si>
  <si>
    <t>Elavadores Atlas Schindler AS</t>
  </si>
  <si>
    <t>Prestação de serviço de manutenção  preventiva  e corretiva de 2 (duas) escadas rolantes  marca Atlas Schindler nº s EER000001 e EER000003, instaladas na galeria  prestes maia ,Praça Patriarca, incluindo assistência técnica, fornecimento de mão p de obra especializada  e de todo  o material de consumo a ser  utilizado  nessa  prestação de serviço, ferramentas e equipamentos com a exceção dos valores  referentes  às peças de reposição, de acordo com a descrição constante  do Anexo I.</t>
  </si>
  <si>
    <t>10/11/2016</t>
  </si>
  <si>
    <t>09/11/2017</t>
  </si>
  <si>
    <t>22860/20</t>
  </si>
  <si>
    <t>VHF RADIO COMUNICACOES COMERCIAL LTDA - EPP</t>
  </si>
  <si>
    <t xml:space="preserve">Contratação de um conjunto de 32 rádios tranceptores  digitais  e acessórios </t>
  </si>
  <si>
    <t>17958/2016</t>
  </si>
  <si>
    <t>CLIKLIMP CML MAT DE LIMP E HIGIENE LTDA-EPP</t>
  </si>
  <si>
    <t>Aquisição de copos descratáveis para abastacer o departamento de responsabilidade de SMG no edíficio Matarazzo</t>
  </si>
  <si>
    <t>08/07/2016</t>
  </si>
  <si>
    <t>07/07/2017</t>
  </si>
  <si>
    <t>12385/2014</t>
  </si>
  <si>
    <t>DIOGO BARCHIMARQUEZINI - ME</t>
  </si>
  <si>
    <t xml:space="preserve"> Prestação de serviços para confecção de cartões de visita.</t>
  </si>
  <si>
    <t>26/05/2016</t>
  </si>
  <si>
    <t>25/05/2017</t>
  </si>
  <si>
    <t>45932014</t>
  </si>
  <si>
    <t>CLARO S/A</t>
  </si>
  <si>
    <t>Prestação de serviço telefônico fixo comutado - STFC através de entroncamentos digitais (E1) com 8 troncos, com um total de 2000 ramais, serviço de discagem direta a ramal -DDR, destinado ao tráfego de chamadas locais e de longa distância (Nacional e Internacional), para ser instalado na Secretaria do Governo Municipal.</t>
  </si>
  <si>
    <t>17/03/2017</t>
  </si>
  <si>
    <t>16/03/2018</t>
  </si>
  <si>
    <t>1617/2012</t>
  </si>
  <si>
    <t>RECOZ SERV. E com. de REFRIGERÇÃO E EQUIPAMENTOS DE COZINHA LTDA ME</t>
  </si>
  <si>
    <t xml:space="preserve">Contratação de empresa especializada na prestação de serviços de manutenção preventiva e corretiva e assistência técnica do sistema de ar condicionado Central, instalado no Edificiò Matarazzo, incluindo o diagnóstico da qualidade do ar, limpeza interna da rede de dutos e a análise da água do sistema de ar condicionado antes e depois do tratamento químico e 32 (trinta e dois) aparelhos de ar condicionado, instalados em diversas Unidades da Secretaria do Governo Municipal.
</t>
  </si>
  <si>
    <t>01/02/2017</t>
  </si>
  <si>
    <t>01/05/2017</t>
  </si>
  <si>
    <t>988/2015</t>
  </si>
  <si>
    <t>Elavadores Atlas  Schindler S/A</t>
  </si>
  <si>
    <t>Contratação de empresa especializada na execução  de serviços  de manutenção preventiva e corretiva em 05 (cinco)  portões  de entrada do Edíficio Matarazzo</t>
  </si>
  <si>
    <t>28/01/2017</t>
  </si>
  <si>
    <t>28/01/2018</t>
  </si>
  <si>
    <t>3045/2014</t>
  </si>
  <si>
    <t>ACE SEGURADORA S.A.</t>
  </si>
  <si>
    <t xml:space="preserve"> Contratação de empresa para emissão de Apólice de
Seguro do Edifício Matarazzo contra riscos de incêndio,
queda de raio, explosão, danos elétricos, vendaval e
fumaça, impacto de veículos aéreos e terrestres, tumulto e
responsabilidade civil.</t>
  </si>
  <si>
    <t>11/04/2017</t>
  </si>
  <si>
    <t>10/04/2018</t>
  </si>
  <si>
    <t>-</t>
  </si>
  <si>
    <t>7078/2017</t>
  </si>
  <si>
    <t>13108/2015</t>
  </si>
  <si>
    <t>ESDEVA INDUSTRIA GRAFICA S/A</t>
  </si>
  <si>
    <t>Contratação de empresa especializada em prestação de serviços Gráficos.</t>
  </si>
  <si>
    <t>14290/2016</t>
  </si>
  <si>
    <t>FAPETEC FUNDAÇÃO DE APOIO A PESQ ENSINOTECNOLOGIA E CULTURA</t>
  </si>
  <si>
    <t>Serviço de produções audiovisuais, em reportagem e registro jornalístico de eventos promovidos pela PMSP, para acervo histórico e eventual transmissão pela internet.</t>
  </si>
  <si>
    <t>TELEFÔNICA BRASIL S/A</t>
  </si>
  <si>
    <t xml:space="preserve">Telefônia móvel </t>
  </si>
  <si>
    <t>6142/2016</t>
  </si>
  <si>
    <t>3704/2016</t>
  </si>
  <si>
    <t>RP SERVIÇO DE MANUTENÇÃO E MONTAGEM LTDA EPP</t>
  </si>
  <si>
    <t xml:space="preserve">Contratação de empresa especializada em prestação de serviço de manutenção opreventiva e corretiva dos sistemas hidráulico e civil e serviços gerais </t>
  </si>
  <si>
    <t>25903/2014</t>
  </si>
  <si>
    <t>SIMPRESS COMÉRCIO LOCAÇÃO EMPRESARIALDE PARNAÍBA</t>
  </si>
  <si>
    <t xml:space="preserve">Prestação de Serviço  Continuados de contratação  de empresa especializada na  locação de equipamentos  reprográficos multifuncionais ( com função de fotocopiadora , impressora e scanner). </t>
  </si>
  <si>
    <t>2510/2016</t>
  </si>
  <si>
    <t>SÃO PAULO TURISMO S/A</t>
  </si>
  <si>
    <t>Apoio institucional ao Carnaval Paulistano 2017, além da organização, divulgação, comercialização, controle e fiscalização referentes às apresentações de espetáculos artísticos e culturais por agremiações, escolas, blocos e cordões carnavalescos.</t>
  </si>
  <si>
    <t>927/2017</t>
  </si>
  <si>
    <t>Contratação de serviços de planejamento, produção, promoção, execução e fiscalização dos eventos que compõem o Carnaval 2017, na cidade de São Paulo, com fornecimento de infraestrutura constituída por equipamentos, serviços e produtos, contratação artística, pessoal técnico e operacional, bem como locação de áreas.</t>
  </si>
  <si>
    <t>20860/2016</t>
  </si>
  <si>
    <t xml:space="preserve">Contratação de empresa especializada para prestação de
serviços de manutenção das Centrais de Informações
Turísticas, compreendendo o fornecimento de
infraestrutura. </t>
  </si>
  <si>
    <t>15292/2016</t>
  </si>
  <si>
    <t>TB SERVIÇOS TRANSPORTE LIMPEZA GERENCIAMENTO E RECURSOS HUMANOS S/A</t>
  </si>
  <si>
    <t>Constratação de empresa especializada na prestação de serviços de limpeza asseio e conservação predial visando a obtenção de adequadas  condições de salubridade e higiene com disponibilização de mão-de-obra e com fornecimento de materiais de limpeza, incluíndo-se desintetização e desratização a serem executados nas instalações do prédio Matarazzo - Viaduto do Chá, nº 15, do Edifício São Joaquim - Rua Libero Badaró, 119 e Galeria Prestes Maia - Praça do Patriarca por um período de 12 (doze) meses.</t>
  </si>
  <si>
    <t xml:space="preserve">Empresa de Tecnologia da Informação e Comunicação do Município </t>
  </si>
  <si>
    <t>23736/2014</t>
  </si>
  <si>
    <t>HELIMARTE TÁXI AEREO LTDA</t>
  </si>
  <si>
    <t xml:space="preserve">Contratação de empresa especializada para prestação de serviços de locação de aeronave com asa rotativa </t>
  </si>
  <si>
    <t>"11010/2016"</t>
  </si>
  <si>
    <t>Contratação de serviços de planejamento, produção, execução e finalização de eventos diversos, incluindo aniversário de São Paulo, com o fornecimento de infraestrutura constituída por equipamento e produtos, pessoal técnico e operacional e eventual contratação artística e locação de áreas.</t>
  </si>
  <si>
    <t>SEI</t>
  </si>
  <si>
    <t>Objeto</t>
  </si>
  <si>
    <t xml:space="preserve">Data da Renegociação </t>
  </si>
  <si>
    <t>Condições</t>
  </si>
  <si>
    <t>STATUS</t>
  </si>
  <si>
    <t>UO</t>
  </si>
  <si>
    <t>74.10</t>
  </si>
  <si>
    <t>Meses residuais</t>
  </si>
  <si>
    <t>11.20</t>
  </si>
  <si>
    <t>6011.2017/0000052-3</t>
  </si>
  <si>
    <t xml:space="preserve"> índice </t>
  </si>
  <si>
    <t xml:space="preserve">Meses de vigência </t>
  </si>
  <si>
    <t xml:space="preserve">Valor Mensal </t>
  </si>
  <si>
    <t>Valor Total</t>
  </si>
  <si>
    <t>Reajuste Previsto (6%)</t>
  </si>
  <si>
    <t xml:space="preserve">Saldo a pagar antes da renegociação </t>
  </si>
  <si>
    <t xml:space="preserve">Saldo Renegociado </t>
  </si>
  <si>
    <t xml:space="preserve">Valor Mensal Renegociado </t>
  </si>
  <si>
    <t>Reajuste renegociado  (4,5%)</t>
  </si>
  <si>
    <t xml:space="preserve"> DADOS DO CONTRTATO</t>
  </si>
  <si>
    <t xml:space="preserve">ANTERIOR À RENEGOCIAÇÃO </t>
  </si>
  <si>
    <t xml:space="preserve">RENEGOCIAÇÃO </t>
  </si>
  <si>
    <t xml:space="preserve">APÓS A RENEGOCIAÇÃO </t>
  </si>
  <si>
    <t>6011.2016/0000081-5</t>
  </si>
  <si>
    <t>6011.2017/0000109-0</t>
  </si>
  <si>
    <t>6011.2016/0000107-2</t>
  </si>
  <si>
    <t>6011.2017/0000062-0</t>
  </si>
  <si>
    <t>6011.2016/0000124-2</t>
  </si>
  <si>
    <t>6011.2017/0000018-3</t>
  </si>
  <si>
    <t>6011.2016/0000117-0</t>
  </si>
  <si>
    <t>6011.2017/0000082-5</t>
  </si>
  <si>
    <t>índice</t>
  </si>
  <si>
    <t>6011.2017/0000058-2</t>
  </si>
  <si>
    <t>6011.2017/0000046-9</t>
  </si>
  <si>
    <t>Índice</t>
  </si>
  <si>
    <t>11.50</t>
  </si>
  <si>
    <t>6011.2017/0000063-9</t>
  </si>
  <si>
    <t>6011.2017/0000057-4</t>
  </si>
  <si>
    <t>6011.2016/0000004-1</t>
  </si>
  <si>
    <t>6069.2016/0000072-2</t>
  </si>
  <si>
    <t>11.28</t>
  </si>
  <si>
    <t xml:space="preserve">6011.2016/0000126-9 </t>
  </si>
  <si>
    <t>6011.2016/0000026-2</t>
  </si>
  <si>
    <t>6069.2016/0000028-5</t>
  </si>
  <si>
    <t>Não Renegociou</t>
  </si>
  <si>
    <t>6011.2017/0000230-5</t>
  </si>
  <si>
    <t>Extinto</t>
  </si>
  <si>
    <t xml:space="preserve">Contratação feita após a renegociação </t>
  </si>
  <si>
    <t>6069.2016/0000076-5</t>
  </si>
  <si>
    <t>6011.2017/0000176-7</t>
  </si>
  <si>
    <t>6011.2016/0000219-2</t>
  </si>
  <si>
    <t>3645/2017</t>
  </si>
  <si>
    <t>INSTITUTO NACIONAL DA MODA</t>
  </si>
  <si>
    <t>Evento de São Paulo</t>
  </si>
  <si>
    <t xml:space="preserve">Economia </t>
  </si>
  <si>
    <t xml:space="preserve">TOTAL </t>
  </si>
  <si>
    <t>Órgão</t>
  </si>
  <si>
    <t>Contratos Cadastrados</t>
  </si>
  <si>
    <t>Saldo a Renegociar</t>
  </si>
  <si>
    <t>Contratos com Sucesso na Renegociação</t>
  </si>
  <si>
    <t>Economia Total</t>
  </si>
  <si>
    <t>Economia Percentual</t>
  </si>
  <si>
    <t>Secretaria do Governo Municipal</t>
  </si>
  <si>
    <t>Análise SF</t>
  </si>
  <si>
    <t>Análise SGM</t>
  </si>
  <si>
    <t>Renegociou</t>
  </si>
  <si>
    <t>EXCEPCIONAL - Incorporação de 3 contratos em 1</t>
  </si>
  <si>
    <r>
      <t>LUA PROPAGANDA S/A</t>
    </r>
    <r>
      <rPr>
        <sz val="12"/>
        <rFont val="Calibri"/>
        <family val="2"/>
      </rPr>
      <t>. (05.916.755/0001-54)</t>
    </r>
  </si>
  <si>
    <t>Inserções publicitárias</t>
  </si>
  <si>
    <t>NOVA S/B COMUNICAÇÃO LTDA. (57.118.929/0001-37)</t>
  </si>
  <si>
    <t xml:space="preserve">Prestação de serviço de publicidade </t>
  </si>
  <si>
    <t>Contrato foi aditado por 3 meses de abril à julho de 2017. Posteriormente foi aditado novamente por mais 3 meses, de 01/07/2017 até 02/10/2017</t>
  </si>
  <si>
    <t>Contrato foi aditado por 3 meses de abril à julho de 2017. Posteriormente foi aditado novamente por mais 3 meses, de 01/07/2017 até 02/10/2018</t>
  </si>
  <si>
    <t xml:space="preserve">Economia percentual </t>
  </si>
  <si>
    <t>6069.2016/0000071-4</t>
  </si>
  <si>
    <t>Informou por ofício que aceita a troca do índice</t>
  </si>
  <si>
    <t>5098/2015</t>
  </si>
  <si>
    <t>6069.2016/0000073-0</t>
  </si>
  <si>
    <t>EXCEPCIONAL - Este contrato absorveu a demanda do contrato Marfly da 74.10</t>
  </si>
  <si>
    <t>SKS</t>
  </si>
  <si>
    <t>Encerrado</t>
  </si>
  <si>
    <t>EXCEPCIONAL - Este foi absorvido pelo contrato da Marfly da UO 11.20</t>
  </si>
  <si>
    <t>3790/2015</t>
  </si>
  <si>
    <t>6069.2016/0000074-9</t>
  </si>
  <si>
    <t>ontratação de empresa especializada em prestação de serviço de Transporte com veículos, incluindo motorista e combustível, de quilometragem livre, de veículos tipo "B", "C" e "D"</t>
  </si>
  <si>
    <t>Demanda absorvida pelo contrato da Cooper Progresso, UO 11.20</t>
  </si>
  <si>
    <t>índice retroativo à 27/04/2017</t>
  </si>
  <si>
    <t xml:space="preserve"> índice;  desconto </t>
  </si>
  <si>
    <t>Solução de Continuidade (3 meses)</t>
  </si>
  <si>
    <t>Solução de continuidade</t>
  </si>
  <si>
    <t>índice ; desconto</t>
  </si>
  <si>
    <t>Prorrogação - índice ;  desconto</t>
  </si>
  <si>
    <t xml:space="preserve">EXCEPCIONAL - Incorporação de 2 contratos em 1 </t>
  </si>
  <si>
    <t>índice; desconto</t>
  </si>
  <si>
    <t>Redução do objeto</t>
  </si>
  <si>
    <t>desconto ; índice</t>
  </si>
  <si>
    <t>desconto ;  índice</t>
  </si>
  <si>
    <t>Solução de Continuidade; desconto</t>
  </si>
  <si>
    <t>15% ; índice; desconto</t>
  </si>
  <si>
    <t>EXCEPCIONAL - Renegociação feita entre contratos diferentes de mesmo objeto; desconto</t>
  </si>
  <si>
    <t>desconto</t>
  </si>
  <si>
    <t>extinção do contrato</t>
  </si>
  <si>
    <t>EXCEPCIONAL - Comparação entre os contratos do Aniversário de São Paulo (2016 e 2017) - desconto</t>
  </si>
  <si>
    <t>EXCEPCIONAL - Renegociação feita entre contratos diferentes de mesmo objeto ; desconto</t>
  </si>
  <si>
    <t>40.10</t>
  </si>
  <si>
    <t>2014-0.296.008-1</t>
  </si>
  <si>
    <t>2015-0.115.459-8</t>
  </si>
  <si>
    <t>33460/2014</t>
  </si>
  <si>
    <t>26382/2015</t>
  </si>
  <si>
    <t>11289/2016</t>
  </si>
  <si>
    <t>6011.2016/0000069-6</t>
  </si>
  <si>
    <t>EXCEPCIONAL - Contrato absorvido pelo novo contrato de sustentação de TIC de UO 11.20</t>
  </si>
  <si>
    <t xml:space="preserve"> PROJETO DE SUSTENTAÇÃO E MELHORIAS DO PORTAL DA PREFEITURA DE SÃO PAULO.</t>
  </si>
  <si>
    <t>Sustentação de TIC</t>
  </si>
  <si>
    <t>6069.2016/0000003-0</t>
  </si>
  <si>
    <t>Economia com Reajuste</t>
  </si>
  <si>
    <t>Economia com Valores Residuais</t>
  </si>
  <si>
    <t>Quantidade</t>
  </si>
  <si>
    <t>Saldo a pagar antes</t>
  </si>
  <si>
    <t>Saldo após</t>
  </si>
  <si>
    <t>TOTAL</t>
  </si>
  <si>
    <t>ANTES</t>
  </si>
  <si>
    <t>APÓS</t>
  </si>
  <si>
    <t>6011.2017/0000238-0</t>
  </si>
  <si>
    <t>20110291215-4</t>
  </si>
  <si>
    <t xml:space="preserve">Saldo a Renegociar </t>
  </si>
  <si>
    <t>Valor após a renegociação</t>
  </si>
  <si>
    <t>Economia</t>
  </si>
  <si>
    <t>Economia %</t>
  </si>
  <si>
    <t>Renegociados</t>
  </si>
  <si>
    <t>Não Renegociados</t>
  </si>
  <si>
    <t>Encerrados</t>
  </si>
  <si>
    <t>Extintos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</si>
</sst>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0.0"/>
    <numFmt numFmtId="166" formatCode="&quot;R$&quot;\ #,##0.00"/>
    <numFmt numFmtId="167" formatCode="_-&quot;R$&quot;\ * #,##0.0000_-;\-&quot;R$&quot;\ * #,##0.0000_-;_-&quot;R$&quot;\ * &quot;-&quot;??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2"/>
      <color rgb="FF1F497D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1F497D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99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rgb="FFFFFF00"/>
        </stop>
      </gradientFill>
    </fill>
    <fill>
      <patternFill patternType="solid">
        <fgColor theme="0"/>
        <bgColor auto="1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wrapText="1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left" vertical="center" wrapText="1"/>
      <protection locked="0"/>
    </xf>
    <xf numFmtId="14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wrapText="1"/>
    </xf>
    <xf numFmtId="14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14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44" fontId="4" fillId="2" borderId="1" xfId="1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 applyProtection="1">
      <alignment horizontal="center" vertical="center" wrapText="1"/>
      <protection locked="0"/>
    </xf>
    <xf numFmtId="44" fontId="0" fillId="0" borderId="0" xfId="1" applyFon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4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44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14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14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 applyProtection="1">
      <alignment vertical="center" wrapText="1"/>
      <protection locked="0"/>
    </xf>
    <xf numFmtId="166" fontId="8" fillId="2" borderId="2" xfId="0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44" fontId="4" fillId="3" borderId="2" xfId="1" applyFont="1" applyFill="1" applyBorder="1" applyAlignment="1" applyProtection="1">
      <alignment horizontal="center" vertical="center" wrapText="1"/>
      <protection locked="0"/>
    </xf>
    <xf numFmtId="14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9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2" applyFont="1" applyFill="1" applyBorder="1" applyAlignment="1" applyProtection="1">
      <alignment horizontal="center" vertical="center" wrapText="1"/>
      <protection locked="0"/>
    </xf>
    <xf numFmtId="10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 wrapText="1"/>
    </xf>
    <xf numFmtId="14" fontId="4" fillId="2" borderId="5" xfId="2" applyNumberFormat="1" applyFont="1" applyFill="1" applyBorder="1" applyAlignment="1" applyProtection="1">
      <alignment horizontal="center" vertical="center" wrapText="1"/>
      <protection locked="0"/>
    </xf>
    <xf numFmtId="165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165" fontId="4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2" applyFont="1" applyFill="1" applyBorder="1" applyAlignment="1" applyProtection="1">
      <alignment horizontal="center" vertical="center" wrapText="1"/>
      <protection locked="0"/>
    </xf>
    <xf numFmtId="14" fontId="4" fillId="3" borderId="4" xfId="2" applyNumberFormat="1" applyFont="1" applyFill="1" applyBorder="1" applyAlignment="1" applyProtection="1">
      <alignment horizontal="center" vertical="center" wrapText="1"/>
      <protection locked="0"/>
    </xf>
    <xf numFmtId="44" fontId="4" fillId="2" borderId="2" xfId="1" applyFont="1" applyFill="1" applyBorder="1" applyAlignment="1" applyProtection="1">
      <alignment horizontal="center" vertical="center" wrapText="1"/>
      <protection locked="0"/>
    </xf>
    <xf numFmtId="0" fontId="6" fillId="3" borderId="2" xfId="2" applyFont="1" applyFill="1" applyBorder="1" applyAlignment="1" applyProtection="1">
      <alignment horizontal="center" vertical="center" wrapText="1"/>
      <protection locked="0"/>
    </xf>
    <xf numFmtId="44" fontId="4" fillId="2" borderId="2" xfId="1" quotePrefix="1" applyFont="1" applyFill="1" applyBorder="1" applyAlignment="1" applyProtection="1">
      <alignment horizontal="center" vertical="center" wrapText="1"/>
      <protection locked="0"/>
    </xf>
    <xf numFmtId="44" fontId="0" fillId="0" borderId="2" xfId="1" applyFont="1" applyBorder="1" applyAlignment="1">
      <alignment horizontal="center" vertical="center" wrapText="1"/>
    </xf>
    <xf numFmtId="165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44" fontId="4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4" fontId="0" fillId="0" borderId="2" xfId="1" applyFont="1" applyBorder="1" applyAlignment="1">
      <alignment vertical="center" wrapText="1"/>
    </xf>
    <xf numFmtId="44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0" xfId="0" applyFont="1" applyAlignment="1">
      <alignment wrapText="1"/>
    </xf>
    <xf numFmtId="0" fontId="13" fillId="4" borderId="8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/>
    <xf numFmtId="0" fontId="17" fillId="2" borderId="2" xfId="0" applyFont="1" applyFill="1" applyBorder="1" applyAlignment="1">
      <alignment horizontal="left" vertical="center" wrapText="1"/>
    </xf>
    <xf numFmtId="10" fontId="0" fillId="0" borderId="0" xfId="0" applyNumberFormat="1" applyAlignment="1">
      <alignment horizontal="center" vertical="center" wrapText="1"/>
    </xf>
    <xf numFmtId="3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14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1" applyNumberFormat="1" applyFont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14" fontId="4" fillId="5" borderId="1" xfId="2" applyNumberFormat="1" applyFont="1" applyFill="1" applyBorder="1" applyAlignment="1" applyProtection="1">
      <alignment horizontal="center" vertical="center" wrapText="1"/>
      <protection locked="0"/>
    </xf>
    <xf numFmtId="1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14" fontId="4" fillId="7" borderId="1" xfId="2" applyNumberFormat="1" applyFont="1" applyFill="1" applyBorder="1" applyAlignment="1" applyProtection="1">
      <alignment horizontal="center" vertical="center" wrapText="1"/>
      <protection locked="0"/>
    </xf>
    <xf numFmtId="14" fontId="4" fillId="8" borderId="1" xfId="2" applyNumberFormat="1" applyFont="1" applyFill="1" applyBorder="1" applyAlignment="1" applyProtection="1">
      <alignment horizontal="center" vertical="center" wrapText="1"/>
      <protection locked="0"/>
    </xf>
    <xf numFmtId="14" fontId="4" fillId="2" borderId="15" xfId="2" applyNumberFormat="1" applyFont="1" applyFill="1" applyBorder="1" applyAlignment="1" applyProtection="1">
      <alignment horizontal="center" vertical="center" wrapText="1"/>
      <protection locked="0"/>
    </xf>
    <xf numFmtId="44" fontId="18" fillId="0" borderId="2" xfId="1" applyFont="1" applyBorder="1" applyAlignment="1">
      <alignment horizontal="center"/>
    </xf>
    <xf numFmtId="44" fontId="0" fillId="3" borderId="2" xfId="1" applyFont="1" applyFill="1" applyBorder="1" applyAlignment="1">
      <alignment horizontal="center" vertical="center" wrapText="1"/>
    </xf>
    <xf numFmtId="44" fontId="0" fillId="0" borderId="0" xfId="0" applyNumberFormat="1"/>
    <xf numFmtId="10" fontId="0" fillId="0" borderId="0" xfId="0" applyNumberFormat="1"/>
    <xf numFmtId="0" fontId="10" fillId="2" borderId="16" xfId="0" applyFont="1" applyFill="1" applyBorder="1" applyAlignment="1">
      <alignment horizontal="center" vertical="center" wrapText="1"/>
    </xf>
    <xf numFmtId="10" fontId="10" fillId="2" borderId="16" xfId="0" applyNumberFormat="1" applyFont="1" applyFill="1" applyBorder="1" applyAlignment="1">
      <alignment horizontal="center" vertical="center" wrapText="1"/>
    </xf>
    <xf numFmtId="0" fontId="20" fillId="9" borderId="1" xfId="2" applyFont="1" applyFill="1" applyBorder="1" applyAlignment="1" applyProtection="1">
      <alignment horizontal="center" wrapText="1"/>
      <protection locked="0"/>
    </xf>
    <xf numFmtId="0" fontId="20" fillId="9" borderId="6" xfId="2" applyFont="1" applyFill="1" applyBorder="1" applyAlignment="1" applyProtection="1">
      <alignment horizontal="center" wrapText="1"/>
      <protection locked="0"/>
    </xf>
    <xf numFmtId="0" fontId="20" fillId="9" borderId="12" xfId="2" applyFont="1" applyFill="1" applyBorder="1" applyAlignment="1" applyProtection="1">
      <alignment horizontal="center" wrapText="1"/>
      <protection locked="0"/>
    </xf>
    <xf numFmtId="0" fontId="20" fillId="9" borderId="0" xfId="2" applyFont="1" applyFill="1" applyBorder="1" applyAlignment="1" applyProtection="1">
      <alignment horizontal="center" wrapText="1"/>
      <protection locked="0"/>
    </xf>
    <xf numFmtId="1" fontId="20" fillId="9" borderId="1" xfId="2" applyNumberFormat="1" applyFont="1" applyFill="1" applyBorder="1" applyAlignment="1" applyProtection="1">
      <alignment horizontal="center" wrapText="1"/>
      <protection locked="0"/>
    </xf>
    <xf numFmtId="0" fontId="21" fillId="9" borderId="1" xfId="2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4" fontId="22" fillId="0" borderId="0" xfId="0" applyNumberFormat="1" applyFont="1" applyAlignment="1">
      <alignment horizontal="center" vertical="center"/>
    </xf>
    <xf numFmtId="10" fontId="6" fillId="2" borderId="4" xfId="2" applyNumberFormat="1" applyFont="1" applyFill="1" applyBorder="1" applyAlignment="1" applyProtection="1">
      <alignment horizontal="center" vertical="center" wrapText="1"/>
      <protection locked="0"/>
    </xf>
    <xf numFmtId="44" fontId="23" fillId="2" borderId="2" xfId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0" fontId="20" fillId="11" borderId="2" xfId="2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10" fontId="25" fillId="0" borderId="2" xfId="0" applyNumberFormat="1" applyFont="1" applyBorder="1" applyAlignment="1">
      <alignment horizontal="center" vertical="center" wrapText="1"/>
    </xf>
    <xf numFmtId="0" fontId="26" fillId="3" borderId="2" xfId="2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>
      <alignment horizontal="center" vertical="center" wrapText="1"/>
    </xf>
    <xf numFmtId="44" fontId="25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0" fontId="2" fillId="0" borderId="23" xfId="4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66" fontId="2" fillId="0" borderId="2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wrapText="1"/>
    </xf>
    <xf numFmtId="0" fontId="2" fillId="12" borderId="25" xfId="0" applyFont="1" applyFill="1" applyBorder="1" applyAlignment="1">
      <alignment horizontal="center" wrapText="1"/>
    </xf>
    <xf numFmtId="0" fontId="2" fillId="12" borderId="26" xfId="0" applyFont="1" applyFill="1" applyBorder="1" applyAlignment="1">
      <alignment horizont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4" fontId="2" fillId="12" borderId="24" xfId="0" applyNumberFormat="1" applyFont="1" applyFill="1" applyBorder="1" applyAlignment="1">
      <alignment horizontal="center" vertical="center" wrapText="1"/>
    </xf>
    <xf numFmtId="4" fontId="2" fillId="12" borderId="25" xfId="0" applyNumberFormat="1" applyFont="1" applyFill="1" applyBorder="1" applyAlignment="1">
      <alignment horizontal="center" vertical="center" wrapText="1"/>
    </xf>
    <xf numFmtId="4" fontId="2" fillId="12" borderId="26" xfId="0" applyNumberFormat="1" applyFont="1" applyFill="1" applyBorder="1" applyAlignment="1">
      <alignment horizontal="center" vertical="center" wrapText="1"/>
    </xf>
    <xf numFmtId="14" fontId="6" fillId="6" borderId="17" xfId="2" applyNumberFormat="1" applyFont="1" applyFill="1" applyBorder="1" applyAlignment="1" applyProtection="1">
      <alignment horizontal="center" vertical="center" wrapText="1"/>
      <protection locked="0"/>
    </xf>
    <xf numFmtId="0" fontId="24" fillId="3" borderId="2" xfId="0" applyFont="1" applyFill="1" applyBorder="1" applyAlignment="1">
      <alignment horizontal="center" vertical="center" wrapText="1"/>
    </xf>
    <xf numFmtId="14" fontId="6" fillId="5" borderId="17" xfId="2" applyNumberFormat="1" applyFont="1" applyFill="1" applyBorder="1" applyAlignment="1" applyProtection="1">
      <alignment horizontal="center" vertical="center" wrapText="1"/>
      <protection locked="0"/>
    </xf>
    <xf numFmtId="14" fontId="6" fillId="7" borderId="17" xfId="2" applyNumberFormat="1" applyFont="1" applyFill="1" applyBorder="1" applyAlignment="1" applyProtection="1">
      <alignment horizontal="center" vertical="center" wrapText="1"/>
      <protection locked="0"/>
    </xf>
    <xf numFmtId="14" fontId="6" fillId="7" borderId="18" xfId="2" applyNumberFormat="1" applyFont="1" applyFill="1" applyBorder="1" applyAlignment="1" applyProtection="1">
      <alignment horizontal="center" vertical="center" wrapText="1"/>
      <protection locked="0"/>
    </xf>
    <xf numFmtId="14" fontId="6" fillId="8" borderId="17" xfId="2" applyNumberFormat="1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1" fontId="2" fillId="10" borderId="7" xfId="0" applyNumberFormat="1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10" fontId="13" fillId="0" borderId="9" xfId="0" applyNumberFormat="1" applyFont="1" applyBorder="1" applyAlignment="1">
      <alignment horizontal="center" vertical="center" wrapText="1"/>
    </xf>
    <xf numFmtId="10" fontId="13" fillId="0" borderId="11" xfId="0" applyNumberFormat="1" applyFont="1" applyBorder="1" applyAlignment="1">
      <alignment horizontal="center" vertical="center" wrapText="1"/>
    </xf>
    <xf numFmtId="10" fontId="13" fillId="0" borderId="10" xfId="0" applyNumberFormat="1" applyFont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</cellXfs>
  <cellStyles count="5">
    <cellStyle name="Moeda" xfId="1" builtinId="4"/>
    <cellStyle name="Moeda 2" xfId="3"/>
    <cellStyle name="Normal" xfId="0" builtinId="0"/>
    <cellStyle name="Normal 2" xfId="2"/>
    <cellStyle name="Porcentagem" xfId="4" builtinId="5"/>
  </cellStyles>
  <dxfs count="0"/>
  <tableStyles count="0" defaultTableStyle="TableStyleMedium2" defaultPivotStyle="PivotStyleLight16"/>
  <colors>
    <mruColors>
      <color rgb="FF99CCFF"/>
      <color rgb="FFFF7C80"/>
      <color rgb="FFCC66FF"/>
      <color rgb="FFFFFF99"/>
      <color rgb="FF00FFCC"/>
      <color rgb="FF66FF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tabSelected="1" zoomScale="85" zoomScaleNormal="85" workbookViewId="0">
      <pane ySplit="2" topLeftCell="A3" activePane="bottomLeft" state="frozen"/>
      <selection pane="bottomLeft" activeCell="G5" sqref="G5"/>
    </sheetView>
  </sheetViews>
  <sheetFormatPr defaultRowHeight="15" x14ac:dyDescent="0.25"/>
  <cols>
    <col min="1" max="1" width="18" style="1" customWidth="1"/>
    <col min="2" max="2" width="24.140625" style="1" bestFit="1" customWidth="1"/>
    <col min="3" max="3" width="25.85546875" style="1" bestFit="1" customWidth="1"/>
    <col min="4" max="4" width="25.42578125" style="1" customWidth="1"/>
    <col min="5" max="5" width="23.28515625" style="1" customWidth="1"/>
    <col min="6" max="6" width="2.28515625" style="1" customWidth="1"/>
    <col min="7" max="7" width="12.5703125" style="1" bestFit="1" customWidth="1"/>
    <col min="8" max="8" width="13" style="1" customWidth="1"/>
    <col min="9" max="9" width="13.42578125" style="1" bestFit="1" customWidth="1"/>
    <col min="10" max="10" width="20.5703125" style="5" bestFit="1" customWidth="1"/>
    <col min="11" max="11" width="18.85546875" style="5" bestFit="1" customWidth="1"/>
    <col min="12" max="12" width="14.140625" style="18" customWidth="1"/>
    <col min="13" max="13" width="3.28515625" style="1" customWidth="1"/>
    <col min="14" max="14" width="14.28515625" style="19" customWidth="1"/>
    <col min="15" max="15" width="13" style="1" customWidth="1"/>
    <col min="16" max="17" width="22.7109375" style="17" customWidth="1"/>
    <col min="18" max="18" width="14.140625" style="18" customWidth="1"/>
    <col min="19" max="19" width="30" style="5" bestFit="1" customWidth="1"/>
    <col min="20" max="20" width="2.28515625" style="1" customWidth="1"/>
    <col min="21" max="21" width="19.42578125" style="5" bestFit="1" customWidth="1"/>
    <col min="22" max="22" width="26.42578125" style="5" bestFit="1" customWidth="1"/>
    <col min="23" max="23" width="26.7109375" customWidth="1"/>
    <col min="24" max="16384" width="9.140625" style="1"/>
  </cols>
  <sheetData>
    <row r="1" spans="1:23" ht="37.5" customHeight="1" x14ac:dyDescent="0.25">
      <c r="A1" s="128" t="s">
        <v>133</v>
      </c>
      <c r="B1" s="128"/>
      <c r="C1" s="128"/>
      <c r="D1" s="128"/>
      <c r="E1" s="128"/>
      <c r="G1" s="131" t="s">
        <v>134</v>
      </c>
      <c r="H1" s="131"/>
      <c r="I1" s="131"/>
      <c r="J1" s="131"/>
      <c r="K1" s="131"/>
      <c r="L1" s="131"/>
      <c r="N1" s="130" t="s">
        <v>135</v>
      </c>
      <c r="O1" s="130"/>
      <c r="P1" s="130"/>
      <c r="Q1" s="130"/>
      <c r="R1" s="130"/>
      <c r="S1" s="130"/>
      <c r="U1" s="128" t="s">
        <v>136</v>
      </c>
      <c r="V1" s="128"/>
      <c r="W1" s="128"/>
    </row>
    <row r="2" spans="1:23" s="89" customFormat="1" ht="85.5" customHeight="1" x14ac:dyDescent="0.25">
      <c r="A2" s="83" t="s">
        <v>114</v>
      </c>
      <c r="B2" s="83" t="s">
        <v>119</v>
      </c>
      <c r="C2" s="83" t="s">
        <v>0</v>
      </c>
      <c r="D2" s="84" t="s">
        <v>1</v>
      </c>
      <c r="E2" s="83" t="s">
        <v>115</v>
      </c>
      <c r="G2" s="85" t="s">
        <v>2</v>
      </c>
      <c r="H2" s="83" t="s">
        <v>3</v>
      </c>
      <c r="I2" s="86" t="s">
        <v>125</v>
      </c>
      <c r="J2" s="83" t="s">
        <v>126</v>
      </c>
      <c r="K2" s="83" t="s">
        <v>127</v>
      </c>
      <c r="L2" s="83" t="s">
        <v>128</v>
      </c>
      <c r="N2" s="87" t="s">
        <v>118</v>
      </c>
      <c r="O2" s="83" t="s">
        <v>116</v>
      </c>
      <c r="P2" s="88" t="s">
        <v>117</v>
      </c>
      <c r="Q2" s="88" t="s">
        <v>187</v>
      </c>
      <c r="R2" s="83" t="s">
        <v>121</v>
      </c>
      <c r="S2" s="85" t="s">
        <v>129</v>
      </c>
      <c r="U2" s="85" t="s">
        <v>131</v>
      </c>
      <c r="V2" s="85" t="s">
        <v>130</v>
      </c>
      <c r="W2" s="85" t="s">
        <v>132</v>
      </c>
    </row>
    <row r="3" spans="1:23" s="8" customFormat="1" ht="78.75" x14ac:dyDescent="0.25">
      <c r="A3" s="6" t="s">
        <v>162</v>
      </c>
      <c r="B3" s="6" t="s">
        <v>120</v>
      </c>
      <c r="C3" s="6" t="s">
        <v>4</v>
      </c>
      <c r="D3" s="28" t="s">
        <v>5</v>
      </c>
      <c r="E3" s="7" t="s">
        <v>6</v>
      </c>
      <c r="G3" s="11">
        <v>42530</v>
      </c>
      <c r="H3" s="39">
        <v>42894</v>
      </c>
      <c r="I3" s="26">
        <v>12</v>
      </c>
      <c r="J3" s="12">
        <f>K3/12</f>
        <v>22634.97</v>
      </c>
      <c r="K3" s="12">
        <v>271619.64</v>
      </c>
      <c r="L3" s="12">
        <f>0.06*K3</f>
        <v>16297.178400000001</v>
      </c>
      <c r="N3" s="74" t="s">
        <v>179</v>
      </c>
      <c r="O3" s="9">
        <v>42895</v>
      </c>
      <c r="P3" s="16" t="s">
        <v>200</v>
      </c>
      <c r="Q3" s="91">
        <f>1-(V3/S3)</f>
        <v>0.28300987366009323</v>
      </c>
      <c r="R3" s="40">
        <v>12</v>
      </c>
      <c r="S3" s="44">
        <f>R3*J3</f>
        <v>271619.64</v>
      </c>
      <c r="U3" s="44">
        <f>V3/12</f>
        <v>16229.050000000001</v>
      </c>
      <c r="V3" s="44">
        <v>194748.6</v>
      </c>
      <c r="W3" s="44">
        <f>(U3*I3)*0.045</f>
        <v>8763.6869999999999</v>
      </c>
    </row>
    <row r="4" spans="1:23" s="8" customFormat="1" ht="51" x14ac:dyDescent="0.25">
      <c r="A4" s="6" t="s">
        <v>163</v>
      </c>
      <c r="B4" s="6" t="s">
        <v>122</v>
      </c>
      <c r="C4" s="6" t="s">
        <v>7</v>
      </c>
      <c r="D4" s="28" t="s">
        <v>8</v>
      </c>
      <c r="E4" s="7" t="s">
        <v>9</v>
      </c>
      <c r="G4" s="76">
        <v>42546</v>
      </c>
      <c r="H4" s="9">
        <v>42912</v>
      </c>
      <c r="I4" s="9">
        <v>12</v>
      </c>
      <c r="J4" s="12">
        <f>K4/12</f>
        <v>35394.273333333338</v>
      </c>
      <c r="K4" s="12">
        <v>424731.28</v>
      </c>
      <c r="L4" s="12">
        <f t="shared" ref="L4:L37" si="0">0.06*K4</f>
        <v>25483.876800000002</v>
      </c>
      <c r="N4" s="74" t="s">
        <v>179</v>
      </c>
      <c r="O4" s="9">
        <v>42911</v>
      </c>
      <c r="P4" s="16" t="s">
        <v>192</v>
      </c>
      <c r="Q4" s="91">
        <f t="shared" ref="Q4:Q41" si="1">1-(V4/S4)</f>
        <v>-0.25</v>
      </c>
      <c r="R4" s="40">
        <v>12</v>
      </c>
      <c r="S4" s="52">
        <v>424729.68</v>
      </c>
      <c r="U4" s="44">
        <f>V4/12</f>
        <v>44242.674999999996</v>
      </c>
      <c r="V4" s="44">
        <v>530912.1</v>
      </c>
      <c r="W4" s="44">
        <f t="shared" ref="W4:W37" si="2">(U4*I4)*0.045</f>
        <v>23891.044499999996</v>
      </c>
    </row>
    <row r="5" spans="1:23" s="8" customFormat="1" ht="315" x14ac:dyDescent="0.25">
      <c r="A5" s="6" t="s">
        <v>228</v>
      </c>
      <c r="B5" s="6" t="s">
        <v>120</v>
      </c>
      <c r="C5" s="6" t="s">
        <v>10</v>
      </c>
      <c r="D5" s="28" t="s">
        <v>11</v>
      </c>
      <c r="E5" s="7" t="s">
        <v>12</v>
      </c>
      <c r="G5" s="10" t="s">
        <v>13</v>
      </c>
      <c r="H5" s="6" t="s">
        <v>14</v>
      </c>
      <c r="I5" s="26">
        <f t="shared" ref="I5:I31" si="3">(H5-G5)/30</f>
        <v>12.133333333333333</v>
      </c>
      <c r="J5" s="12">
        <v>155000</v>
      </c>
      <c r="K5" s="12">
        <v>1860000</v>
      </c>
      <c r="L5" s="12">
        <f t="shared" si="0"/>
        <v>111600</v>
      </c>
      <c r="N5" s="74" t="s">
        <v>179</v>
      </c>
      <c r="O5" s="9">
        <v>42795</v>
      </c>
      <c r="P5" s="16" t="s">
        <v>204</v>
      </c>
      <c r="Q5" s="91">
        <f t="shared" si="1"/>
        <v>0.22999999999999998</v>
      </c>
      <c r="R5" s="40">
        <f>(H5-O5)/30</f>
        <v>7.0333333333333332</v>
      </c>
      <c r="S5" s="44">
        <f t="shared" ref="S5:S29" si="4">R5*J5</f>
        <v>1090166.6666666667</v>
      </c>
      <c r="U5" s="44">
        <v>119350</v>
      </c>
      <c r="V5" s="44">
        <f t="shared" ref="V5:V29" si="5">U5*R5</f>
        <v>839428.33333333337</v>
      </c>
      <c r="W5" s="44">
        <f t="shared" si="2"/>
        <v>65165.099999999991</v>
      </c>
    </row>
    <row r="6" spans="1:23" s="8" customFormat="1" ht="78.75" x14ac:dyDescent="0.25">
      <c r="A6" s="6" t="s">
        <v>123</v>
      </c>
      <c r="B6" s="6" t="s">
        <v>122</v>
      </c>
      <c r="C6" s="6" t="s">
        <v>15</v>
      </c>
      <c r="D6" s="28" t="s">
        <v>16</v>
      </c>
      <c r="E6" s="7" t="s">
        <v>17</v>
      </c>
      <c r="G6" s="10" t="s">
        <v>18</v>
      </c>
      <c r="H6" s="6" t="s">
        <v>19</v>
      </c>
      <c r="I6" s="26">
        <f t="shared" si="3"/>
        <v>36.5</v>
      </c>
      <c r="J6" s="12">
        <v>15474.27</v>
      </c>
      <c r="K6" s="12">
        <v>557078.72</v>
      </c>
      <c r="L6" s="12">
        <f t="shared" si="0"/>
        <v>33424.7232</v>
      </c>
      <c r="N6" s="74" t="s">
        <v>179</v>
      </c>
      <c r="O6" s="9">
        <v>42789</v>
      </c>
      <c r="P6" s="16" t="s">
        <v>124</v>
      </c>
      <c r="Q6" s="91">
        <f t="shared" si="1"/>
        <v>0</v>
      </c>
      <c r="R6" s="40">
        <f>(H6-O6)/30</f>
        <v>23.566666666666666</v>
      </c>
      <c r="S6" s="44">
        <f t="shared" si="4"/>
        <v>364676.96299999999</v>
      </c>
      <c r="U6" s="44">
        <f>J6</f>
        <v>15474.27</v>
      </c>
      <c r="V6" s="44">
        <f>S6</f>
        <v>364676.96299999999</v>
      </c>
      <c r="W6" s="44">
        <f t="shared" si="2"/>
        <v>25416.488474999998</v>
      </c>
    </row>
    <row r="7" spans="1:23" s="8" customFormat="1" ht="146.25" x14ac:dyDescent="0.25">
      <c r="A7" s="6" t="s">
        <v>137</v>
      </c>
      <c r="B7" s="6" t="s">
        <v>122</v>
      </c>
      <c r="C7" s="6" t="s">
        <v>20</v>
      </c>
      <c r="D7" s="28" t="s">
        <v>21</v>
      </c>
      <c r="E7" s="7" t="s">
        <v>22</v>
      </c>
      <c r="G7" s="10" t="s">
        <v>23</v>
      </c>
      <c r="H7" s="6" t="s">
        <v>24</v>
      </c>
      <c r="I7" s="26">
        <f t="shared" si="3"/>
        <v>12.133333333333333</v>
      </c>
      <c r="J7" s="12">
        <v>55000</v>
      </c>
      <c r="K7" s="12">
        <v>660000</v>
      </c>
      <c r="L7" s="12">
        <f t="shared" si="0"/>
        <v>39600</v>
      </c>
      <c r="N7" s="74" t="s">
        <v>179</v>
      </c>
      <c r="O7" s="9">
        <v>42947</v>
      </c>
      <c r="P7" s="16" t="s">
        <v>205</v>
      </c>
      <c r="Q7" s="91">
        <f t="shared" si="1"/>
        <v>0.11175000000000002</v>
      </c>
      <c r="R7" s="40">
        <v>12</v>
      </c>
      <c r="S7" s="44">
        <f t="shared" si="4"/>
        <v>660000</v>
      </c>
      <c r="U7" s="44">
        <v>48853.75</v>
      </c>
      <c r="V7" s="44">
        <f t="shared" si="5"/>
        <v>586245</v>
      </c>
      <c r="W7" s="44">
        <f t="shared" si="2"/>
        <v>26674.147499999995</v>
      </c>
    </row>
    <row r="8" spans="1:23" s="8" customFormat="1" ht="123.75" x14ac:dyDescent="0.25">
      <c r="A8" s="6" t="s">
        <v>138</v>
      </c>
      <c r="B8" s="6" t="s">
        <v>122</v>
      </c>
      <c r="C8" s="6" t="s">
        <v>25</v>
      </c>
      <c r="D8" s="28" t="s">
        <v>26</v>
      </c>
      <c r="E8" s="7" t="s">
        <v>27</v>
      </c>
      <c r="G8" s="11">
        <v>42393</v>
      </c>
      <c r="H8" s="24">
        <v>42758</v>
      </c>
      <c r="I8" s="26">
        <v>12</v>
      </c>
      <c r="J8" s="30">
        <v>53063.02</v>
      </c>
      <c r="K8" s="12">
        <f t="shared" ref="K8:K30" si="6">J8*I8</f>
        <v>636756.24</v>
      </c>
      <c r="L8" s="12">
        <f t="shared" si="0"/>
        <v>38205.374400000001</v>
      </c>
      <c r="N8" s="74" t="s">
        <v>179</v>
      </c>
      <c r="O8" s="11">
        <v>42891</v>
      </c>
      <c r="P8" s="16" t="s">
        <v>206</v>
      </c>
      <c r="Q8" s="91">
        <f t="shared" si="1"/>
        <v>0.84</v>
      </c>
      <c r="R8" s="41" t="s">
        <v>81</v>
      </c>
      <c r="S8" s="44">
        <v>1750000</v>
      </c>
      <c r="U8" s="44">
        <f>V8/12</f>
        <v>23333.333333333332</v>
      </c>
      <c r="V8" s="44">
        <v>280000</v>
      </c>
      <c r="W8" s="44">
        <f t="shared" si="2"/>
        <v>12600</v>
      </c>
    </row>
    <row r="9" spans="1:23" s="8" customFormat="1" ht="22.5" x14ac:dyDescent="0.25">
      <c r="A9" s="6" t="s">
        <v>139</v>
      </c>
      <c r="B9" s="6" t="s">
        <v>122</v>
      </c>
      <c r="C9" s="6" t="s">
        <v>28</v>
      </c>
      <c r="D9" s="28" t="s">
        <v>29</v>
      </c>
      <c r="E9" s="7" t="s">
        <v>30</v>
      </c>
      <c r="G9" s="10" t="s">
        <v>31</v>
      </c>
      <c r="H9" s="6" t="s">
        <v>32</v>
      </c>
      <c r="I9" s="26">
        <f t="shared" si="3"/>
        <v>12.133333333333333</v>
      </c>
      <c r="J9" s="12">
        <v>10166</v>
      </c>
      <c r="K9" s="12">
        <v>121992</v>
      </c>
      <c r="L9" s="12">
        <f t="shared" si="0"/>
        <v>7319.5199999999995</v>
      </c>
      <c r="N9" s="74" t="s">
        <v>179</v>
      </c>
      <c r="O9" s="9">
        <v>42795</v>
      </c>
      <c r="P9" s="16" t="s">
        <v>207</v>
      </c>
      <c r="Q9" s="91">
        <f t="shared" si="1"/>
        <v>8.1152862482786192E-3</v>
      </c>
      <c r="R9" s="40">
        <f>(H9-O9)/30</f>
        <v>7.9</v>
      </c>
      <c r="S9" s="44">
        <f t="shared" si="4"/>
        <v>80311.400000000009</v>
      </c>
      <c r="U9" s="44">
        <v>10083.5</v>
      </c>
      <c r="V9" s="44">
        <f t="shared" si="5"/>
        <v>79659.650000000009</v>
      </c>
      <c r="W9" s="44">
        <f t="shared" si="2"/>
        <v>5505.5909999999994</v>
      </c>
    </row>
    <row r="10" spans="1:23" s="8" customFormat="1" ht="22.5" x14ac:dyDescent="0.25">
      <c r="A10" s="6" t="s">
        <v>140</v>
      </c>
      <c r="B10" s="6" t="s">
        <v>122</v>
      </c>
      <c r="C10" s="6" t="s">
        <v>33</v>
      </c>
      <c r="D10" s="28" t="s">
        <v>34</v>
      </c>
      <c r="E10" s="7" t="s">
        <v>35</v>
      </c>
      <c r="G10" s="10" t="s">
        <v>36</v>
      </c>
      <c r="H10" s="6" t="s">
        <v>37</v>
      </c>
      <c r="I10" s="26">
        <v>12</v>
      </c>
      <c r="J10" s="12">
        <v>3178.25</v>
      </c>
      <c r="K10" s="12">
        <f>J10*I10</f>
        <v>38139</v>
      </c>
      <c r="L10" s="12">
        <f t="shared" si="0"/>
        <v>2288.3399999999997</v>
      </c>
      <c r="N10" s="74" t="s">
        <v>179</v>
      </c>
      <c r="O10" s="9">
        <v>42800</v>
      </c>
      <c r="P10" s="16" t="s">
        <v>208</v>
      </c>
      <c r="Q10" s="91">
        <f t="shared" si="1"/>
        <v>0.30087312200110128</v>
      </c>
      <c r="R10" s="40">
        <v>12</v>
      </c>
      <c r="S10" s="44">
        <f t="shared" si="4"/>
        <v>38139</v>
      </c>
      <c r="U10" s="44">
        <v>2222</v>
      </c>
      <c r="V10" s="44">
        <f t="shared" si="5"/>
        <v>26664</v>
      </c>
      <c r="W10" s="44">
        <f t="shared" si="2"/>
        <v>1199.8799999999999</v>
      </c>
    </row>
    <row r="11" spans="1:23" s="8" customFormat="1" ht="45" x14ac:dyDescent="0.25">
      <c r="A11" s="6" t="s">
        <v>141</v>
      </c>
      <c r="B11" s="6" t="s">
        <v>122</v>
      </c>
      <c r="C11" s="6" t="s">
        <v>38</v>
      </c>
      <c r="D11" s="28" t="s">
        <v>39</v>
      </c>
      <c r="E11" s="7" t="s">
        <v>40</v>
      </c>
      <c r="G11" s="10" t="s">
        <v>41</v>
      </c>
      <c r="H11" s="6" t="s">
        <v>42</v>
      </c>
      <c r="I11" s="26">
        <f t="shared" si="3"/>
        <v>12.133333333333333</v>
      </c>
      <c r="J11" s="12">
        <v>1700</v>
      </c>
      <c r="K11" s="12">
        <v>20400</v>
      </c>
      <c r="L11" s="12">
        <f t="shared" si="0"/>
        <v>1224</v>
      </c>
      <c r="N11" s="74" t="s">
        <v>179</v>
      </c>
      <c r="O11" s="9">
        <v>42844</v>
      </c>
      <c r="P11" s="33" t="s">
        <v>209</v>
      </c>
      <c r="Q11" s="91">
        <f t="shared" si="1"/>
        <v>6.0000000000000053E-2</v>
      </c>
      <c r="R11" s="40">
        <f t="shared" ref="R11:R21" si="7">(H11-O11)/30</f>
        <v>7.5</v>
      </c>
      <c r="S11" s="44">
        <f t="shared" si="4"/>
        <v>12750</v>
      </c>
      <c r="U11" s="44">
        <v>1598</v>
      </c>
      <c r="V11" s="44">
        <f t="shared" si="5"/>
        <v>11985</v>
      </c>
      <c r="W11" s="44">
        <f t="shared" si="2"/>
        <v>872.50799999999992</v>
      </c>
    </row>
    <row r="12" spans="1:23" s="8" customFormat="1" ht="202.5" x14ac:dyDescent="0.25">
      <c r="A12" s="34" t="s">
        <v>143</v>
      </c>
      <c r="B12" s="6" t="s">
        <v>122</v>
      </c>
      <c r="C12" s="6" t="s">
        <v>43</v>
      </c>
      <c r="D12" s="28" t="s">
        <v>44</v>
      </c>
      <c r="E12" s="7" t="s">
        <v>45</v>
      </c>
      <c r="G12" s="10" t="s">
        <v>46</v>
      </c>
      <c r="H12" s="6" t="s">
        <v>47</v>
      </c>
      <c r="I12" s="26">
        <f t="shared" si="3"/>
        <v>12.133333333333333</v>
      </c>
      <c r="J12" s="12">
        <v>1500</v>
      </c>
      <c r="K12" s="12">
        <f t="shared" si="6"/>
        <v>18200</v>
      </c>
      <c r="L12" s="12">
        <f t="shared" si="0"/>
        <v>1092</v>
      </c>
      <c r="N12" s="74" t="s">
        <v>179</v>
      </c>
      <c r="O12" s="9">
        <v>42767</v>
      </c>
      <c r="P12" s="16" t="s">
        <v>209</v>
      </c>
      <c r="Q12" s="91">
        <f t="shared" si="1"/>
        <v>0.15000000000000002</v>
      </c>
      <c r="R12" s="40">
        <f t="shared" si="7"/>
        <v>9.3666666666666671</v>
      </c>
      <c r="S12" s="44">
        <f t="shared" si="4"/>
        <v>14050</v>
      </c>
      <c r="U12" s="44">
        <v>1275</v>
      </c>
      <c r="V12" s="44">
        <f t="shared" si="5"/>
        <v>11942.5</v>
      </c>
      <c r="W12" s="44">
        <f t="shared" si="2"/>
        <v>696.15</v>
      </c>
    </row>
    <row r="13" spans="1:23" s="8" customFormat="1" ht="33.75" x14ac:dyDescent="0.25">
      <c r="A13" s="6" t="s">
        <v>144</v>
      </c>
      <c r="B13" s="6" t="s">
        <v>122</v>
      </c>
      <c r="C13" s="6" t="s">
        <v>48</v>
      </c>
      <c r="D13" s="28" t="s">
        <v>49</v>
      </c>
      <c r="E13" s="7" t="s">
        <v>50</v>
      </c>
      <c r="G13" s="9">
        <v>41904</v>
      </c>
      <c r="H13" s="24">
        <v>42999</v>
      </c>
      <c r="I13" s="26">
        <f t="shared" si="3"/>
        <v>36.5</v>
      </c>
      <c r="J13" s="12">
        <v>1453.39</v>
      </c>
      <c r="K13" s="12">
        <v>52827.3</v>
      </c>
      <c r="L13" s="12">
        <f t="shared" si="0"/>
        <v>3169.6379999999999</v>
      </c>
      <c r="N13" s="74" t="s">
        <v>179</v>
      </c>
      <c r="O13" s="9">
        <v>42858</v>
      </c>
      <c r="P13" s="16" t="s">
        <v>145</v>
      </c>
      <c r="Q13" s="91">
        <f t="shared" si="1"/>
        <v>0</v>
      </c>
      <c r="R13" s="40">
        <f t="shared" si="7"/>
        <v>4.7</v>
      </c>
      <c r="S13" s="44">
        <f t="shared" si="4"/>
        <v>6830.9330000000009</v>
      </c>
      <c r="U13" s="44">
        <v>1453.39</v>
      </c>
      <c r="V13" s="44">
        <f t="shared" si="5"/>
        <v>6830.9330000000009</v>
      </c>
      <c r="W13" s="44">
        <f t="shared" si="2"/>
        <v>2387.1930750000001</v>
      </c>
    </row>
    <row r="14" spans="1:23" s="8" customFormat="1" ht="56.25" x14ac:dyDescent="0.25">
      <c r="A14" s="36" t="s">
        <v>81</v>
      </c>
      <c r="B14" s="6" t="s">
        <v>122</v>
      </c>
      <c r="C14" s="6" t="s">
        <v>51</v>
      </c>
      <c r="D14" s="28" t="s">
        <v>52</v>
      </c>
      <c r="E14" s="7" t="s">
        <v>53</v>
      </c>
      <c r="G14" s="10" t="s">
        <v>54</v>
      </c>
      <c r="H14" s="6" t="s">
        <v>55</v>
      </c>
      <c r="I14" s="26">
        <f t="shared" si="3"/>
        <v>12.133333333333333</v>
      </c>
      <c r="J14" s="12">
        <v>1500</v>
      </c>
      <c r="K14" s="12">
        <v>18000</v>
      </c>
      <c r="L14" s="12">
        <f t="shared" si="0"/>
        <v>1080</v>
      </c>
      <c r="N14" s="72" t="s">
        <v>158</v>
      </c>
      <c r="O14" s="22"/>
      <c r="P14" s="31"/>
      <c r="Q14" s="91">
        <f t="shared" si="1"/>
        <v>0</v>
      </c>
      <c r="R14" s="40">
        <v>4</v>
      </c>
      <c r="S14" s="44">
        <f>R14*J14</f>
        <v>6000</v>
      </c>
      <c r="U14" s="44">
        <f>V14/4</f>
        <v>1500</v>
      </c>
      <c r="V14" s="44">
        <f>S14</f>
        <v>6000</v>
      </c>
      <c r="W14" s="44">
        <f t="shared" si="2"/>
        <v>819</v>
      </c>
    </row>
    <row r="15" spans="1:23" s="8" customFormat="1" ht="22.5" x14ac:dyDescent="0.25">
      <c r="A15" s="6" t="s">
        <v>146</v>
      </c>
      <c r="B15" s="6" t="s">
        <v>122</v>
      </c>
      <c r="C15" s="6" t="s">
        <v>56</v>
      </c>
      <c r="D15" s="28" t="s">
        <v>57</v>
      </c>
      <c r="E15" s="7" t="s">
        <v>58</v>
      </c>
      <c r="G15" s="10" t="s">
        <v>59</v>
      </c>
      <c r="H15" s="6" t="s">
        <v>60</v>
      </c>
      <c r="I15" s="26">
        <f t="shared" si="3"/>
        <v>12.133333333333333</v>
      </c>
      <c r="J15" s="12">
        <f>S15/12</f>
        <v>1120.8333333333333</v>
      </c>
      <c r="K15" s="12">
        <f t="shared" si="6"/>
        <v>13599.444444444443</v>
      </c>
      <c r="L15" s="12">
        <f t="shared" si="0"/>
        <v>815.96666666666658</v>
      </c>
      <c r="N15" s="74" t="s">
        <v>179</v>
      </c>
      <c r="O15" s="9">
        <v>42881</v>
      </c>
      <c r="P15" s="35" t="s">
        <v>210</v>
      </c>
      <c r="Q15" s="91">
        <f t="shared" si="1"/>
        <v>5.0000000000000044E-2</v>
      </c>
      <c r="R15" s="40">
        <f t="shared" si="7"/>
        <v>-3.3333333333333333E-2</v>
      </c>
      <c r="S15" s="44">
        <v>13450</v>
      </c>
      <c r="U15" s="44">
        <f>V15/12</f>
        <v>1064.7916666666667</v>
      </c>
      <c r="V15" s="44">
        <v>12777.5</v>
      </c>
      <c r="W15" s="44">
        <f t="shared" si="2"/>
        <v>581.37625000000003</v>
      </c>
    </row>
    <row r="16" spans="1:23" s="8" customFormat="1" ht="135" x14ac:dyDescent="0.25">
      <c r="A16" s="6" t="s">
        <v>147</v>
      </c>
      <c r="B16" s="6"/>
      <c r="C16" s="6" t="s">
        <v>61</v>
      </c>
      <c r="D16" s="28" t="s">
        <v>62</v>
      </c>
      <c r="E16" s="7" t="s">
        <v>63</v>
      </c>
      <c r="G16" s="10" t="s">
        <v>64</v>
      </c>
      <c r="H16" s="6" t="s">
        <v>65</v>
      </c>
      <c r="I16" s="26">
        <f t="shared" si="3"/>
        <v>12.133333333333333</v>
      </c>
      <c r="J16" s="12">
        <v>44205.11</v>
      </c>
      <c r="K16" s="12">
        <v>530461.31999999995</v>
      </c>
      <c r="L16" s="12">
        <f t="shared" si="0"/>
        <v>31827.679199999995</v>
      </c>
      <c r="N16" s="74" t="s">
        <v>179</v>
      </c>
      <c r="O16" s="9">
        <v>42811</v>
      </c>
      <c r="P16" s="16" t="s">
        <v>148</v>
      </c>
      <c r="Q16" s="91">
        <f t="shared" si="1"/>
        <v>0</v>
      </c>
      <c r="R16" s="40">
        <f t="shared" si="7"/>
        <v>12.133333333333333</v>
      </c>
      <c r="S16" s="44">
        <v>530461.31999999995</v>
      </c>
      <c r="U16" s="44">
        <f>J16</f>
        <v>44205.11</v>
      </c>
      <c r="V16" s="44">
        <f>S16</f>
        <v>530461.31999999995</v>
      </c>
      <c r="W16" s="44">
        <f t="shared" si="2"/>
        <v>24135.99006</v>
      </c>
    </row>
    <row r="17" spans="1:23" s="8" customFormat="1" ht="213.75" x14ac:dyDescent="0.25">
      <c r="A17" s="6" t="s">
        <v>150</v>
      </c>
      <c r="B17" s="6" t="s">
        <v>149</v>
      </c>
      <c r="C17" s="6" t="s">
        <v>66</v>
      </c>
      <c r="D17" s="28" t="s">
        <v>67</v>
      </c>
      <c r="E17" s="7" t="s">
        <v>68</v>
      </c>
      <c r="G17" s="10" t="s">
        <v>69</v>
      </c>
      <c r="H17" s="6" t="s">
        <v>70</v>
      </c>
      <c r="I17" s="26">
        <f t="shared" si="3"/>
        <v>2.9666666666666668</v>
      </c>
      <c r="J17" s="12">
        <f>K17/12</f>
        <v>32462.12</v>
      </c>
      <c r="K17" s="12">
        <v>389545.44</v>
      </c>
      <c r="L17" s="12">
        <f t="shared" si="0"/>
        <v>23372.7264</v>
      </c>
      <c r="N17" s="74" t="s">
        <v>179</v>
      </c>
      <c r="O17" s="9">
        <v>42766</v>
      </c>
      <c r="P17" s="16" t="s">
        <v>211</v>
      </c>
      <c r="Q17" s="91">
        <f t="shared" si="1"/>
        <v>3.9999961162467734E-2</v>
      </c>
      <c r="R17" s="40">
        <f t="shared" si="7"/>
        <v>3</v>
      </c>
      <c r="S17" s="44">
        <v>92693.84</v>
      </c>
      <c r="U17" s="44">
        <f>V17/3</f>
        <v>29662.03</v>
      </c>
      <c r="V17" s="44">
        <v>88986.09</v>
      </c>
      <c r="W17" s="44">
        <f t="shared" si="2"/>
        <v>3959.8810050000002</v>
      </c>
    </row>
    <row r="18" spans="1:23" s="8" customFormat="1" ht="67.5" x14ac:dyDescent="0.25">
      <c r="A18" s="6" t="s">
        <v>142</v>
      </c>
      <c r="B18" s="6" t="s">
        <v>149</v>
      </c>
      <c r="C18" s="6" t="s">
        <v>71</v>
      </c>
      <c r="D18" s="28" t="s">
        <v>72</v>
      </c>
      <c r="E18" s="7" t="s">
        <v>73</v>
      </c>
      <c r="G18" s="10" t="s">
        <v>74</v>
      </c>
      <c r="H18" s="6" t="s">
        <v>75</v>
      </c>
      <c r="I18" s="26">
        <v>12</v>
      </c>
      <c r="J18" s="12">
        <v>2000</v>
      </c>
      <c r="K18" s="12">
        <v>24000</v>
      </c>
      <c r="L18" s="12">
        <f t="shared" si="0"/>
        <v>1440</v>
      </c>
      <c r="N18" s="74" t="s">
        <v>179</v>
      </c>
      <c r="O18" s="9">
        <v>42794</v>
      </c>
      <c r="P18" s="16" t="s">
        <v>212</v>
      </c>
      <c r="Q18" s="91">
        <f t="shared" si="1"/>
        <v>0.15000000000000002</v>
      </c>
      <c r="R18" s="40">
        <v>12</v>
      </c>
      <c r="S18" s="44">
        <f t="shared" si="4"/>
        <v>24000</v>
      </c>
      <c r="U18" s="48">
        <v>1700</v>
      </c>
      <c r="V18" s="44">
        <f t="shared" si="5"/>
        <v>20400</v>
      </c>
      <c r="W18" s="44">
        <f t="shared" si="2"/>
        <v>918</v>
      </c>
    </row>
    <row r="19" spans="1:23" s="8" customFormat="1" ht="101.25" x14ac:dyDescent="0.25">
      <c r="A19" s="6" t="s">
        <v>151</v>
      </c>
      <c r="B19" s="6" t="s">
        <v>149</v>
      </c>
      <c r="C19" s="6" t="s">
        <v>76</v>
      </c>
      <c r="D19" s="28" t="s">
        <v>77</v>
      </c>
      <c r="E19" s="7" t="s">
        <v>78</v>
      </c>
      <c r="G19" s="10" t="s">
        <v>79</v>
      </c>
      <c r="H19" s="6" t="s">
        <v>80</v>
      </c>
      <c r="I19" s="26">
        <f t="shared" si="3"/>
        <v>12.133333333333333</v>
      </c>
      <c r="J19" s="12">
        <f>K19/12</f>
        <v>1163.2500000000002</v>
      </c>
      <c r="K19" s="12">
        <f>S19*1.1</f>
        <v>13959.000000000002</v>
      </c>
      <c r="L19" s="12">
        <f t="shared" si="0"/>
        <v>837.54000000000008</v>
      </c>
      <c r="N19" s="74" t="s">
        <v>179</v>
      </c>
      <c r="O19" s="9">
        <v>42836</v>
      </c>
      <c r="P19" s="16" t="s">
        <v>209</v>
      </c>
      <c r="Q19" s="91">
        <f t="shared" si="1"/>
        <v>0</v>
      </c>
      <c r="R19" s="40">
        <f t="shared" si="7"/>
        <v>12.133333333333333</v>
      </c>
      <c r="S19" s="44">
        <v>12690</v>
      </c>
      <c r="U19" s="44">
        <f>V19/12</f>
        <v>1057.5</v>
      </c>
      <c r="V19" s="44">
        <v>12690</v>
      </c>
      <c r="W19" s="44">
        <f t="shared" si="2"/>
        <v>577.39499999999998</v>
      </c>
    </row>
    <row r="20" spans="1:23" s="8" customFormat="1" ht="61.5" customHeight="1" x14ac:dyDescent="0.25">
      <c r="A20" s="36" t="s">
        <v>81</v>
      </c>
      <c r="B20" s="6" t="s">
        <v>122</v>
      </c>
      <c r="C20" s="6" t="s">
        <v>82</v>
      </c>
      <c r="D20" s="29" t="s">
        <v>108</v>
      </c>
      <c r="E20" s="7" t="s">
        <v>226</v>
      </c>
      <c r="G20" s="9">
        <v>42857</v>
      </c>
      <c r="H20" s="23">
        <v>43221</v>
      </c>
      <c r="I20" s="26">
        <f t="shared" si="3"/>
        <v>12.133333333333333</v>
      </c>
      <c r="J20" s="21" t="s">
        <v>81</v>
      </c>
      <c r="K20" s="21" t="s">
        <v>81</v>
      </c>
      <c r="L20" s="21" t="s">
        <v>81</v>
      </c>
      <c r="N20" s="72" t="s">
        <v>158</v>
      </c>
      <c r="O20" s="20" t="s">
        <v>81</v>
      </c>
      <c r="P20" s="9" t="s">
        <v>161</v>
      </c>
      <c r="Q20" s="91">
        <v>0</v>
      </c>
      <c r="R20" s="42" t="s">
        <v>81</v>
      </c>
      <c r="S20" s="45" t="s">
        <v>81</v>
      </c>
      <c r="U20" s="32" t="s">
        <v>81</v>
      </c>
      <c r="V20" s="32" t="s">
        <v>81</v>
      </c>
      <c r="W20" s="78" t="s">
        <v>81</v>
      </c>
    </row>
    <row r="21" spans="1:23" s="8" customFormat="1" ht="33.75" x14ac:dyDescent="0.25">
      <c r="A21" s="6" t="s">
        <v>162</v>
      </c>
      <c r="B21" s="6" t="s">
        <v>120</v>
      </c>
      <c r="C21" s="6" t="s">
        <v>83</v>
      </c>
      <c r="D21" s="28" t="s">
        <v>84</v>
      </c>
      <c r="E21" s="7" t="s">
        <v>85</v>
      </c>
      <c r="G21" s="9">
        <v>42531</v>
      </c>
      <c r="H21" s="23">
        <v>42895</v>
      </c>
      <c r="I21" s="26">
        <v>12</v>
      </c>
      <c r="J21" s="12">
        <v>85779.16</v>
      </c>
      <c r="K21" s="12">
        <f t="shared" si="6"/>
        <v>1029349.92</v>
      </c>
      <c r="L21" s="12">
        <f t="shared" si="0"/>
        <v>61760.995199999998</v>
      </c>
      <c r="N21" s="72" t="s">
        <v>158</v>
      </c>
      <c r="O21" s="9">
        <v>42852</v>
      </c>
      <c r="P21" s="31" t="s">
        <v>81</v>
      </c>
      <c r="Q21" s="91">
        <f t="shared" si="1"/>
        <v>0</v>
      </c>
      <c r="R21" s="40">
        <f t="shared" si="7"/>
        <v>1.4333333333333333</v>
      </c>
      <c r="S21" s="44">
        <f t="shared" si="4"/>
        <v>122950.12933333335</v>
      </c>
      <c r="U21" s="44">
        <f>J21</f>
        <v>85779.16</v>
      </c>
      <c r="V21" s="44">
        <f>S21</f>
        <v>122950.12933333335</v>
      </c>
      <c r="W21" s="32" t="s">
        <v>81</v>
      </c>
    </row>
    <row r="22" spans="1:23" ht="67.5" x14ac:dyDescent="0.25">
      <c r="A22" s="2" t="s">
        <v>157</v>
      </c>
      <c r="B22" s="2" t="s">
        <v>120</v>
      </c>
      <c r="C22" s="2" t="s">
        <v>86</v>
      </c>
      <c r="D22" s="29" t="s">
        <v>87</v>
      </c>
      <c r="E22" s="3" t="s">
        <v>88</v>
      </c>
      <c r="G22" s="4">
        <v>42521</v>
      </c>
      <c r="H22" s="25">
        <v>42885</v>
      </c>
      <c r="I22" s="27">
        <f t="shared" si="3"/>
        <v>12.133333333333333</v>
      </c>
      <c r="J22" s="12">
        <f>K22/12</f>
        <v>800000</v>
      </c>
      <c r="K22" s="12">
        <v>9600000</v>
      </c>
      <c r="L22" s="12">
        <f t="shared" si="0"/>
        <v>576000</v>
      </c>
      <c r="N22" s="74" t="s">
        <v>179</v>
      </c>
      <c r="O22" s="20">
        <v>42801</v>
      </c>
      <c r="P22" s="31" t="s">
        <v>201</v>
      </c>
      <c r="Q22" s="91">
        <f t="shared" si="1"/>
        <v>0.30000000000000004</v>
      </c>
      <c r="R22" s="41">
        <v>2</v>
      </c>
      <c r="S22" s="44">
        <f t="shared" si="4"/>
        <v>1600000</v>
      </c>
      <c r="U22" s="44">
        <v>560000</v>
      </c>
      <c r="V22" s="44">
        <f>U22*R22</f>
        <v>1120000</v>
      </c>
      <c r="W22" s="44">
        <f t="shared" si="2"/>
        <v>305759.99999999994</v>
      </c>
    </row>
    <row r="23" spans="1:23" ht="77.25" customHeight="1" x14ac:dyDescent="0.25">
      <c r="A23" s="36" t="s">
        <v>81</v>
      </c>
      <c r="B23" s="6" t="s">
        <v>122</v>
      </c>
      <c r="C23" s="2" t="s">
        <v>91</v>
      </c>
      <c r="D23" s="29" t="s">
        <v>89</v>
      </c>
      <c r="E23" s="3" t="s">
        <v>90</v>
      </c>
      <c r="G23" s="4">
        <v>42588</v>
      </c>
      <c r="H23" s="25">
        <v>42952</v>
      </c>
      <c r="I23" s="27">
        <f t="shared" si="3"/>
        <v>12.133333333333333</v>
      </c>
      <c r="J23" s="12">
        <f>K23/12</f>
        <v>22737.200000000001</v>
      </c>
      <c r="K23" s="12">
        <v>272846.40000000002</v>
      </c>
      <c r="L23" s="12">
        <f t="shared" si="0"/>
        <v>16370.784000000001</v>
      </c>
      <c r="N23" s="74" t="s">
        <v>179</v>
      </c>
      <c r="O23" s="20" t="s">
        <v>81</v>
      </c>
      <c r="P23" s="16" t="s">
        <v>189</v>
      </c>
      <c r="Q23" s="91">
        <f t="shared" si="1"/>
        <v>0</v>
      </c>
      <c r="R23" s="40">
        <v>12</v>
      </c>
      <c r="S23" s="44">
        <f>K23</f>
        <v>272846.40000000002</v>
      </c>
      <c r="U23" s="44">
        <f>V23/12</f>
        <v>22737.200000000001</v>
      </c>
      <c r="V23" s="47">
        <f>S23</f>
        <v>272846.40000000002</v>
      </c>
      <c r="W23" s="44">
        <f t="shared" si="2"/>
        <v>12414.511199999999</v>
      </c>
    </row>
    <row r="24" spans="1:23" ht="43.5" customHeight="1" x14ac:dyDescent="0.25">
      <c r="A24" s="2" t="s">
        <v>152</v>
      </c>
      <c r="B24" s="6" t="s">
        <v>122</v>
      </c>
      <c r="C24" s="2" t="s">
        <v>92</v>
      </c>
      <c r="D24" s="29" t="s">
        <v>93</v>
      </c>
      <c r="E24" s="3" t="s">
        <v>94</v>
      </c>
      <c r="G24" s="4">
        <v>42436</v>
      </c>
      <c r="H24" s="25">
        <v>42800</v>
      </c>
      <c r="I24" s="27">
        <v>12</v>
      </c>
      <c r="J24" s="13">
        <v>74833</v>
      </c>
      <c r="K24" s="12">
        <v>897996</v>
      </c>
      <c r="L24" s="12">
        <f t="shared" si="0"/>
        <v>53879.759999999995</v>
      </c>
      <c r="N24" s="72" t="s">
        <v>158</v>
      </c>
      <c r="O24" s="9">
        <v>42801</v>
      </c>
      <c r="P24" s="16" t="s">
        <v>202</v>
      </c>
      <c r="Q24" s="91">
        <f t="shared" si="1"/>
        <v>0</v>
      </c>
      <c r="R24" s="40">
        <v>3</v>
      </c>
      <c r="S24" s="44">
        <f>J24*3</f>
        <v>224499</v>
      </c>
      <c r="U24" s="44">
        <f>J24</f>
        <v>74833</v>
      </c>
      <c r="V24" s="49">
        <f>S24</f>
        <v>224499</v>
      </c>
      <c r="W24" s="44">
        <f t="shared" si="2"/>
        <v>40409.82</v>
      </c>
    </row>
    <row r="25" spans="1:23" ht="78.75" x14ac:dyDescent="0.25">
      <c r="A25" s="2" t="s">
        <v>153</v>
      </c>
      <c r="B25" s="2" t="s">
        <v>120</v>
      </c>
      <c r="C25" s="2" t="s">
        <v>95</v>
      </c>
      <c r="D25" s="29" t="s">
        <v>96</v>
      </c>
      <c r="E25" s="3" t="s">
        <v>97</v>
      </c>
      <c r="G25" s="4">
        <v>42687</v>
      </c>
      <c r="H25" s="25">
        <v>43051</v>
      </c>
      <c r="I25" s="27">
        <v>12</v>
      </c>
      <c r="J25" s="13">
        <v>9083.93</v>
      </c>
      <c r="K25" s="12">
        <f t="shared" si="6"/>
        <v>109007.16</v>
      </c>
      <c r="L25" s="12">
        <f t="shared" si="0"/>
        <v>6540.4296000000004</v>
      </c>
      <c r="N25" s="74" t="s">
        <v>179</v>
      </c>
      <c r="O25" s="4">
        <v>42866</v>
      </c>
      <c r="P25" s="16" t="s">
        <v>145</v>
      </c>
      <c r="Q25" s="91">
        <f t="shared" si="1"/>
        <v>0</v>
      </c>
      <c r="R25" s="40">
        <f t="shared" ref="R25" si="8">(H25-O25)/30</f>
        <v>6.166666666666667</v>
      </c>
      <c r="S25" s="44">
        <f t="shared" si="4"/>
        <v>56017.568333333336</v>
      </c>
      <c r="U25" s="49">
        <f>J25</f>
        <v>9083.93</v>
      </c>
      <c r="V25" s="44">
        <f>S25</f>
        <v>56017.568333333336</v>
      </c>
      <c r="W25" s="44">
        <f t="shared" si="2"/>
        <v>4905.3221999999996</v>
      </c>
    </row>
    <row r="26" spans="1:23" ht="38.25" x14ac:dyDescent="0.25">
      <c r="A26" s="6" t="s">
        <v>191</v>
      </c>
      <c r="B26" s="2" t="s">
        <v>120</v>
      </c>
      <c r="C26" s="2" t="s">
        <v>190</v>
      </c>
      <c r="D26" s="28" t="s">
        <v>8</v>
      </c>
      <c r="E26" s="7" t="s">
        <v>9</v>
      </c>
      <c r="G26" s="4">
        <v>42445</v>
      </c>
      <c r="H26" s="25">
        <v>42811</v>
      </c>
      <c r="I26" s="27">
        <v>12</v>
      </c>
      <c r="J26" s="13">
        <f>K26/12</f>
        <v>12500</v>
      </c>
      <c r="K26" s="12">
        <v>150000</v>
      </c>
      <c r="L26" s="12">
        <f t="shared" si="0"/>
        <v>9000</v>
      </c>
      <c r="N26" s="75" t="s">
        <v>194</v>
      </c>
      <c r="O26" s="20"/>
      <c r="P26" s="16" t="s">
        <v>195</v>
      </c>
      <c r="Q26" s="91">
        <f t="shared" si="1"/>
        <v>1</v>
      </c>
      <c r="R26" s="40">
        <v>12</v>
      </c>
      <c r="S26" s="44">
        <f>K26</f>
        <v>150000</v>
      </c>
      <c r="U26" s="13">
        <f>J26</f>
        <v>12500</v>
      </c>
      <c r="V26" s="44">
        <v>0</v>
      </c>
      <c r="W26" s="44">
        <f t="shared" si="2"/>
        <v>6750</v>
      </c>
    </row>
    <row r="27" spans="1:23" ht="101.25" x14ac:dyDescent="0.25">
      <c r="A27" s="36" t="s">
        <v>81</v>
      </c>
      <c r="B27" s="2" t="s">
        <v>154</v>
      </c>
      <c r="C27" s="6" t="s">
        <v>98</v>
      </c>
      <c r="D27" s="29" t="s">
        <v>99</v>
      </c>
      <c r="E27" s="3" t="s">
        <v>100</v>
      </c>
      <c r="G27" s="4">
        <v>42326</v>
      </c>
      <c r="H27" s="25">
        <v>42551</v>
      </c>
      <c r="I27" s="27">
        <v>9</v>
      </c>
      <c r="J27" s="12">
        <f>K27/I27</f>
        <v>3756440.1922222218</v>
      </c>
      <c r="K27" s="90">
        <v>33807961.729999997</v>
      </c>
      <c r="L27" s="21" t="s">
        <v>81</v>
      </c>
      <c r="N27" s="72" t="s">
        <v>158</v>
      </c>
      <c r="O27" s="4"/>
      <c r="P27" s="16"/>
      <c r="Q27" s="91">
        <f t="shared" si="1"/>
        <v>-0.16200542090474035</v>
      </c>
      <c r="R27" s="41">
        <v>9</v>
      </c>
      <c r="S27" s="90">
        <v>33807961.729999997</v>
      </c>
      <c r="U27" s="44">
        <f>S27/9</f>
        <v>3756440.1922222218</v>
      </c>
      <c r="V27" s="44">
        <v>39285034.799999997</v>
      </c>
      <c r="W27" s="32" t="s">
        <v>81</v>
      </c>
    </row>
    <row r="28" spans="1:23" ht="135" x14ac:dyDescent="0.25">
      <c r="A28" s="36" t="s">
        <v>81</v>
      </c>
      <c r="B28" s="2" t="s">
        <v>154</v>
      </c>
      <c r="C28" s="2" t="s">
        <v>101</v>
      </c>
      <c r="D28" s="29" t="s">
        <v>99</v>
      </c>
      <c r="E28" s="3" t="s">
        <v>102</v>
      </c>
      <c r="G28" s="4">
        <v>42327</v>
      </c>
      <c r="H28" s="25">
        <v>42551</v>
      </c>
      <c r="I28" s="27">
        <v>7</v>
      </c>
      <c r="J28" s="13">
        <f>V28/7</f>
        <v>519072.98285714287</v>
      </c>
      <c r="K28" s="12">
        <f t="shared" si="6"/>
        <v>3633510.88</v>
      </c>
      <c r="L28" s="12">
        <f t="shared" si="0"/>
        <v>218010.65279999998</v>
      </c>
      <c r="N28" s="74" t="s">
        <v>179</v>
      </c>
      <c r="O28" s="9">
        <v>42761</v>
      </c>
      <c r="P28" s="35" t="s">
        <v>213</v>
      </c>
      <c r="Q28" s="91">
        <f t="shared" si="1"/>
        <v>0.66256190339531629</v>
      </c>
      <c r="R28" s="41" t="s">
        <v>81</v>
      </c>
      <c r="S28" s="46">
        <v>10767933.189999999</v>
      </c>
      <c r="U28" s="49">
        <f>V28/7</f>
        <v>519072.98285714287</v>
      </c>
      <c r="V28" s="44">
        <v>3633510.88</v>
      </c>
      <c r="W28" s="44">
        <f t="shared" si="2"/>
        <v>163507.9896</v>
      </c>
    </row>
    <row r="29" spans="1:23" ht="90" x14ac:dyDescent="0.25">
      <c r="A29" s="2" t="s">
        <v>155</v>
      </c>
      <c r="B29" s="2" t="s">
        <v>154</v>
      </c>
      <c r="C29" s="2" t="s">
        <v>103</v>
      </c>
      <c r="D29" s="29" t="s">
        <v>99</v>
      </c>
      <c r="E29" s="3" t="s">
        <v>104</v>
      </c>
      <c r="G29" s="4">
        <v>42583</v>
      </c>
      <c r="H29" s="25">
        <v>42861</v>
      </c>
      <c r="I29" s="27">
        <f t="shared" si="3"/>
        <v>9.2666666666666675</v>
      </c>
      <c r="J29" s="13">
        <f>K29/9</f>
        <v>408891.7322222222</v>
      </c>
      <c r="K29" s="12">
        <v>3680025.59</v>
      </c>
      <c r="L29" s="12">
        <f t="shared" si="0"/>
        <v>220801.53539999999</v>
      </c>
      <c r="N29" s="74" t="s">
        <v>179</v>
      </c>
      <c r="O29" s="4">
        <v>42861</v>
      </c>
      <c r="P29" s="37" t="s">
        <v>214</v>
      </c>
      <c r="Q29" s="91">
        <f t="shared" si="1"/>
        <v>0.3076923076923076</v>
      </c>
      <c r="R29" s="40">
        <v>4</v>
      </c>
      <c r="S29" s="44">
        <f t="shared" si="4"/>
        <v>1635566.9288888888</v>
      </c>
      <c r="U29" s="49">
        <f>3680025.59/13</f>
        <v>283078.89153846155</v>
      </c>
      <c r="V29" s="44">
        <f t="shared" si="5"/>
        <v>1132315.5661538462</v>
      </c>
      <c r="W29" s="44">
        <f t="shared" si="2"/>
        <v>118043.89777153847</v>
      </c>
    </row>
    <row r="30" spans="1:23" ht="213.75" x14ac:dyDescent="0.25">
      <c r="A30" s="2" t="s">
        <v>156</v>
      </c>
      <c r="B30" s="2" t="s">
        <v>149</v>
      </c>
      <c r="C30" s="2" t="s">
        <v>105</v>
      </c>
      <c r="D30" s="29" t="s">
        <v>106</v>
      </c>
      <c r="E30" s="3" t="s">
        <v>107</v>
      </c>
      <c r="G30" s="4">
        <v>42513</v>
      </c>
      <c r="H30" s="25">
        <v>42877</v>
      </c>
      <c r="I30" s="27">
        <f t="shared" si="3"/>
        <v>12.133333333333333</v>
      </c>
      <c r="J30" s="13">
        <v>299501.92</v>
      </c>
      <c r="K30" s="12">
        <f t="shared" si="6"/>
        <v>3633956.6293333331</v>
      </c>
      <c r="L30" s="12">
        <f t="shared" si="0"/>
        <v>218037.39775999999</v>
      </c>
      <c r="N30" s="72" t="s">
        <v>158</v>
      </c>
      <c r="O30" s="20" t="s">
        <v>81</v>
      </c>
      <c r="P30" s="16" t="s">
        <v>203</v>
      </c>
      <c r="Q30" s="91">
        <f t="shared" si="1"/>
        <v>0</v>
      </c>
      <c r="R30" s="40">
        <v>12</v>
      </c>
      <c r="S30" s="44">
        <f>3*J30</f>
        <v>898505.76</v>
      </c>
      <c r="U30" s="49">
        <f>J30</f>
        <v>299501.92</v>
      </c>
      <c r="V30" s="44">
        <f>S30</f>
        <v>898505.76</v>
      </c>
      <c r="W30" s="44">
        <f t="shared" si="2"/>
        <v>163528.04831999997</v>
      </c>
    </row>
    <row r="31" spans="1:23" ht="49.5" customHeight="1" x14ac:dyDescent="0.25">
      <c r="A31" s="2" t="s">
        <v>159</v>
      </c>
      <c r="B31" s="6" t="s">
        <v>122</v>
      </c>
      <c r="C31" s="36" t="s">
        <v>81</v>
      </c>
      <c r="D31" s="29" t="s">
        <v>108</v>
      </c>
      <c r="E31" s="3" t="s">
        <v>227</v>
      </c>
      <c r="G31" s="4">
        <v>42491</v>
      </c>
      <c r="H31" s="25">
        <v>42854</v>
      </c>
      <c r="I31" s="27">
        <f t="shared" si="3"/>
        <v>12.1</v>
      </c>
      <c r="J31" s="21" t="s">
        <v>81</v>
      </c>
      <c r="K31" s="21" t="s">
        <v>81</v>
      </c>
      <c r="L31" s="32" t="s">
        <v>81</v>
      </c>
      <c r="N31" s="72" t="s">
        <v>158</v>
      </c>
      <c r="O31" s="20" t="s">
        <v>81</v>
      </c>
      <c r="P31" s="16" t="s">
        <v>180</v>
      </c>
      <c r="Q31" s="91">
        <f t="shared" si="1"/>
        <v>0</v>
      </c>
      <c r="R31" s="40">
        <v>12</v>
      </c>
      <c r="S31" s="77">
        <v>3918838.78</v>
      </c>
      <c r="U31" s="44">
        <f>V31/12</f>
        <v>326569.89833333332</v>
      </c>
      <c r="V31" s="77">
        <v>3918838.78</v>
      </c>
      <c r="W31" s="44">
        <f t="shared" si="2"/>
        <v>177817.30964249998</v>
      </c>
    </row>
    <row r="32" spans="1:23" ht="45" x14ac:dyDescent="0.25">
      <c r="A32" s="36" t="s">
        <v>81</v>
      </c>
      <c r="B32" s="6" t="s">
        <v>122</v>
      </c>
      <c r="C32" s="2" t="s">
        <v>109</v>
      </c>
      <c r="D32" s="29" t="s">
        <v>110</v>
      </c>
      <c r="E32" s="3" t="s">
        <v>111</v>
      </c>
      <c r="G32" s="4">
        <v>42642</v>
      </c>
      <c r="H32" s="25">
        <v>43006</v>
      </c>
      <c r="I32" s="27">
        <v>12</v>
      </c>
      <c r="J32" s="13">
        <f>K32/12</f>
        <v>178880</v>
      </c>
      <c r="K32" s="12">
        <v>2146560</v>
      </c>
      <c r="L32" s="67" t="s">
        <v>81</v>
      </c>
      <c r="N32" s="73" t="s">
        <v>160</v>
      </c>
      <c r="O32" s="20" t="s">
        <v>81</v>
      </c>
      <c r="P32" s="16" t="s">
        <v>215</v>
      </c>
      <c r="Q32" s="91">
        <f t="shared" si="1"/>
        <v>1</v>
      </c>
      <c r="R32" s="43" t="s">
        <v>81</v>
      </c>
      <c r="S32" s="44">
        <v>1455615.66</v>
      </c>
      <c r="U32" s="44">
        <v>0</v>
      </c>
      <c r="V32" s="44">
        <v>0</v>
      </c>
      <c r="W32" s="32" t="s">
        <v>81</v>
      </c>
    </row>
    <row r="33" spans="1:23" ht="123.75" x14ac:dyDescent="0.25">
      <c r="A33" s="6" t="s">
        <v>237</v>
      </c>
      <c r="B33" s="6" t="s">
        <v>122</v>
      </c>
      <c r="C33" s="2" t="s">
        <v>112</v>
      </c>
      <c r="D33" s="29" t="s">
        <v>99</v>
      </c>
      <c r="E33" s="3" t="s">
        <v>113</v>
      </c>
      <c r="G33" s="9">
        <v>42509</v>
      </c>
      <c r="H33" s="9">
        <v>42873</v>
      </c>
      <c r="I33" s="10">
        <v>12</v>
      </c>
      <c r="J33" s="53">
        <f>K33/I33</f>
        <v>574995.31416666671</v>
      </c>
      <c r="K33" s="12">
        <f>6399999.98+499943.79</f>
        <v>6899943.7700000005</v>
      </c>
      <c r="L33" s="12">
        <f t="shared" si="0"/>
        <v>413996.6262</v>
      </c>
      <c r="M33" s="8"/>
      <c r="N33" s="74" t="s">
        <v>179</v>
      </c>
      <c r="O33" s="9">
        <v>42874</v>
      </c>
      <c r="P33" s="16" t="s">
        <v>216</v>
      </c>
      <c r="Q33" s="91">
        <f t="shared" si="1"/>
        <v>7.2456212204755399E-2</v>
      </c>
      <c r="R33" s="40">
        <v>12</v>
      </c>
      <c r="S33" s="54">
        <f>K33</f>
        <v>6899943.7700000005</v>
      </c>
      <c r="T33" s="8"/>
      <c r="U33" s="44">
        <f>V33/12</f>
        <v>533333.33166666667</v>
      </c>
      <c r="V33" s="55">
        <v>6399999.9800000004</v>
      </c>
      <c r="W33" s="44">
        <f t="shared" si="2"/>
        <v>287999.99910000002</v>
      </c>
    </row>
    <row r="34" spans="1:23" ht="63.75" x14ac:dyDescent="0.25">
      <c r="A34" s="2" t="s">
        <v>164</v>
      </c>
      <c r="B34" s="2" t="s">
        <v>154</v>
      </c>
      <c r="C34" s="2" t="s">
        <v>165</v>
      </c>
      <c r="D34" s="29" t="s">
        <v>166</v>
      </c>
      <c r="E34" s="3" t="s">
        <v>167</v>
      </c>
      <c r="G34" s="9">
        <v>42478</v>
      </c>
      <c r="H34" s="9">
        <v>42694</v>
      </c>
      <c r="I34" s="10">
        <v>7</v>
      </c>
      <c r="J34" s="53">
        <f>K34/I34</f>
        <v>800000</v>
      </c>
      <c r="K34" s="12">
        <v>5600000</v>
      </c>
      <c r="L34" s="12">
        <f t="shared" si="0"/>
        <v>336000</v>
      </c>
      <c r="M34" s="8"/>
      <c r="N34" s="74" t="s">
        <v>179</v>
      </c>
      <c r="O34" s="22" t="s">
        <v>81</v>
      </c>
      <c r="P34" s="16" t="s">
        <v>217</v>
      </c>
      <c r="Q34" s="91">
        <f t="shared" si="1"/>
        <v>0.38</v>
      </c>
      <c r="R34" s="41" t="s">
        <v>81</v>
      </c>
      <c r="S34" s="47">
        <v>5526315.7894736845</v>
      </c>
      <c r="T34" s="8"/>
      <c r="U34" s="44">
        <f>V34/4</f>
        <v>856578.94736842113</v>
      </c>
      <c r="V34" s="44">
        <v>3426315.7894736845</v>
      </c>
      <c r="W34" s="44">
        <f t="shared" si="2"/>
        <v>269822.36842105264</v>
      </c>
    </row>
    <row r="35" spans="1:23" ht="102" x14ac:dyDescent="0.25">
      <c r="A35" s="6" t="s">
        <v>238</v>
      </c>
      <c r="B35" s="2" t="s">
        <v>120</v>
      </c>
      <c r="C35" s="36" t="s">
        <v>81</v>
      </c>
      <c r="D35" s="34" t="s">
        <v>181</v>
      </c>
      <c r="E35" s="64" t="s">
        <v>182</v>
      </c>
      <c r="G35" s="9">
        <v>42462</v>
      </c>
      <c r="H35" s="9">
        <v>42826</v>
      </c>
      <c r="I35" s="10">
        <v>12</v>
      </c>
      <c r="J35" s="53">
        <f>K35/12</f>
        <v>3732750</v>
      </c>
      <c r="K35" s="12">
        <f>89586000/2</f>
        <v>44793000</v>
      </c>
      <c r="L35" s="12">
        <f t="shared" si="0"/>
        <v>2687580</v>
      </c>
      <c r="M35" s="8"/>
      <c r="N35" s="74" t="s">
        <v>179</v>
      </c>
      <c r="O35" s="9">
        <v>42827</v>
      </c>
      <c r="P35" s="16" t="s">
        <v>185</v>
      </c>
      <c r="Q35" s="91">
        <f t="shared" si="1"/>
        <v>2.5227156028844178E-3</v>
      </c>
      <c r="R35" s="40">
        <v>6</v>
      </c>
      <c r="S35" s="47">
        <f>J35*6</f>
        <v>22396500</v>
      </c>
      <c r="T35" s="8"/>
      <c r="U35" s="92">
        <f>V35/6</f>
        <v>3723333.3333333335</v>
      </c>
      <c r="V35" s="92">
        <f>22340000</f>
        <v>22340000</v>
      </c>
      <c r="W35" s="92">
        <f t="shared" si="2"/>
        <v>2010600</v>
      </c>
    </row>
    <row r="36" spans="1:23" ht="102" x14ac:dyDescent="0.25">
      <c r="A36" s="6" t="s">
        <v>238</v>
      </c>
      <c r="B36" s="2" t="s">
        <v>120</v>
      </c>
      <c r="C36" s="36" t="s">
        <v>81</v>
      </c>
      <c r="D36" s="34" t="s">
        <v>183</v>
      </c>
      <c r="E36" s="64" t="s">
        <v>184</v>
      </c>
      <c r="G36" s="9">
        <v>42462</v>
      </c>
      <c r="H36" s="9">
        <v>42826</v>
      </c>
      <c r="I36" s="10">
        <v>12</v>
      </c>
      <c r="J36" s="53">
        <f>K36/12</f>
        <v>3732750</v>
      </c>
      <c r="K36" s="12">
        <f>89586000/2</f>
        <v>44793000</v>
      </c>
      <c r="L36" s="12">
        <f t="shared" si="0"/>
        <v>2687580</v>
      </c>
      <c r="M36" s="8"/>
      <c r="N36" s="74" t="s">
        <v>179</v>
      </c>
      <c r="O36" s="9">
        <v>42827</v>
      </c>
      <c r="P36" s="16" t="s">
        <v>186</v>
      </c>
      <c r="Q36" s="91">
        <f t="shared" si="1"/>
        <v>2.5227156028844178E-3</v>
      </c>
      <c r="R36" s="40">
        <v>6</v>
      </c>
      <c r="S36" s="47">
        <f>J36*6</f>
        <v>22396500</v>
      </c>
      <c r="T36" s="8"/>
      <c r="U36" s="92">
        <f>V36/6</f>
        <v>3723333.3333333335</v>
      </c>
      <c r="V36" s="92">
        <f>22340000</f>
        <v>22340000</v>
      </c>
      <c r="W36" s="44">
        <f t="shared" si="2"/>
        <v>2010600</v>
      </c>
    </row>
    <row r="37" spans="1:23" x14ac:dyDescent="0.25">
      <c r="A37" s="6" t="s">
        <v>188</v>
      </c>
      <c r="B37" s="2" t="s">
        <v>120</v>
      </c>
      <c r="C37" s="2" t="s">
        <v>81</v>
      </c>
      <c r="D37" s="29" t="s">
        <v>89</v>
      </c>
      <c r="E37" s="3" t="s">
        <v>90</v>
      </c>
      <c r="G37" s="4">
        <v>42731</v>
      </c>
      <c r="H37" s="25">
        <v>43095</v>
      </c>
      <c r="I37" s="27">
        <v>12</v>
      </c>
      <c r="J37" s="12">
        <f>K37/12</f>
        <v>2115.0499999999997</v>
      </c>
      <c r="K37" s="12">
        <v>25380.6</v>
      </c>
      <c r="L37" s="12">
        <f t="shared" si="0"/>
        <v>1522.8359999999998</v>
      </c>
      <c r="N37" s="72" t="s">
        <v>158</v>
      </c>
      <c r="O37" s="20" t="s">
        <v>81</v>
      </c>
      <c r="P37" s="31" t="s">
        <v>81</v>
      </c>
      <c r="Q37" s="91">
        <f t="shared" si="1"/>
        <v>0</v>
      </c>
      <c r="R37" s="41" t="s">
        <v>81</v>
      </c>
      <c r="S37" s="44">
        <f>K37</f>
        <v>25380.6</v>
      </c>
      <c r="U37" s="32"/>
      <c r="V37" s="47">
        <f>S37</f>
        <v>25380.6</v>
      </c>
      <c r="W37" s="44">
        <f t="shared" si="2"/>
        <v>0</v>
      </c>
    </row>
    <row r="38" spans="1:23" ht="78.75" x14ac:dyDescent="0.25">
      <c r="A38" s="66" t="s">
        <v>197</v>
      </c>
      <c r="B38" s="6" t="s">
        <v>120</v>
      </c>
      <c r="C38" s="6" t="s">
        <v>196</v>
      </c>
      <c r="D38" s="28" t="s">
        <v>193</v>
      </c>
      <c r="E38" s="7" t="s">
        <v>198</v>
      </c>
      <c r="F38" s="8"/>
      <c r="G38" s="11">
        <v>42462</v>
      </c>
      <c r="H38" s="24">
        <v>42826</v>
      </c>
      <c r="I38" s="26">
        <v>12</v>
      </c>
      <c r="J38" s="30">
        <f>K38/12</f>
        <v>102500</v>
      </c>
      <c r="K38" s="30">
        <v>1230000</v>
      </c>
      <c r="L38" s="67" t="s">
        <v>81</v>
      </c>
      <c r="M38" s="8"/>
      <c r="N38" s="75" t="s">
        <v>194</v>
      </c>
      <c r="O38" s="67" t="s">
        <v>81</v>
      </c>
      <c r="P38" s="16" t="s">
        <v>199</v>
      </c>
      <c r="Q38" s="91">
        <f t="shared" si="1"/>
        <v>1</v>
      </c>
      <c r="R38" s="40">
        <v>12</v>
      </c>
      <c r="S38" s="44">
        <f>K38</f>
        <v>1230000</v>
      </c>
      <c r="T38" s="8"/>
      <c r="U38" s="44">
        <v>0</v>
      </c>
      <c r="V38" s="44">
        <v>0</v>
      </c>
      <c r="W38" s="67" t="s">
        <v>81</v>
      </c>
    </row>
    <row r="39" spans="1:23" ht="63.75" x14ac:dyDescent="0.25">
      <c r="A39" s="2" t="s">
        <v>219</v>
      </c>
      <c r="B39" s="2" t="s">
        <v>218</v>
      </c>
      <c r="C39" s="6" t="s">
        <v>221</v>
      </c>
      <c r="D39" s="29" t="s">
        <v>108</v>
      </c>
      <c r="E39" s="3" t="s">
        <v>227</v>
      </c>
      <c r="G39" s="20" t="s">
        <v>81</v>
      </c>
      <c r="H39" s="20" t="s">
        <v>81</v>
      </c>
      <c r="I39" s="20" t="s">
        <v>81</v>
      </c>
      <c r="J39" s="12">
        <f>K39/12</f>
        <v>53353.646666666667</v>
      </c>
      <c r="K39" s="12">
        <v>640243.76</v>
      </c>
      <c r="L39" s="67" t="s">
        <v>81</v>
      </c>
      <c r="N39" s="75" t="s">
        <v>194</v>
      </c>
      <c r="O39" s="67" t="s">
        <v>81</v>
      </c>
      <c r="P39" s="16" t="s">
        <v>225</v>
      </c>
      <c r="Q39" s="91">
        <f t="shared" si="1"/>
        <v>1</v>
      </c>
      <c r="R39" s="41" t="s">
        <v>81</v>
      </c>
      <c r="S39" s="44">
        <v>640243.76</v>
      </c>
      <c r="U39" s="44">
        <v>0</v>
      </c>
      <c r="V39" s="44">
        <v>0</v>
      </c>
      <c r="W39" s="67" t="s">
        <v>81</v>
      </c>
    </row>
    <row r="40" spans="1:23" ht="63.75" x14ac:dyDescent="0.25">
      <c r="A40" s="2" t="s">
        <v>220</v>
      </c>
      <c r="B40" s="2" t="s">
        <v>120</v>
      </c>
      <c r="C40" s="6" t="s">
        <v>222</v>
      </c>
      <c r="D40" s="29" t="s">
        <v>108</v>
      </c>
      <c r="E40" s="3" t="s">
        <v>227</v>
      </c>
      <c r="G40" s="20" t="s">
        <v>81</v>
      </c>
      <c r="H40" s="20" t="s">
        <v>81</v>
      </c>
      <c r="I40" s="20" t="s">
        <v>81</v>
      </c>
      <c r="J40" s="20" t="s">
        <v>81</v>
      </c>
      <c r="K40" s="12">
        <v>660385.92000000004</v>
      </c>
      <c r="L40" s="67" t="s">
        <v>81</v>
      </c>
      <c r="N40" s="75" t="s">
        <v>194</v>
      </c>
      <c r="O40" s="67" t="s">
        <v>81</v>
      </c>
      <c r="P40" s="16" t="s">
        <v>225</v>
      </c>
      <c r="Q40" s="91">
        <f t="shared" si="1"/>
        <v>1</v>
      </c>
      <c r="R40" s="41" t="s">
        <v>81</v>
      </c>
      <c r="S40" s="44">
        <v>660385.92000000004</v>
      </c>
      <c r="U40" s="44">
        <v>0</v>
      </c>
      <c r="V40" s="44">
        <v>0</v>
      </c>
      <c r="W40" s="67" t="s">
        <v>81</v>
      </c>
    </row>
    <row r="41" spans="1:23" ht="63.75" x14ac:dyDescent="0.25">
      <c r="A41" s="2" t="s">
        <v>224</v>
      </c>
      <c r="B41" s="6" t="s">
        <v>122</v>
      </c>
      <c r="C41" s="6" t="s">
        <v>223</v>
      </c>
      <c r="D41" s="29" t="s">
        <v>108</v>
      </c>
      <c r="E41" s="3" t="s">
        <v>227</v>
      </c>
      <c r="G41" s="4">
        <v>42491</v>
      </c>
      <c r="H41" s="25">
        <v>42855</v>
      </c>
      <c r="I41" s="27">
        <v>12</v>
      </c>
      <c r="J41" s="12">
        <f>K41/12</f>
        <v>304781.78916666668</v>
      </c>
      <c r="K41" s="12">
        <v>3657381.47</v>
      </c>
      <c r="L41" s="67" t="s">
        <v>81</v>
      </c>
      <c r="N41" s="75" t="s">
        <v>194</v>
      </c>
      <c r="O41" s="67" t="s">
        <v>81</v>
      </c>
      <c r="P41" s="16" t="s">
        <v>225</v>
      </c>
      <c r="Q41" s="91">
        <f t="shared" si="1"/>
        <v>1</v>
      </c>
      <c r="R41" s="40">
        <v>12</v>
      </c>
      <c r="S41" s="44">
        <f>K41</f>
        <v>3657381.47</v>
      </c>
      <c r="U41" s="44">
        <v>0</v>
      </c>
      <c r="V41" s="44">
        <v>0</v>
      </c>
      <c r="W41" s="67" t="s">
        <v>81</v>
      </c>
    </row>
    <row r="42" spans="1:23" ht="15.75" thickBot="1" x14ac:dyDescent="0.3"/>
    <row r="43" spans="1:23" ht="15.75" thickBot="1" x14ac:dyDescent="0.3">
      <c r="N43" s="132" t="s">
        <v>169</v>
      </c>
      <c r="O43" s="133"/>
      <c r="P43" s="133"/>
      <c r="Q43" s="133"/>
      <c r="R43" s="133"/>
      <c r="S43" s="60">
        <f>SUM(S3:S41)</f>
        <v>123735955.8986959</v>
      </c>
      <c r="T43" s="61"/>
      <c r="U43" s="62"/>
      <c r="V43" s="60">
        <f>SUM(V3:V41)</f>
        <v>108800623.24262752</v>
      </c>
      <c r="W43" s="63"/>
    </row>
    <row r="44" spans="1:23" ht="15.75" thickBot="1" x14ac:dyDescent="0.3"/>
    <row r="45" spans="1:23" ht="30" thickTop="1" thickBot="1" x14ac:dyDescent="0.3">
      <c r="A45" s="50"/>
      <c r="U45"/>
      <c r="V45" s="129" t="s">
        <v>168</v>
      </c>
      <c r="W45" s="129"/>
    </row>
    <row r="46" spans="1:23" ht="72.75" customHeight="1" thickTop="1" thickBot="1" x14ac:dyDescent="0.3">
      <c r="R46" s="38"/>
      <c r="U46"/>
      <c r="V46" s="81" t="s">
        <v>230</v>
      </c>
      <c r="W46" s="81" t="s">
        <v>229</v>
      </c>
    </row>
    <row r="47" spans="1:23" ht="33.75" customHeight="1" thickTop="1" thickBot="1" x14ac:dyDescent="0.3">
      <c r="N47" s="38"/>
      <c r="R47" s="38"/>
      <c r="U47" s="1"/>
      <c r="V47" s="82">
        <f>1-(V43/S43)</f>
        <v>0.12070325514999147</v>
      </c>
      <c r="W47" s="82">
        <f>((SUM(L3:L41))-(SUM(W3:W41)))/(SUM(L3:L41))</f>
        <v>0.26380254706717815</v>
      </c>
    </row>
    <row r="48" spans="1:23" ht="16.5" thickTop="1" x14ac:dyDescent="0.25">
      <c r="A48" s="140" t="s">
        <v>177</v>
      </c>
      <c r="B48" s="140"/>
      <c r="C48" s="140"/>
      <c r="D48" s="140"/>
      <c r="E48" s="140"/>
      <c r="F48" s="140"/>
      <c r="G48" s="140"/>
      <c r="H48" s="140"/>
      <c r="S48" s="15"/>
      <c r="U48" s="14"/>
    </row>
    <row r="49" spans="1:23" ht="16.5" thickBot="1" x14ac:dyDescent="0.3">
      <c r="A49" s="51"/>
      <c r="B49" s="56"/>
      <c r="C49" s="56"/>
      <c r="D49" s="56"/>
      <c r="E49" s="56"/>
      <c r="F49" s="56"/>
      <c r="G49" s="57"/>
      <c r="H49" s="57"/>
      <c r="S49" s="65"/>
      <c r="U49" s="14"/>
    </row>
    <row r="50" spans="1:23" ht="57" customHeight="1" thickBot="1" x14ac:dyDescent="0.3">
      <c r="A50" s="58" t="s">
        <v>170</v>
      </c>
      <c r="B50" s="69" t="s">
        <v>171</v>
      </c>
      <c r="C50" s="69" t="s">
        <v>172</v>
      </c>
      <c r="D50" s="69" t="s">
        <v>173</v>
      </c>
      <c r="E50" s="69" t="s">
        <v>174</v>
      </c>
      <c r="F50" s="134" t="s">
        <v>175</v>
      </c>
      <c r="G50" s="135"/>
      <c r="H50" s="136"/>
      <c r="U50" s="68"/>
      <c r="V50" s="15"/>
      <c r="W50" s="79"/>
    </row>
    <row r="51" spans="1:23" ht="48" thickBot="1" x14ac:dyDescent="0.3">
      <c r="A51" s="59" t="s">
        <v>176</v>
      </c>
      <c r="B51" s="70">
        <v>35</v>
      </c>
      <c r="C51" s="71">
        <v>91612158.689999998</v>
      </c>
      <c r="D51" s="70">
        <v>25</v>
      </c>
      <c r="E51" s="71">
        <v>8127857.4900000002</v>
      </c>
      <c r="F51" s="137">
        <v>8.8700000000000001E-2</v>
      </c>
      <c r="G51" s="138"/>
      <c r="H51" s="139"/>
      <c r="V51" s="15"/>
      <c r="W51" s="79"/>
    </row>
    <row r="52" spans="1:23" ht="15.75" x14ac:dyDescent="0.25">
      <c r="A52" s="57"/>
      <c r="B52" s="57"/>
      <c r="C52" s="57"/>
      <c r="D52" s="57"/>
      <c r="E52" s="57"/>
      <c r="F52" s="57"/>
      <c r="G52" s="57"/>
      <c r="H52" s="57"/>
    </row>
    <row r="53" spans="1:23" ht="15.75" x14ac:dyDescent="0.25">
      <c r="A53" s="57"/>
      <c r="B53" s="57"/>
      <c r="C53" s="57"/>
      <c r="D53" s="57"/>
      <c r="E53" s="57"/>
      <c r="F53" s="57"/>
      <c r="G53" s="57"/>
      <c r="H53" s="57"/>
      <c r="U53" s="15"/>
    </row>
    <row r="54" spans="1:23" ht="15.75" x14ac:dyDescent="0.25">
      <c r="A54" s="140" t="s">
        <v>178</v>
      </c>
      <c r="B54" s="140"/>
      <c r="C54" s="140"/>
      <c r="D54" s="140"/>
      <c r="E54" s="140"/>
      <c r="F54" s="140"/>
      <c r="G54" s="140"/>
      <c r="H54" s="140"/>
      <c r="W54" s="79"/>
    </row>
    <row r="55" spans="1:23" ht="16.5" thickBot="1" x14ac:dyDescent="0.3">
      <c r="A55" s="57"/>
      <c r="B55" s="57"/>
      <c r="C55" s="57"/>
      <c r="D55" s="57"/>
      <c r="E55" s="57"/>
      <c r="F55" s="57"/>
      <c r="G55" s="57"/>
      <c r="H55" s="57"/>
    </row>
    <row r="56" spans="1:23" ht="42.75" customHeight="1" thickBot="1" x14ac:dyDescent="0.3">
      <c r="A56" s="58" t="s">
        <v>170</v>
      </c>
      <c r="B56" s="69" t="s">
        <v>171</v>
      </c>
      <c r="C56" s="69" t="s">
        <v>172</v>
      </c>
      <c r="D56" s="69" t="s">
        <v>173</v>
      </c>
      <c r="E56" s="69" t="s">
        <v>174</v>
      </c>
      <c r="F56" s="134" t="s">
        <v>175</v>
      </c>
      <c r="G56" s="135"/>
      <c r="H56" s="136"/>
      <c r="W56" s="80"/>
    </row>
    <row r="57" spans="1:23" ht="48.75" customHeight="1" thickBot="1" x14ac:dyDescent="0.3">
      <c r="A57" s="59" t="s">
        <v>176</v>
      </c>
      <c r="B57" s="70">
        <v>39</v>
      </c>
      <c r="C57" s="71">
        <f>S43</f>
        <v>123735955.8986959</v>
      </c>
      <c r="D57" s="70">
        <f>COUNTIF(N3:N41,"Renegociou")</f>
        <v>25</v>
      </c>
      <c r="E57" s="71">
        <f>S43-V43</f>
        <v>14935332.656068385</v>
      </c>
      <c r="F57" s="137">
        <f>E57/C57</f>
        <v>0.12070325514999147</v>
      </c>
      <c r="G57" s="138"/>
      <c r="H57" s="139"/>
    </row>
    <row r="58" spans="1:23" ht="84" customHeight="1" x14ac:dyDescent="0.25">
      <c r="A58" s="93"/>
      <c r="B58" s="93"/>
      <c r="C58" s="94"/>
      <c r="D58" s="93"/>
      <c r="E58" s="94"/>
      <c r="F58" s="95"/>
      <c r="G58" s="95"/>
      <c r="H58" s="95"/>
    </row>
    <row r="59" spans="1:23" x14ac:dyDescent="0.25">
      <c r="A59" s="125" t="s">
        <v>179</v>
      </c>
      <c r="B59" s="125"/>
      <c r="C59" s="125"/>
      <c r="D59" s="126"/>
    </row>
    <row r="60" spans="1:23" ht="24" x14ac:dyDescent="0.25">
      <c r="A60" s="96" t="s">
        <v>231</v>
      </c>
      <c r="B60" s="96" t="s">
        <v>129</v>
      </c>
      <c r="C60" s="96" t="s">
        <v>130</v>
      </c>
      <c r="D60" s="96" t="s">
        <v>168</v>
      </c>
    </row>
    <row r="61" spans="1:23" x14ac:dyDescent="0.25">
      <c r="A61" s="97">
        <f>COUNTIF(N3:N41,"Renegociou")</f>
        <v>25</v>
      </c>
      <c r="B61" s="98">
        <f>SUM(S3,S4,S5,S6,S7,S8,S9,S10,S11,S12,S13,S15,S16,S17,S18,S19,S22,S23,S25,S28,S29,S33,S34,S35,S36)</f>
        <v>76938193.089362562</v>
      </c>
      <c r="C61" s="98">
        <f>SUM(V3,V4,V5,V6,V7,V8,V9,V10,V11,V12,V13,V15,V16,V17,V18,V19,V22,V23,V25,V28,V29,V33,V34,V35,V36)</f>
        <v>64319414.173294201</v>
      </c>
      <c r="D61" s="103">
        <f>1-(C61/B61)</f>
        <v>0.16401189590470155</v>
      </c>
    </row>
    <row r="62" spans="1:23" x14ac:dyDescent="0.25">
      <c r="A62" s="5"/>
      <c r="B62" s="5"/>
      <c r="C62" s="5"/>
      <c r="D62" s="5"/>
    </row>
    <row r="63" spans="1:23" x14ac:dyDescent="0.25">
      <c r="A63" s="124" t="s">
        <v>158</v>
      </c>
      <c r="B63" s="124"/>
      <c r="C63" s="124"/>
      <c r="D63" s="124"/>
    </row>
    <row r="64" spans="1:23" x14ac:dyDescent="0.25">
      <c r="A64" s="96" t="s">
        <v>231</v>
      </c>
      <c r="B64" s="96" t="s">
        <v>232</v>
      </c>
      <c r="C64" s="96" t="s">
        <v>233</v>
      </c>
      <c r="D64" s="96" t="s">
        <v>168</v>
      </c>
    </row>
    <row r="65" spans="1:4" x14ac:dyDescent="0.25">
      <c r="A65" s="97">
        <f>COUNTIF(N3:N41,"Não Renegociou")</f>
        <v>8</v>
      </c>
      <c r="B65" s="98">
        <f>SUM(S14,S20,S21,S24,S27,S30,S31,S37)</f>
        <v>39004135.999333329</v>
      </c>
      <c r="C65" s="98">
        <f>SUM(V14,V20,V21,V24,V27,V30,V31,V37)</f>
        <v>44481209.06933333</v>
      </c>
      <c r="D65" s="103">
        <f>1-(C65/B65)</f>
        <v>-0.14042287900169392</v>
      </c>
    </row>
    <row r="66" spans="1:4" x14ac:dyDescent="0.25">
      <c r="A66" s="5"/>
      <c r="B66" s="5"/>
      <c r="C66" s="5"/>
      <c r="D66" s="5"/>
    </row>
    <row r="67" spans="1:4" x14ac:dyDescent="0.25">
      <c r="A67" s="127" t="s">
        <v>194</v>
      </c>
      <c r="B67" s="127"/>
      <c r="C67" s="127"/>
      <c r="D67" s="127"/>
    </row>
    <row r="68" spans="1:4" ht="24" x14ac:dyDescent="0.25">
      <c r="A68" s="96" t="s">
        <v>231</v>
      </c>
      <c r="B68" s="96" t="s">
        <v>129</v>
      </c>
      <c r="C68" s="96" t="s">
        <v>233</v>
      </c>
      <c r="D68" s="96" t="s">
        <v>168</v>
      </c>
    </row>
    <row r="69" spans="1:4" x14ac:dyDescent="0.25">
      <c r="A69" s="97">
        <f>COUNTIF(N3:N41,"Encerrado")</f>
        <v>5</v>
      </c>
      <c r="B69" s="98">
        <f>SUM(S26,S38,S39,S40,S41)</f>
        <v>6338011.1500000004</v>
      </c>
      <c r="C69" s="98">
        <f>SUM(V26,V38,V39,V40,V41)</f>
        <v>0</v>
      </c>
      <c r="D69" s="103">
        <f>1-(C69/B69)</f>
        <v>1</v>
      </c>
    </row>
    <row r="70" spans="1:4" x14ac:dyDescent="0.25">
      <c r="A70" s="5"/>
      <c r="B70" s="5"/>
      <c r="C70" s="5"/>
      <c r="D70" s="5"/>
    </row>
    <row r="71" spans="1:4" x14ac:dyDescent="0.25">
      <c r="A71" s="122" t="s">
        <v>160</v>
      </c>
      <c r="B71" s="122"/>
      <c r="C71" s="122"/>
      <c r="D71" s="122"/>
    </row>
    <row r="72" spans="1:4" ht="24" x14ac:dyDescent="0.25">
      <c r="A72" s="96" t="s">
        <v>231</v>
      </c>
      <c r="B72" s="96" t="s">
        <v>129</v>
      </c>
      <c r="C72" s="96" t="s">
        <v>130</v>
      </c>
      <c r="D72" s="96" t="s">
        <v>168</v>
      </c>
    </row>
    <row r="73" spans="1:4" x14ac:dyDescent="0.25">
      <c r="A73" s="97">
        <f>COUNTIF(N3:N41,"Extinto")</f>
        <v>1</v>
      </c>
      <c r="B73" s="98">
        <f>S32</f>
        <v>1455615.66</v>
      </c>
      <c r="C73" s="98">
        <f>V32</f>
        <v>0</v>
      </c>
      <c r="D73" s="103">
        <f>1-(C73/B73)</f>
        <v>1</v>
      </c>
    </row>
    <row r="75" spans="1:4" ht="26.25" customHeight="1" x14ac:dyDescent="0.25">
      <c r="A75" s="123" t="s">
        <v>234</v>
      </c>
      <c r="B75" s="123"/>
      <c r="C75" s="123"/>
      <c r="D75" s="123"/>
    </row>
    <row r="76" spans="1:4" ht="24.75" customHeight="1" x14ac:dyDescent="0.25">
      <c r="A76" s="100" t="s">
        <v>231</v>
      </c>
      <c r="B76" s="100" t="s">
        <v>235</v>
      </c>
      <c r="C76" s="100" t="s">
        <v>236</v>
      </c>
      <c r="D76" s="100" t="s">
        <v>168</v>
      </c>
    </row>
    <row r="77" spans="1:4" ht="31.5" customHeight="1" x14ac:dyDescent="0.25">
      <c r="A77" s="101">
        <f>SUM(A61,A65,A69,A73)</f>
        <v>39</v>
      </c>
      <c r="B77" s="102">
        <f>SUM(B61,B65,B69,B73)</f>
        <v>123735955.89869589</v>
      </c>
      <c r="C77" s="102">
        <f>SUM(C61,C65,C69,C73)</f>
        <v>108800623.24262753</v>
      </c>
      <c r="D77" s="99">
        <f>1-(C77/B77)</f>
        <v>0.12070325514999125</v>
      </c>
    </row>
    <row r="82" spans="1:24" ht="15.75" thickBot="1" x14ac:dyDescent="0.3"/>
    <row r="83" spans="1:24" x14ac:dyDescent="0.25">
      <c r="A83" s="113" t="s">
        <v>243</v>
      </c>
      <c r="B83" s="114"/>
      <c r="C83" s="114"/>
      <c r="D83" s="114"/>
      <c r="E83" s="115"/>
    </row>
    <row r="84" spans="1:24" x14ac:dyDescent="0.25">
      <c r="A84" s="104" t="s">
        <v>231</v>
      </c>
      <c r="B84" s="97" t="s">
        <v>239</v>
      </c>
      <c r="C84" s="97" t="s">
        <v>240</v>
      </c>
      <c r="D84" s="110" t="s">
        <v>241</v>
      </c>
      <c r="E84" s="105" t="s">
        <v>242</v>
      </c>
      <c r="J84" s="1"/>
      <c r="L84" s="5"/>
      <c r="M84" s="18"/>
      <c r="N84" s="1"/>
      <c r="O84" s="19"/>
      <c r="P84" s="1"/>
      <c r="R84" s="17"/>
      <c r="S84" s="18"/>
      <c r="T84" s="5"/>
      <c r="U84" s="1"/>
      <c r="W84" s="5"/>
      <c r="X84"/>
    </row>
    <row r="85" spans="1:24" ht="15.75" thickBot="1" x14ac:dyDescent="0.3">
      <c r="A85" s="106">
        <v>25</v>
      </c>
      <c r="B85" s="109">
        <v>76938193.089362562</v>
      </c>
      <c r="C85" s="109">
        <v>64319414.173294201</v>
      </c>
      <c r="D85" s="111">
        <f>B85-C85</f>
        <v>12618778.91606836</v>
      </c>
      <c r="E85" s="107">
        <v>0.16401189590470155</v>
      </c>
      <c r="J85" s="1"/>
      <c r="L85" s="5"/>
      <c r="M85" s="18"/>
      <c r="N85" s="1"/>
      <c r="O85" s="19"/>
      <c r="P85" s="1"/>
      <c r="R85" s="17"/>
      <c r="S85" s="18"/>
      <c r="T85" s="5"/>
      <c r="U85" s="1"/>
      <c r="W85" s="5"/>
      <c r="X85"/>
    </row>
    <row r="86" spans="1:24" ht="15.75" thickBot="1" x14ac:dyDescent="0.3"/>
    <row r="87" spans="1:24" x14ac:dyDescent="0.25">
      <c r="A87" s="116" t="s">
        <v>244</v>
      </c>
      <c r="B87" s="117"/>
      <c r="C87" s="117"/>
      <c r="D87" s="117"/>
      <c r="E87" s="118"/>
    </row>
    <row r="88" spans="1:24" x14ac:dyDescent="0.25">
      <c r="A88" s="104" t="s">
        <v>231</v>
      </c>
      <c r="B88" s="97" t="s">
        <v>239</v>
      </c>
      <c r="C88" s="97" t="s">
        <v>240</v>
      </c>
      <c r="D88" s="110" t="s">
        <v>241</v>
      </c>
      <c r="E88" s="105" t="s">
        <v>168</v>
      </c>
      <c r="J88" s="1"/>
      <c r="L88" s="5"/>
      <c r="M88" s="18"/>
      <c r="N88" s="1"/>
      <c r="O88" s="19"/>
      <c r="P88" s="1"/>
      <c r="R88" s="17"/>
      <c r="S88" s="18"/>
      <c r="T88" s="5"/>
      <c r="U88" s="1"/>
      <c r="W88" s="5"/>
      <c r="X88"/>
    </row>
    <row r="89" spans="1:24" ht="15.75" thickBot="1" x14ac:dyDescent="0.3">
      <c r="A89" s="106">
        <v>8</v>
      </c>
      <c r="B89" s="108">
        <v>39004135.999333329</v>
      </c>
      <c r="C89" s="108">
        <v>44481209.06933333</v>
      </c>
      <c r="D89" s="112">
        <f>B89-C89</f>
        <v>-5477073.0700000003</v>
      </c>
      <c r="E89" s="107">
        <v>-0.14042287900169392</v>
      </c>
      <c r="J89" s="1"/>
      <c r="L89" s="5"/>
      <c r="M89" s="18"/>
      <c r="N89" s="1"/>
      <c r="O89" s="19"/>
      <c r="P89" s="1"/>
      <c r="R89" s="17"/>
      <c r="S89" s="18"/>
      <c r="T89" s="5"/>
      <c r="U89" s="1"/>
      <c r="W89" s="5"/>
      <c r="X89"/>
    </row>
    <row r="90" spans="1:24" ht="15.75" thickBot="1" x14ac:dyDescent="0.3">
      <c r="A90" s="5"/>
      <c r="B90" s="5"/>
      <c r="C90" s="5"/>
      <c r="D90" s="5"/>
    </row>
    <row r="91" spans="1:24" x14ac:dyDescent="0.25">
      <c r="A91" s="116" t="s">
        <v>245</v>
      </c>
      <c r="B91" s="117"/>
      <c r="C91" s="117"/>
      <c r="D91" s="117"/>
      <c r="E91" s="118"/>
    </row>
    <row r="92" spans="1:24" x14ac:dyDescent="0.25">
      <c r="A92" s="104" t="s">
        <v>231</v>
      </c>
      <c r="B92" s="97" t="s">
        <v>239</v>
      </c>
      <c r="C92" s="97" t="s">
        <v>240</v>
      </c>
      <c r="D92" s="110" t="s">
        <v>241</v>
      </c>
      <c r="E92" s="105" t="s">
        <v>168</v>
      </c>
      <c r="J92" s="1"/>
      <c r="L92" s="5"/>
      <c r="M92" s="18"/>
      <c r="N92" s="1"/>
      <c r="O92" s="19"/>
      <c r="P92" s="1"/>
      <c r="R92" s="17"/>
      <c r="S92" s="18"/>
      <c r="T92" s="5"/>
      <c r="U92" s="1"/>
      <c r="W92" s="5"/>
      <c r="X92"/>
    </row>
    <row r="93" spans="1:24" ht="15.75" thickBot="1" x14ac:dyDescent="0.3">
      <c r="A93" s="106">
        <v>5</v>
      </c>
      <c r="B93" s="108">
        <v>6338011.1500000004</v>
      </c>
      <c r="C93" s="108">
        <v>0</v>
      </c>
      <c r="D93" s="112">
        <f>B93-C93</f>
        <v>6338011.1500000004</v>
      </c>
      <c r="E93" s="107">
        <v>1</v>
      </c>
      <c r="J93" s="1"/>
      <c r="L93" s="5"/>
      <c r="M93" s="18"/>
      <c r="N93" s="1"/>
      <c r="O93" s="19"/>
      <c r="P93" s="1"/>
      <c r="R93" s="17"/>
      <c r="S93" s="18"/>
      <c r="T93" s="5"/>
      <c r="U93" s="1"/>
      <c r="W93" s="5"/>
      <c r="X93"/>
    </row>
    <row r="94" spans="1:24" ht="15.75" thickBot="1" x14ac:dyDescent="0.3">
      <c r="A94" s="5"/>
      <c r="B94" s="5"/>
      <c r="C94" s="5"/>
      <c r="D94" s="5"/>
    </row>
    <row r="95" spans="1:24" x14ac:dyDescent="0.25">
      <c r="A95" s="119" t="s">
        <v>246</v>
      </c>
      <c r="B95" s="120"/>
      <c r="C95" s="120"/>
      <c r="D95" s="120"/>
      <c r="E95" s="121"/>
    </row>
    <row r="96" spans="1:24" x14ac:dyDescent="0.25">
      <c r="A96" s="104" t="s">
        <v>231</v>
      </c>
      <c r="B96" s="97" t="s">
        <v>239</v>
      </c>
      <c r="C96" s="97" t="s">
        <v>240</v>
      </c>
      <c r="D96" s="110" t="s">
        <v>241</v>
      </c>
      <c r="E96" s="105" t="s">
        <v>168</v>
      </c>
      <c r="J96" s="1"/>
      <c r="L96" s="5"/>
      <c r="M96" s="18"/>
      <c r="N96" s="1"/>
      <c r="O96" s="19"/>
      <c r="P96" s="1"/>
      <c r="R96" s="17"/>
      <c r="S96" s="18"/>
      <c r="T96" s="5"/>
      <c r="U96" s="1"/>
      <c r="W96" s="5"/>
      <c r="X96"/>
    </row>
    <row r="97" spans="1:24" ht="15.75" thickBot="1" x14ac:dyDescent="0.3">
      <c r="A97" s="106">
        <v>1</v>
      </c>
      <c r="B97" s="108">
        <v>1455615.66</v>
      </c>
      <c r="C97" s="108">
        <v>0</v>
      </c>
      <c r="D97" s="112">
        <f>B97-C97</f>
        <v>1455615.66</v>
      </c>
      <c r="E97" s="107">
        <v>1</v>
      </c>
      <c r="J97" s="1"/>
      <c r="L97" s="5"/>
      <c r="M97" s="18"/>
      <c r="N97" s="1"/>
      <c r="O97" s="19"/>
      <c r="P97" s="1"/>
      <c r="R97" s="17"/>
      <c r="S97" s="18"/>
      <c r="T97" s="5"/>
      <c r="U97" s="1"/>
      <c r="W97" s="5"/>
      <c r="X97"/>
    </row>
  </sheetData>
  <autoFilter ref="A2:W41"/>
  <mergeCells count="21">
    <mergeCell ref="A63:D63"/>
    <mergeCell ref="A59:D59"/>
    <mergeCell ref="A67:D67"/>
    <mergeCell ref="U1:W1"/>
    <mergeCell ref="V45:W45"/>
    <mergeCell ref="N1:S1"/>
    <mergeCell ref="G1:L1"/>
    <mergeCell ref="A1:E1"/>
    <mergeCell ref="N43:R43"/>
    <mergeCell ref="F56:H56"/>
    <mergeCell ref="F57:H57"/>
    <mergeCell ref="F51:H51"/>
    <mergeCell ref="F50:H50"/>
    <mergeCell ref="A48:H48"/>
    <mergeCell ref="A54:H54"/>
    <mergeCell ref="A83:E83"/>
    <mergeCell ref="A87:E87"/>
    <mergeCell ref="A91:E91"/>
    <mergeCell ref="A95:E95"/>
    <mergeCell ref="A71:D71"/>
    <mergeCell ref="A75:D75"/>
  </mergeCells>
  <pageMargins left="0" right="0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Moraes Valsani</dc:creator>
  <cp:lastModifiedBy>Roberta Uliani Joaquim</cp:lastModifiedBy>
  <cp:lastPrinted>2017-08-03T17:30:10Z</cp:lastPrinted>
  <dcterms:created xsi:type="dcterms:W3CDTF">2017-07-24T14:29:52Z</dcterms:created>
  <dcterms:modified xsi:type="dcterms:W3CDTF">2017-12-08T17:08:28Z</dcterms:modified>
</cp:coreProperties>
</file>