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1075" windowHeight="10050"/>
  </bookViews>
  <sheets>
    <sheet name="gestao" sheetId="1" r:id="rId1"/>
  </sheets>
  <externalReferences>
    <externalReference r:id="rId2"/>
  </externalReferences>
  <definedNames>
    <definedName name="_xlnm._FilterDatabase" localSheetId="0" hidden="1">gestao!$B$2:$B$254</definedName>
    <definedName name="_Key1" hidden="1">'[1]NUMERAÇÃO BORDEROS'!$A$6:$A$11</definedName>
    <definedName name="_Order1" hidden="1">255</definedName>
    <definedName name="_Sort" hidden="1">'[1]NUMERAÇÃO BORDEROS'!$A$6:$G$11</definedName>
    <definedName name="_xlnm.Print_Area" localSheetId="0">gestao!$C$2:$Y$108</definedName>
    <definedName name="BENEFICIOS">gestao!$D$35</definedName>
    <definedName name="DESPGER">gestao!$D$56</definedName>
    <definedName name="ENCARGOS">gestao!$D$40</definedName>
    <definedName name="FOLHA_PAGTO_P.ALIM._C.APOSENT.">1001</definedName>
    <definedName name="FORNECEDOR">gestao!$D$48</definedName>
    <definedName name="INICIOSIS">L1C1</definedName>
    <definedName name="INVESTIMENTO">gestao!$D$56</definedName>
    <definedName name="LANÇAMENTO">gestao!$A$110</definedName>
    <definedName name="OUTPESS">gestao!$D$45</definedName>
    <definedName name="TERCEIRIZACAO">gestao!$D$82</definedName>
    <definedName name="_xlnm.Print_Titles" localSheetId="0">gestao!$C:$E,gestao!$2:$3</definedName>
  </definedNames>
  <calcPr calcId="125725"/>
</workbook>
</file>

<file path=xl/calcChain.xml><?xml version="1.0" encoding="utf-8"?>
<calcChain xmlns="http://schemas.openxmlformats.org/spreadsheetml/2006/main">
  <c r="H240" i="1"/>
  <c r="I240"/>
  <c r="J240"/>
  <c r="K240"/>
  <c r="L240"/>
  <c r="M240"/>
  <c r="N240"/>
  <c r="O240"/>
  <c r="P240"/>
  <c r="Q240"/>
  <c r="S240"/>
  <c r="T240"/>
  <c r="U240"/>
  <c r="V240"/>
  <c r="Y240"/>
  <c r="T12"/>
  <c r="T10" s="1"/>
  <c r="O12"/>
  <c r="O10" s="1"/>
  <c r="K12"/>
  <c r="Y233"/>
  <c r="Y232" s="1"/>
  <c r="X232"/>
  <c r="W232"/>
  <c r="V232"/>
  <c r="U232"/>
  <c r="T232"/>
  <c r="S232"/>
  <c r="R232"/>
  <c r="Q232"/>
  <c r="P232"/>
  <c r="O232"/>
  <c r="N232"/>
  <c r="M232"/>
  <c r="L232"/>
  <c r="K232"/>
  <c r="J232"/>
  <c r="I232"/>
  <c r="H232"/>
  <c r="G232"/>
  <c r="Y231"/>
  <c r="Y230"/>
  <c r="Y229"/>
  <c r="Y228" s="1"/>
  <c r="X228"/>
  <c r="W228"/>
  <c r="V228"/>
  <c r="U228"/>
  <c r="T228"/>
  <c r="S228"/>
  <c r="R228"/>
  <c r="Q228"/>
  <c r="P228"/>
  <c r="O228"/>
  <c r="N228"/>
  <c r="M228"/>
  <c r="L228"/>
  <c r="K228"/>
  <c r="J228"/>
  <c r="I228"/>
  <c r="H228"/>
  <c r="G228"/>
  <c r="F228"/>
  <c r="Y227"/>
  <c r="Y226"/>
  <c r="X225"/>
  <c r="W225"/>
  <c r="V225"/>
  <c r="U225"/>
  <c r="U224" s="1"/>
  <c r="T225"/>
  <c r="S225"/>
  <c r="R225"/>
  <c r="Q225"/>
  <c r="Q224" s="1"/>
  <c r="P225"/>
  <c r="O225"/>
  <c r="N225"/>
  <c r="M225"/>
  <c r="M224" s="1"/>
  <c r="L225"/>
  <c r="K225"/>
  <c r="J225"/>
  <c r="I225"/>
  <c r="I224" s="1"/>
  <c r="H225"/>
  <c r="G225"/>
  <c r="F225"/>
  <c r="W224"/>
  <c r="V224"/>
  <c r="S224"/>
  <c r="R224"/>
  <c r="O224"/>
  <c r="N224"/>
  <c r="K224"/>
  <c r="J224"/>
  <c r="G224"/>
  <c r="F224"/>
  <c r="Y223"/>
  <c r="Y222"/>
  <c r="Y221"/>
  <c r="Y220"/>
  <c r="F220"/>
  <c r="X219"/>
  <c r="W219"/>
  <c r="V219"/>
  <c r="U219"/>
  <c r="T219"/>
  <c r="S219"/>
  <c r="R219"/>
  <c r="Q219"/>
  <c r="P219"/>
  <c r="O219"/>
  <c r="N219"/>
  <c r="M219"/>
  <c r="L219"/>
  <c r="K219"/>
  <c r="J219"/>
  <c r="I219"/>
  <c r="H219"/>
  <c r="G219"/>
  <c r="F219"/>
  <c r="Y218"/>
  <c r="Y216" s="1"/>
  <c r="Y217"/>
  <c r="X216"/>
  <c r="W216"/>
  <c r="V216"/>
  <c r="U216"/>
  <c r="U215" s="1"/>
  <c r="T216"/>
  <c r="S216"/>
  <c r="R216"/>
  <c r="Q216"/>
  <c r="Q215" s="1"/>
  <c r="P216"/>
  <c r="O216"/>
  <c r="N216"/>
  <c r="M216"/>
  <c r="M215" s="1"/>
  <c r="L216"/>
  <c r="K216"/>
  <c r="J216"/>
  <c r="I216"/>
  <c r="H216"/>
  <c r="G216"/>
  <c r="F216"/>
  <c r="F215" s="1"/>
  <c r="V215"/>
  <c r="R215"/>
  <c r="N215"/>
  <c r="J215"/>
  <c r="Y214"/>
  <c r="Y213"/>
  <c r="Y212"/>
  <c r="Y211"/>
  <c r="Y210"/>
  <c r="Y209"/>
  <c r="Y208"/>
  <c r="Y207"/>
  <c r="X206"/>
  <c r="W206"/>
  <c r="V206"/>
  <c r="U206"/>
  <c r="T206"/>
  <c r="S206"/>
  <c r="R206"/>
  <c r="Q206"/>
  <c r="P206"/>
  <c r="O206"/>
  <c r="N206"/>
  <c r="M206"/>
  <c r="L206"/>
  <c r="K206"/>
  <c r="J206"/>
  <c r="I206"/>
  <c r="H206"/>
  <c r="G206"/>
  <c r="F206"/>
  <c r="Y205"/>
  <c r="Y204"/>
  <c r="Y203"/>
  <c r="Y202"/>
  <c r="X201"/>
  <c r="W201"/>
  <c r="V201"/>
  <c r="U201"/>
  <c r="T201"/>
  <c r="S201"/>
  <c r="R201"/>
  <c r="Q201"/>
  <c r="P201"/>
  <c r="O201"/>
  <c r="N201"/>
  <c r="M201"/>
  <c r="L201"/>
  <c r="K201"/>
  <c r="J201"/>
  <c r="I201"/>
  <c r="H201"/>
  <c r="G201"/>
  <c r="F201"/>
  <c r="Y200"/>
  <c r="Y199"/>
  <c r="Y198"/>
  <c r="Y197"/>
  <c r="X196"/>
  <c r="W196"/>
  <c r="V196"/>
  <c r="U196"/>
  <c r="T196"/>
  <c r="S196"/>
  <c r="R196"/>
  <c r="Q196"/>
  <c r="P196"/>
  <c r="O196"/>
  <c r="N196"/>
  <c r="M196"/>
  <c r="L196"/>
  <c r="K196"/>
  <c r="J196"/>
  <c r="I196"/>
  <c r="H196"/>
  <c r="G196"/>
  <c r="F196"/>
  <c r="Y195"/>
  <c r="Y194" s="1"/>
  <c r="X194"/>
  <c r="W194"/>
  <c r="V194"/>
  <c r="U194"/>
  <c r="T194"/>
  <c r="S194"/>
  <c r="R194"/>
  <c r="Q194"/>
  <c r="P194"/>
  <c r="O194"/>
  <c r="N194"/>
  <c r="M194"/>
  <c r="L194"/>
  <c r="K194"/>
  <c r="J194"/>
  <c r="I194"/>
  <c r="H194"/>
  <c r="G194"/>
  <c r="F194"/>
  <c r="Y193"/>
  <c r="Y192"/>
  <c r="Y191"/>
  <c r="Y190"/>
  <c r="Y189" s="1"/>
  <c r="X189"/>
  <c r="W189"/>
  <c r="V189"/>
  <c r="U189"/>
  <c r="T189"/>
  <c r="S189"/>
  <c r="R189"/>
  <c r="Q189"/>
  <c r="P189"/>
  <c r="O189"/>
  <c r="N189"/>
  <c r="M189"/>
  <c r="L189"/>
  <c r="K189"/>
  <c r="J189"/>
  <c r="I189"/>
  <c r="H189"/>
  <c r="G189"/>
  <c r="F189"/>
  <c r="O188"/>
  <c r="Y188" s="1"/>
  <c r="Y186" s="1"/>
  <c r="Y187"/>
  <c r="X186"/>
  <c r="W186"/>
  <c r="V186"/>
  <c r="U186"/>
  <c r="T186"/>
  <c r="S186"/>
  <c r="R186"/>
  <c r="Q186"/>
  <c r="P186"/>
  <c r="N186"/>
  <c r="M186"/>
  <c r="L186"/>
  <c r="K186"/>
  <c r="J186"/>
  <c r="I186"/>
  <c r="H186"/>
  <c r="G186"/>
  <c r="F186"/>
  <c r="Y185"/>
  <c r="Y184"/>
  <c r="K183"/>
  <c r="J183"/>
  <c r="Y182"/>
  <c r="X181"/>
  <c r="X180" s="1"/>
  <c r="X179" s="1"/>
  <c r="K181"/>
  <c r="K180" s="1"/>
  <c r="K179" s="1"/>
  <c r="W180"/>
  <c r="W179" s="1"/>
  <c r="W178" s="1"/>
  <c r="V180"/>
  <c r="U180"/>
  <c r="T180"/>
  <c r="S180"/>
  <c r="R180"/>
  <c r="Q180"/>
  <c r="P180"/>
  <c r="O180"/>
  <c r="N180"/>
  <c r="M180"/>
  <c r="L180"/>
  <c r="J180"/>
  <c r="J179" s="1"/>
  <c r="J178" s="1"/>
  <c r="I180"/>
  <c r="H180"/>
  <c r="G180"/>
  <c r="F180"/>
  <c r="F179" s="1"/>
  <c r="F178" s="1"/>
  <c r="T179"/>
  <c r="S179"/>
  <c r="S178" s="1"/>
  <c r="P179"/>
  <c r="N179"/>
  <c r="N178" s="1"/>
  <c r="L179"/>
  <c r="H179"/>
  <c r="G179"/>
  <c r="T178"/>
  <c r="G178"/>
  <c r="Y177"/>
  <c r="Y176"/>
  <c r="Y175"/>
  <c r="Y174"/>
  <c r="Y173"/>
  <c r="Y172"/>
  <c r="Y171"/>
  <c r="Y170"/>
  <c r="Y169"/>
  <c r="Y168"/>
  <c r="X167"/>
  <c r="W167"/>
  <c r="V167"/>
  <c r="U167"/>
  <c r="T167"/>
  <c r="S167"/>
  <c r="R167"/>
  <c r="Q167"/>
  <c r="P167"/>
  <c r="O167"/>
  <c r="N167"/>
  <c r="M167"/>
  <c r="L167"/>
  <c r="K167"/>
  <c r="J167"/>
  <c r="I167"/>
  <c r="H167"/>
  <c r="G167"/>
  <c r="F167"/>
  <c r="O166"/>
  <c r="O81" s="1"/>
  <c r="N166"/>
  <c r="M166"/>
  <c r="L166"/>
  <c r="L81" s="1"/>
  <c r="J166"/>
  <c r="Y165"/>
  <c r="Y164"/>
  <c r="Y163"/>
  <c r="Y162"/>
  <c r="Y161"/>
  <c r="U160"/>
  <c r="Y160" s="1"/>
  <c r="Y159"/>
  <c r="Y158"/>
  <c r="Y157"/>
  <c r="Q156"/>
  <c r="Y156" s="1"/>
  <c r="Y155"/>
  <c r="Y154"/>
  <c r="Y153"/>
  <c r="Y152"/>
  <c r="Y151"/>
  <c r="Y150"/>
  <c r="Y149"/>
  <c r="Y148"/>
  <c r="Y147"/>
  <c r="Y146"/>
  <c r="Y145"/>
  <c r="Y144"/>
  <c r="Y143"/>
  <c r="Y142"/>
  <c r="X141"/>
  <c r="W141"/>
  <c r="V141"/>
  <c r="U141"/>
  <c r="T141"/>
  <c r="S141"/>
  <c r="R141"/>
  <c r="P141"/>
  <c r="N141"/>
  <c r="M141"/>
  <c r="L141"/>
  <c r="K141"/>
  <c r="I141"/>
  <c r="H141"/>
  <c r="G141"/>
  <c r="F141"/>
  <c r="Y140"/>
  <c r="Y139"/>
  <c r="Y138"/>
  <c r="Y137"/>
  <c r="Y136"/>
  <c r="Y135"/>
  <c r="X134"/>
  <c r="W134"/>
  <c r="V134"/>
  <c r="U134"/>
  <c r="T134"/>
  <c r="S134"/>
  <c r="R134"/>
  <c r="Q134"/>
  <c r="P134"/>
  <c r="O134"/>
  <c r="N134"/>
  <c r="M134"/>
  <c r="L134"/>
  <c r="K134"/>
  <c r="J134"/>
  <c r="I134"/>
  <c r="H134"/>
  <c r="G134"/>
  <c r="F134"/>
  <c r="Y133"/>
  <c r="R132"/>
  <c r="Y132" s="1"/>
  <c r="X131"/>
  <c r="W131"/>
  <c r="V131"/>
  <c r="U131"/>
  <c r="T131"/>
  <c r="S131"/>
  <c r="R131"/>
  <c r="Q131"/>
  <c r="P131"/>
  <c r="O131"/>
  <c r="N131"/>
  <c r="M131"/>
  <c r="L131"/>
  <c r="K131"/>
  <c r="J131"/>
  <c r="I131"/>
  <c r="H131"/>
  <c r="G131"/>
  <c r="F131"/>
  <c r="Y130"/>
  <c r="Y129"/>
  <c r="Y128"/>
  <c r="Y127"/>
  <c r="X126"/>
  <c r="W126"/>
  <c r="V126"/>
  <c r="U126"/>
  <c r="T126"/>
  <c r="S126"/>
  <c r="R126"/>
  <c r="Q126"/>
  <c r="P126"/>
  <c r="O126"/>
  <c r="N126"/>
  <c r="M126"/>
  <c r="L126"/>
  <c r="K126"/>
  <c r="J126"/>
  <c r="I126"/>
  <c r="H126"/>
  <c r="G126"/>
  <c r="F126"/>
  <c r="Y125"/>
  <c r="Y124"/>
  <c r="Y123"/>
  <c r="Y122"/>
  <c r="X121"/>
  <c r="W121"/>
  <c r="V121"/>
  <c r="U121"/>
  <c r="T121"/>
  <c r="S121"/>
  <c r="R121"/>
  <c r="Q121"/>
  <c r="P121"/>
  <c r="O121"/>
  <c r="N121"/>
  <c r="M121"/>
  <c r="L121"/>
  <c r="K121"/>
  <c r="J121"/>
  <c r="I121"/>
  <c r="H121"/>
  <c r="G121"/>
  <c r="F121"/>
  <c r="Y120"/>
  <c r="Y119"/>
  <c r="Y118"/>
  <c r="Y117"/>
  <c r="K116"/>
  <c r="J116"/>
  <c r="Y115"/>
  <c r="X114"/>
  <c r="X113" s="1"/>
  <c r="X112" s="1"/>
  <c r="W113"/>
  <c r="W112" s="1"/>
  <c r="W111" s="1"/>
  <c r="V113"/>
  <c r="U113"/>
  <c r="T113"/>
  <c r="S113"/>
  <c r="S112" s="1"/>
  <c r="S111" s="1"/>
  <c r="R113"/>
  <c r="Q113"/>
  <c r="P113"/>
  <c r="O113"/>
  <c r="O112" s="1"/>
  <c r="N113"/>
  <c r="M113"/>
  <c r="L113"/>
  <c r="K113"/>
  <c r="K112" s="1"/>
  <c r="K111" s="1"/>
  <c r="J113"/>
  <c r="I113"/>
  <c r="H113"/>
  <c r="H112" s="1"/>
  <c r="G113"/>
  <c r="G112" s="1"/>
  <c r="G111" s="1"/>
  <c r="F113"/>
  <c r="T112"/>
  <c r="P112"/>
  <c r="L112"/>
  <c r="Y107"/>
  <c r="Y106"/>
  <c r="Y105"/>
  <c r="Y104"/>
  <c r="X103"/>
  <c r="W103"/>
  <c r="V103"/>
  <c r="U103"/>
  <c r="T103"/>
  <c r="S103"/>
  <c r="R103"/>
  <c r="Q103"/>
  <c r="P103"/>
  <c r="O103"/>
  <c r="N103"/>
  <c r="M103"/>
  <c r="L103"/>
  <c r="K103"/>
  <c r="J103"/>
  <c r="I103"/>
  <c r="H103"/>
  <c r="G103"/>
  <c r="F103"/>
  <c r="X101"/>
  <c r="W101"/>
  <c r="W100" s="1"/>
  <c r="V101"/>
  <c r="U101"/>
  <c r="U100" s="1"/>
  <c r="T101"/>
  <c r="S101"/>
  <c r="S100" s="1"/>
  <c r="R101"/>
  <c r="Q101"/>
  <c r="Q100" s="1"/>
  <c r="P101"/>
  <c r="O101"/>
  <c r="O100" s="1"/>
  <c r="N101"/>
  <c r="M101"/>
  <c r="M100" s="1"/>
  <c r="L101"/>
  <c r="K101"/>
  <c r="K100" s="1"/>
  <c r="J101"/>
  <c r="I101"/>
  <c r="I100" s="1"/>
  <c r="H101"/>
  <c r="G101"/>
  <c r="G100" s="1"/>
  <c r="F101"/>
  <c r="X100"/>
  <c r="V100"/>
  <c r="T100"/>
  <c r="R100"/>
  <c r="P100"/>
  <c r="N100"/>
  <c r="L100"/>
  <c r="J100"/>
  <c r="H100"/>
  <c r="F100"/>
  <c r="X99"/>
  <c r="W99"/>
  <c r="V99"/>
  <c r="U99"/>
  <c r="T99"/>
  <c r="S99"/>
  <c r="R99"/>
  <c r="Q99"/>
  <c r="P99"/>
  <c r="O99"/>
  <c r="N99"/>
  <c r="M99"/>
  <c r="L99"/>
  <c r="K99"/>
  <c r="J99"/>
  <c r="I99"/>
  <c r="H99"/>
  <c r="G99"/>
  <c r="F99"/>
  <c r="X98"/>
  <c r="W98"/>
  <c r="V98"/>
  <c r="U98"/>
  <c r="T98"/>
  <c r="S98"/>
  <c r="R98"/>
  <c r="Q98"/>
  <c r="P98"/>
  <c r="O98"/>
  <c r="N98"/>
  <c r="M98"/>
  <c r="L98"/>
  <c r="K98"/>
  <c r="J98"/>
  <c r="I98"/>
  <c r="H98"/>
  <c r="G98"/>
  <c r="F98"/>
  <c r="X97"/>
  <c r="W97"/>
  <c r="W96" s="1"/>
  <c r="V97"/>
  <c r="U97"/>
  <c r="T97"/>
  <c r="S97"/>
  <c r="S96" s="1"/>
  <c r="R97"/>
  <c r="Q97"/>
  <c r="P97"/>
  <c r="O97"/>
  <c r="O96" s="1"/>
  <c r="N97"/>
  <c r="M97"/>
  <c r="L97"/>
  <c r="K97"/>
  <c r="K96" s="1"/>
  <c r="J97"/>
  <c r="I97"/>
  <c r="H97"/>
  <c r="G97"/>
  <c r="G96" s="1"/>
  <c r="F97"/>
  <c r="F96" s="1"/>
  <c r="V96"/>
  <c r="R96"/>
  <c r="N96"/>
  <c r="J96"/>
  <c r="X95"/>
  <c r="W95"/>
  <c r="V95"/>
  <c r="U95"/>
  <c r="T95"/>
  <c r="S95"/>
  <c r="R95"/>
  <c r="Q95"/>
  <c r="P95"/>
  <c r="O95"/>
  <c r="N95"/>
  <c r="M95"/>
  <c r="L95"/>
  <c r="K95"/>
  <c r="J95"/>
  <c r="I95"/>
  <c r="H95"/>
  <c r="G95"/>
  <c r="F95"/>
  <c r="X94"/>
  <c r="W94"/>
  <c r="V94"/>
  <c r="U94"/>
  <c r="T94"/>
  <c r="S94"/>
  <c r="R94"/>
  <c r="Q94"/>
  <c r="P94"/>
  <c r="O94"/>
  <c r="N94"/>
  <c r="M94"/>
  <c r="L94"/>
  <c r="K94"/>
  <c r="J94"/>
  <c r="I94"/>
  <c r="H94"/>
  <c r="G94"/>
  <c r="F94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X91"/>
  <c r="W91"/>
  <c r="V91"/>
  <c r="U91"/>
  <c r="T91"/>
  <c r="S91"/>
  <c r="R91"/>
  <c r="Q91"/>
  <c r="P91"/>
  <c r="O91"/>
  <c r="N91"/>
  <c r="M91"/>
  <c r="L91"/>
  <c r="K91"/>
  <c r="J91"/>
  <c r="I91"/>
  <c r="Y91" s="1"/>
  <c r="H91"/>
  <c r="G91"/>
  <c r="F91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X89"/>
  <c r="W89"/>
  <c r="V89"/>
  <c r="U89"/>
  <c r="T89"/>
  <c r="S89"/>
  <c r="R89"/>
  <c r="Q89"/>
  <c r="P89"/>
  <c r="O89"/>
  <c r="N89"/>
  <c r="M89"/>
  <c r="L89"/>
  <c r="K89"/>
  <c r="J89"/>
  <c r="I89"/>
  <c r="H89"/>
  <c r="G89"/>
  <c r="F89"/>
  <c r="X88"/>
  <c r="W88"/>
  <c r="V88"/>
  <c r="U88"/>
  <c r="T88"/>
  <c r="S88"/>
  <c r="R88"/>
  <c r="Q88"/>
  <c r="P88"/>
  <c r="O88"/>
  <c r="N88"/>
  <c r="M88"/>
  <c r="L88"/>
  <c r="K88"/>
  <c r="J88"/>
  <c r="I88"/>
  <c r="H88"/>
  <c r="G88"/>
  <c r="F88"/>
  <c r="X87"/>
  <c r="W87"/>
  <c r="V87"/>
  <c r="U87"/>
  <c r="T87"/>
  <c r="S87"/>
  <c r="R87"/>
  <c r="Q87"/>
  <c r="P87"/>
  <c r="O87"/>
  <c r="N87"/>
  <c r="M87"/>
  <c r="L87"/>
  <c r="K87"/>
  <c r="J87"/>
  <c r="I87"/>
  <c r="Y87" s="1"/>
  <c r="H87"/>
  <c r="G87"/>
  <c r="F87"/>
  <c r="X86"/>
  <c r="W86"/>
  <c r="V86"/>
  <c r="U86"/>
  <c r="T86"/>
  <c r="T82" s="1"/>
  <c r="S86"/>
  <c r="R86"/>
  <c r="Q86"/>
  <c r="P86"/>
  <c r="P82" s="1"/>
  <c r="O86"/>
  <c r="N86"/>
  <c r="M86"/>
  <c r="L86"/>
  <c r="L82" s="1"/>
  <c r="K86"/>
  <c r="J86"/>
  <c r="I86"/>
  <c r="H86"/>
  <c r="G86"/>
  <c r="F86"/>
  <c r="X85"/>
  <c r="W85"/>
  <c r="V85"/>
  <c r="U85"/>
  <c r="T85"/>
  <c r="S85"/>
  <c r="R85"/>
  <c r="Q85"/>
  <c r="P85"/>
  <c r="O85"/>
  <c r="N85"/>
  <c r="M85"/>
  <c r="L85"/>
  <c r="K85"/>
  <c r="J85"/>
  <c r="I85"/>
  <c r="H85"/>
  <c r="G85"/>
  <c r="F85"/>
  <c r="X84"/>
  <c r="W84"/>
  <c r="V84"/>
  <c r="V82" s="1"/>
  <c r="U84"/>
  <c r="T84"/>
  <c r="S84"/>
  <c r="R84"/>
  <c r="R82" s="1"/>
  <c r="Q84"/>
  <c r="P84"/>
  <c r="O84"/>
  <c r="N84"/>
  <c r="N82" s="1"/>
  <c r="M84"/>
  <c r="L84"/>
  <c r="K84"/>
  <c r="J84"/>
  <c r="J82" s="1"/>
  <c r="I84"/>
  <c r="H84"/>
  <c r="G84"/>
  <c r="F84"/>
  <c r="F82" s="1"/>
  <c r="X83"/>
  <c r="W83"/>
  <c r="V83"/>
  <c r="U83"/>
  <c r="U82" s="1"/>
  <c r="T83"/>
  <c r="S83"/>
  <c r="R83"/>
  <c r="Q83"/>
  <c r="Q82" s="1"/>
  <c r="P83"/>
  <c r="O83"/>
  <c r="N83"/>
  <c r="M83"/>
  <c r="M82" s="1"/>
  <c r="L83"/>
  <c r="K83"/>
  <c r="J83"/>
  <c r="I83"/>
  <c r="Y83" s="1"/>
  <c r="H83"/>
  <c r="G83"/>
  <c r="F83"/>
  <c r="X82"/>
  <c r="H82"/>
  <c r="X81"/>
  <c r="W81"/>
  <c r="V81"/>
  <c r="U81"/>
  <c r="T81"/>
  <c r="S81"/>
  <c r="R81"/>
  <c r="Q81"/>
  <c r="P81"/>
  <c r="N81"/>
  <c r="M81"/>
  <c r="K81"/>
  <c r="I81"/>
  <c r="H81"/>
  <c r="G81"/>
  <c r="F81"/>
  <c r="X80"/>
  <c r="W80"/>
  <c r="V80"/>
  <c r="U80"/>
  <c r="T80"/>
  <c r="S80"/>
  <c r="R80"/>
  <c r="Q80"/>
  <c r="P80"/>
  <c r="O80"/>
  <c r="N80"/>
  <c r="M80"/>
  <c r="L80"/>
  <c r="K80"/>
  <c r="J80"/>
  <c r="I80"/>
  <c r="H80"/>
  <c r="G80"/>
  <c r="F80"/>
  <c r="X79"/>
  <c r="W79"/>
  <c r="V79"/>
  <c r="U79"/>
  <c r="T79"/>
  <c r="S79"/>
  <c r="R79"/>
  <c r="Q79"/>
  <c r="P79"/>
  <c r="O79"/>
  <c r="N79"/>
  <c r="M79"/>
  <c r="L79"/>
  <c r="K79"/>
  <c r="J79"/>
  <c r="I79"/>
  <c r="H79"/>
  <c r="G79"/>
  <c r="F79"/>
  <c r="X78"/>
  <c r="W78"/>
  <c r="V78"/>
  <c r="U78"/>
  <c r="T78"/>
  <c r="S78"/>
  <c r="R78"/>
  <c r="Q78"/>
  <c r="P78"/>
  <c r="O78"/>
  <c r="N78"/>
  <c r="M78"/>
  <c r="L78"/>
  <c r="K78"/>
  <c r="J78"/>
  <c r="I78"/>
  <c r="H78"/>
  <c r="G78"/>
  <c r="F78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F72"/>
  <c r="X71"/>
  <c r="W71"/>
  <c r="V71"/>
  <c r="U71"/>
  <c r="T71"/>
  <c r="S71"/>
  <c r="R71"/>
  <c r="Q71"/>
  <c r="P71"/>
  <c r="O71"/>
  <c r="N71"/>
  <c r="M71"/>
  <c r="L71"/>
  <c r="K71"/>
  <c r="J71"/>
  <c r="I71"/>
  <c r="H71"/>
  <c r="G71"/>
  <c r="F71"/>
  <c r="X70"/>
  <c r="W70"/>
  <c r="V70"/>
  <c r="U70"/>
  <c r="T70"/>
  <c r="S70"/>
  <c r="R70"/>
  <c r="Q70"/>
  <c r="P70"/>
  <c r="O70"/>
  <c r="N70"/>
  <c r="M70"/>
  <c r="L70"/>
  <c r="K70"/>
  <c r="J70"/>
  <c r="I70"/>
  <c r="H70"/>
  <c r="G70"/>
  <c r="F70"/>
  <c r="X69"/>
  <c r="W69"/>
  <c r="V69"/>
  <c r="U69"/>
  <c r="T69"/>
  <c r="S69"/>
  <c r="R69"/>
  <c r="Q69"/>
  <c r="P69"/>
  <c r="O69"/>
  <c r="N69"/>
  <c r="M69"/>
  <c r="L69"/>
  <c r="K69"/>
  <c r="J69"/>
  <c r="I69"/>
  <c r="H69"/>
  <c r="G69"/>
  <c r="F69"/>
  <c r="X68"/>
  <c r="W68"/>
  <c r="V68"/>
  <c r="U68"/>
  <c r="T68"/>
  <c r="S68"/>
  <c r="R68"/>
  <c r="Q68"/>
  <c r="P68"/>
  <c r="O68"/>
  <c r="N68"/>
  <c r="M68"/>
  <c r="L68"/>
  <c r="K68"/>
  <c r="J68"/>
  <c r="I68"/>
  <c r="H68"/>
  <c r="G68"/>
  <c r="F68"/>
  <c r="X67"/>
  <c r="W67"/>
  <c r="V67"/>
  <c r="U67"/>
  <c r="T67"/>
  <c r="S67"/>
  <c r="R67"/>
  <c r="Q67"/>
  <c r="P67"/>
  <c r="O67"/>
  <c r="N67"/>
  <c r="M67"/>
  <c r="L67"/>
  <c r="K67"/>
  <c r="J67"/>
  <c r="I67"/>
  <c r="H67"/>
  <c r="G67"/>
  <c r="F67"/>
  <c r="X66"/>
  <c r="W66"/>
  <c r="V66"/>
  <c r="U66"/>
  <c r="T66"/>
  <c r="S66"/>
  <c r="R66"/>
  <c r="Q66"/>
  <c r="P66"/>
  <c r="O66"/>
  <c r="N66"/>
  <c r="M66"/>
  <c r="L66"/>
  <c r="K66"/>
  <c r="J66"/>
  <c r="I66"/>
  <c r="H66"/>
  <c r="G66"/>
  <c r="F66"/>
  <c r="X65"/>
  <c r="W65"/>
  <c r="V65"/>
  <c r="U65"/>
  <c r="T65"/>
  <c r="S65"/>
  <c r="R65"/>
  <c r="Q65"/>
  <c r="P65"/>
  <c r="O65"/>
  <c r="N65"/>
  <c r="M65"/>
  <c r="L65"/>
  <c r="K65"/>
  <c r="J65"/>
  <c r="I65"/>
  <c r="H65"/>
  <c r="G65"/>
  <c r="F65"/>
  <c r="X64"/>
  <c r="W64"/>
  <c r="V64"/>
  <c r="U64"/>
  <c r="T64"/>
  <c r="S64"/>
  <c r="R64"/>
  <c r="Q64"/>
  <c r="P64"/>
  <c r="O64"/>
  <c r="N64"/>
  <c r="M64"/>
  <c r="L64"/>
  <c r="K64"/>
  <c r="J64"/>
  <c r="I64"/>
  <c r="H64"/>
  <c r="G64"/>
  <c r="F64"/>
  <c r="X63"/>
  <c r="W63"/>
  <c r="V63"/>
  <c r="U63"/>
  <c r="T63"/>
  <c r="S63"/>
  <c r="R63"/>
  <c r="Q63"/>
  <c r="P63"/>
  <c r="O63"/>
  <c r="N63"/>
  <c r="M63"/>
  <c r="L63"/>
  <c r="K63"/>
  <c r="J63"/>
  <c r="I63"/>
  <c r="H63"/>
  <c r="G63"/>
  <c r="F63"/>
  <c r="X62"/>
  <c r="W62"/>
  <c r="V62"/>
  <c r="U62"/>
  <c r="T62"/>
  <c r="S62"/>
  <c r="R62"/>
  <c r="Q62"/>
  <c r="P62"/>
  <c r="O62"/>
  <c r="N62"/>
  <c r="M62"/>
  <c r="L62"/>
  <c r="K62"/>
  <c r="J62"/>
  <c r="I62"/>
  <c r="H62"/>
  <c r="G62"/>
  <c r="F62"/>
  <c r="X61"/>
  <c r="W61"/>
  <c r="V61"/>
  <c r="U61"/>
  <c r="T61"/>
  <c r="S61"/>
  <c r="R61"/>
  <c r="Q61"/>
  <c r="P61"/>
  <c r="O61"/>
  <c r="N61"/>
  <c r="M61"/>
  <c r="L61"/>
  <c r="K61"/>
  <c r="J61"/>
  <c r="I61"/>
  <c r="H61"/>
  <c r="G61"/>
  <c r="F61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X58"/>
  <c r="W58"/>
  <c r="W56" s="1"/>
  <c r="V58"/>
  <c r="U58"/>
  <c r="T58"/>
  <c r="S58"/>
  <c r="S56" s="1"/>
  <c r="R58"/>
  <c r="Q58"/>
  <c r="P58"/>
  <c r="O58"/>
  <c r="N58"/>
  <c r="M58"/>
  <c r="L58"/>
  <c r="K58"/>
  <c r="J58"/>
  <c r="I58"/>
  <c r="H58"/>
  <c r="G58"/>
  <c r="F58"/>
  <c r="X57"/>
  <c r="W57"/>
  <c r="V57"/>
  <c r="U57"/>
  <c r="T57"/>
  <c r="S57"/>
  <c r="R57"/>
  <c r="Q57"/>
  <c r="P57"/>
  <c r="O57"/>
  <c r="N57"/>
  <c r="N56" s="1"/>
  <c r="M57"/>
  <c r="L57"/>
  <c r="K57"/>
  <c r="J57"/>
  <c r="I57"/>
  <c r="H57"/>
  <c r="G57"/>
  <c r="F57"/>
  <c r="H56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X54"/>
  <c r="W54"/>
  <c r="V54"/>
  <c r="U54"/>
  <c r="T54"/>
  <c r="S54"/>
  <c r="R54"/>
  <c r="Q54"/>
  <c r="P54"/>
  <c r="O54"/>
  <c r="N54"/>
  <c r="M54"/>
  <c r="L54"/>
  <c r="K54"/>
  <c r="J54"/>
  <c r="I54"/>
  <c r="H54"/>
  <c r="G54"/>
  <c r="F54"/>
  <c r="X53"/>
  <c r="W53"/>
  <c r="V53"/>
  <c r="U53"/>
  <c r="T53"/>
  <c r="S53"/>
  <c r="R53"/>
  <c r="Q53"/>
  <c r="P53"/>
  <c r="O53"/>
  <c r="N53"/>
  <c r="M53"/>
  <c r="L53"/>
  <c r="K53"/>
  <c r="J53"/>
  <c r="I53"/>
  <c r="H53"/>
  <c r="G53"/>
  <c r="F53"/>
  <c r="X52"/>
  <c r="W52"/>
  <c r="V52"/>
  <c r="U52"/>
  <c r="T52"/>
  <c r="S52"/>
  <c r="R52"/>
  <c r="Q52"/>
  <c r="P52"/>
  <c r="O52"/>
  <c r="N52"/>
  <c r="M52"/>
  <c r="L52"/>
  <c r="K52"/>
  <c r="J52"/>
  <c r="I52"/>
  <c r="H52"/>
  <c r="G52"/>
  <c r="F52"/>
  <c r="X51"/>
  <c r="W51"/>
  <c r="V51"/>
  <c r="U51"/>
  <c r="T51"/>
  <c r="S51"/>
  <c r="R51"/>
  <c r="Q51"/>
  <c r="P51"/>
  <c r="O51"/>
  <c r="N51"/>
  <c r="M51"/>
  <c r="L51"/>
  <c r="K51"/>
  <c r="J51"/>
  <c r="I51"/>
  <c r="H51"/>
  <c r="G51"/>
  <c r="F51"/>
  <c r="X50"/>
  <c r="X48" s="1"/>
  <c r="W50"/>
  <c r="V50"/>
  <c r="U50"/>
  <c r="T50"/>
  <c r="T48" s="1"/>
  <c r="S50"/>
  <c r="R50"/>
  <c r="Q50"/>
  <c r="P50"/>
  <c r="O50"/>
  <c r="N50"/>
  <c r="M50"/>
  <c r="L50"/>
  <c r="L48" s="1"/>
  <c r="K50"/>
  <c r="J50"/>
  <c r="I50"/>
  <c r="H50"/>
  <c r="H48" s="1"/>
  <c r="G50"/>
  <c r="F50"/>
  <c r="X49"/>
  <c r="W49"/>
  <c r="V49"/>
  <c r="U49"/>
  <c r="T49"/>
  <c r="S49"/>
  <c r="R49"/>
  <c r="Q49"/>
  <c r="P49"/>
  <c r="O49"/>
  <c r="N49"/>
  <c r="M49"/>
  <c r="L49"/>
  <c r="K49"/>
  <c r="J49"/>
  <c r="I49"/>
  <c r="H49"/>
  <c r="G49"/>
  <c r="F49"/>
  <c r="P48"/>
  <c r="X47"/>
  <c r="W47"/>
  <c r="W45" s="1"/>
  <c r="V47"/>
  <c r="U47"/>
  <c r="T47"/>
  <c r="S47"/>
  <c r="S45" s="1"/>
  <c r="R47"/>
  <c r="Q47"/>
  <c r="P47"/>
  <c r="O47"/>
  <c r="O45" s="1"/>
  <c r="N47"/>
  <c r="M47"/>
  <c r="L47"/>
  <c r="K47"/>
  <c r="K45" s="1"/>
  <c r="J47"/>
  <c r="I47"/>
  <c r="H47"/>
  <c r="G47"/>
  <c r="G45" s="1"/>
  <c r="F47"/>
  <c r="X46"/>
  <c r="X45" s="1"/>
  <c r="W46"/>
  <c r="V46"/>
  <c r="V45" s="1"/>
  <c r="U46"/>
  <c r="T46"/>
  <c r="T45" s="1"/>
  <c r="S46"/>
  <c r="R46"/>
  <c r="R45" s="1"/>
  <c r="Q46"/>
  <c r="P46"/>
  <c r="P45" s="1"/>
  <c r="O46"/>
  <c r="N46"/>
  <c r="N45" s="1"/>
  <c r="M46"/>
  <c r="L46"/>
  <c r="L45" s="1"/>
  <c r="K46"/>
  <c r="J46"/>
  <c r="J45" s="1"/>
  <c r="I46"/>
  <c r="H46"/>
  <c r="H45" s="1"/>
  <c r="G46"/>
  <c r="F46"/>
  <c r="F45" s="1"/>
  <c r="U45"/>
  <c r="Q45"/>
  <c r="M45"/>
  <c r="I45"/>
  <c r="X44"/>
  <c r="W44"/>
  <c r="V44"/>
  <c r="U44"/>
  <c r="T44"/>
  <c r="S44"/>
  <c r="R44"/>
  <c r="Q44"/>
  <c r="P44"/>
  <c r="O44"/>
  <c r="N44"/>
  <c r="M44"/>
  <c r="L44"/>
  <c r="K44"/>
  <c r="J44"/>
  <c r="I44"/>
  <c r="H44"/>
  <c r="G44"/>
  <c r="F44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F43"/>
  <c r="X42"/>
  <c r="X40" s="1"/>
  <c r="W42"/>
  <c r="V42"/>
  <c r="U42"/>
  <c r="T42"/>
  <c r="T40" s="1"/>
  <c r="S42"/>
  <c r="R42"/>
  <c r="Q42"/>
  <c r="P42"/>
  <c r="O42"/>
  <c r="N42"/>
  <c r="M42"/>
  <c r="L42"/>
  <c r="L40" s="1"/>
  <c r="K42"/>
  <c r="J42"/>
  <c r="I42"/>
  <c r="H42"/>
  <c r="H40" s="1"/>
  <c r="G42"/>
  <c r="F42"/>
  <c r="X41"/>
  <c r="W41"/>
  <c r="V41"/>
  <c r="U41"/>
  <c r="T41"/>
  <c r="S41"/>
  <c r="R41"/>
  <c r="Q41"/>
  <c r="P41"/>
  <c r="O41"/>
  <c r="N41"/>
  <c r="M41"/>
  <c r="L41"/>
  <c r="K41"/>
  <c r="J41"/>
  <c r="I41"/>
  <c r="H41"/>
  <c r="G41"/>
  <c r="F41"/>
  <c r="P40"/>
  <c r="X39"/>
  <c r="W39"/>
  <c r="V39"/>
  <c r="U39"/>
  <c r="T39"/>
  <c r="S39"/>
  <c r="R39"/>
  <c r="Q39"/>
  <c r="P39"/>
  <c r="O39"/>
  <c r="N39"/>
  <c r="M39"/>
  <c r="L39"/>
  <c r="K39"/>
  <c r="K35" s="1"/>
  <c r="J39"/>
  <c r="I39"/>
  <c r="H39"/>
  <c r="G39"/>
  <c r="F39"/>
  <c r="X38"/>
  <c r="W38"/>
  <c r="V38"/>
  <c r="V35" s="1"/>
  <c r="U38"/>
  <c r="T38"/>
  <c r="S38"/>
  <c r="R38"/>
  <c r="R35" s="1"/>
  <c r="Q38"/>
  <c r="P38"/>
  <c r="O38"/>
  <c r="N38"/>
  <c r="N35" s="1"/>
  <c r="M38"/>
  <c r="L38"/>
  <c r="K38"/>
  <c r="J38"/>
  <c r="J35" s="1"/>
  <c r="I38"/>
  <c r="H38"/>
  <c r="G38"/>
  <c r="F38"/>
  <c r="F35" s="1"/>
  <c r="X37"/>
  <c r="W37"/>
  <c r="W35" s="1"/>
  <c r="V37"/>
  <c r="U37"/>
  <c r="U35" s="1"/>
  <c r="T37"/>
  <c r="S37"/>
  <c r="R37"/>
  <c r="Q37"/>
  <c r="Q35" s="1"/>
  <c r="P37"/>
  <c r="O37"/>
  <c r="O35" s="1"/>
  <c r="N37"/>
  <c r="M37"/>
  <c r="M35" s="1"/>
  <c r="L37"/>
  <c r="K37"/>
  <c r="J37"/>
  <c r="I37"/>
  <c r="Y37" s="1"/>
  <c r="H37"/>
  <c r="G37"/>
  <c r="G35" s="1"/>
  <c r="F37"/>
  <c r="X36"/>
  <c r="X35" s="1"/>
  <c r="W36"/>
  <c r="V36"/>
  <c r="U36"/>
  <c r="T36"/>
  <c r="T35" s="1"/>
  <c r="S36"/>
  <c r="R36"/>
  <c r="Q36"/>
  <c r="P36"/>
  <c r="P35" s="1"/>
  <c r="O36"/>
  <c r="N36"/>
  <c r="M36"/>
  <c r="L36"/>
  <c r="L35" s="1"/>
  <c r="K36"/>
  <c r="J36"/>
  <c r="I36"/>
  <c r="H36"/>
  <c r="H35" s="1"/>
  <c r="G36"/>
  <c r="F36"/>
  <c r="S35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X30"/>
  <c r="W30"/>
  <c r="V30"/>
  <c r="U30"/>
  <c r="T30"/>
  <c r="S30"/>
  <c r="R30"/>
  <c r="Q30"/>
  <c r="P30"/>
  <c r="O30"/>
  <c r="N30"/>
  <c r="M30"/>
  <c r="L30"/>
  <c r="K30"/>
  <c r="I30"/>
  <c r="H30"/>
  <c r="G30"/>
  <c r="G27" s="1"/>
  <c r="F30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X28"/>
  <c r="W28"/>
  <c r="V28"/>
  <c r="U28"/>
  <c r="U27" s="1"/>
  <c r="T28"/>
  <c r="S28"/>
  <c r="R28"/>
  <c r="Q28"/>
  <c r="P28"/>
  <c r="O28"/>
  <c r="N28"/>
  <c r="M28"/>
  <c r="M27" s="1"/>
  <c r="L28"/>
  <c r="J28"/>
  <c r="I28"/>
  <c r="H28"/>
  <c r="H27" s="1"/>
  <c r="G28"/>
  <c r="F28"/>
  <c r="Q27"/>
  <c r="Y24"/>
  <c r="U23"/>
  <c r="P23"/>
  <c r="N23"/>
  <c r="K23"/>
  <c r="H23"/>
  <c r="H10" s="1"/>
  <c r="H6" s="1"/>
  <c r="Y22"/>
  <c r="Y21"/>
  <c r="Y20"/>
  <c r="Y19"/>
  <c r="Y18"/>
  <c r="N10"/>
  <c r="N6" s="1"/>
  <c r="Y17"/>
  <c r="Y16"/>
  <c r="Y15"/>
  <c r="Y14"/>
  <c r="Y13"/>
  <c r="X12"/>
  <c r="X10" s="1"/>
  <c r="X6" s="1"/>
  <c r="W12"/>
  <c r="W10" s="1"/>
  <c r="W6" s="1"/>
  <c r="V12"/>
  <c r="V10" s="1"/>
  <c r="V6" s="1"/>
  <c r="U12"/>
  <c r="S12"/>
  <c r="S10" s="1"/>
  <c r="S6" s="1"/>
  <c r="R12"/>
  <c r="R10" s="1"/>
  <c r="R6" s="1"/>
  <c r="Q12"/>
  <c r="Q10" s="1"/>
  <c r="Q6" s="1"/>
  <c r="P12"/>
  <c r="N12"/>
  <c r="M12"/>
  <c r="M10" s="1"/>
  <c r="M6" s="1"/>
  <c r="L12"/>
  <c r="L10" s="1"/>
  <c r="L6" s="1"/>
  <c r="J12"/>
  <c r="J10" s="1"/>
  <c r="J6" s="1"/>
  <c r="I12"/>
  <c r="H12"/>
  <c r="G12"/>
  <c r="Y11"/>
  <c r="I10"/>
  <c r="I6" s="1"/>
  <c r="F10"/>
  <c r="Y9"/>
  <c r="Y8"/>
  <c r="T6"/>
  <c r="O6"/>
  <c r="F6"/>
  <c r="G5"/>
  <c r="Y5" s="1"/>
  <c r="Y4"/>
  <c r="Y3"/>
  <c r="X3"/>
  <c r="W3"/>
  <c r="V3"/>
  <c r="U3"/>
  <c r="T3"/>
  <c r="S3"/>
  <c r="R3"/>
  <c r="Q3"/>
  <c r="P3"/>
  <c r="O3"/>
  <c r="N3"/>
  <c r="M3"/>
  <c r="L3"/>
  <c r="K3"/>
  <c r="J3"/>
  <c r="I3"/>
  <c r="H3"/>
  <c r="G3"/>
  <c r="U10" l="1"/>
  <c r="U6" s="1"/>
  <c r="Y116"/>
  <c r="Y121"/>
  <c r="R179"/>
  <c r="R178" s="1"/>
  <c r="V179"/>
  <c r="V178" s="1"/>
  <c r="H178"/>
  <c r="L178"/>
  <c r="P178"/>
  <c r="Y12"/>
  <c r="F27"/>
  <c r="O27"/>
  <c r="S27"/>
  <c r="W27"/>
  <c r="L27"/>
  <c r="L26" s="1"/>
  <c r="P27"/>
  <c r="P26" s="1"/>
  <c r="T27"/>
  <c r="T26" s="1"/>
  <c r="X27"/>
  <c r="X26" s="1"/>
  <c r="Y33"/>
  <c r="Y41"/>
  <c r="M40"/>
  <c r="Q40"/>
  <c r="U40"/>
  <c r="F40"/>
  <c r="J40"/>
  <c r="N40"/>
  <c r="R40"/>
  <c r="V40"/>
  <c r="G40"/>
  <c r="G26" s="1"/>
  <c r="G25" s="1"/>
  <c r="K40"/>
  <c r="O40"/>
  <c r="S40"/>
  <c r="W40"/>
  <c r="Y49"/>
  <c r="M48"/>
  <c r="Q48"/>
  <c r="U48"/>
  <c r="F48"/>
  <c r="J48"/>
  <c r="N48"/>
  <c r="R48"/>
  <c r="V48"/>
  <c r="G48"/>
  <c r="K48"/>
  <c r="O48"/>
  <c r="S48"/>
  <c r="W48"/>
  <c r="Y53"/>
  <c r="P56"/>
  <c r="T56"/>
  <c r="X56"/>
  <c r="Y58"/>
  <c r="M56"/>
  <c r="Q56"/>
  <c r="U56"/>
  <c r="F56"/>
  <c r="R56"/>
  <c r="V56"/>
  <c r="G56"/>
  <c r="K56"/>
  <c r="Y62"/>
  <c r="Y66"/>
  <c r="Y70"/>
  <c r="Y74"/>
  <c r="Y78"/>
  <c r="G82"/>
  <c r="K82"/>
  <c r="O82"/>
  <c r="S82"/>
  <c r="W82"/>
  <c r="H96"/>
  <c r="L96"/>
  <c r="P96"/>
  <c r="T96"/>
  <c r="X96"/>
  <c r="Y99"/>
  <c r="I215"/>
  <c r="N27"/>
  <c r="R27"/>
  <c r="V27"/>
  <c r="Y131"/>
  <c r="Y225"/>
  <c r="Y224" s="1"/>
  <c r="H26"/>
  <c r="H25" s="1"/>
  <c r="Y95"/>
  <c r="I96"/>
  <c r="M96"/>
  <c r="Q96"/>
  <c r="U96"/>
  <c r="F112"/>
  <c r="F111" s="1"/>
  <c r="J112"/>
  <c r="N112"/>
  <c r="N111" s="1"/>
  <c r="N110" s="1"/>
  <c r="R112"/>
  <c r="R111" s="1"/>
  <c r="V112"/>
  <c r="V111" s="1"/>
  <c r="J30"/>
  <c r="Y30" s="1"/>
  <c r="Y206"/>
  <c r="K10"/>
  <c r="K6" s="1"/>
  <c r="U26"/>
  <c r="U25" s="1"/>
  <c r="N26"/>
  <c r="N25" s="1"/>
  <c r="R26"/>
  <c r="R25" s="1"/>
  <c r="R102" s="1"/>
  <c r="V26"/>
  <c r="V25" s="1"/>
  <c r="Q26"/>
  <c r="Q25" s="1"/>
  <c r="U102"/>
  <c r="M26"/>
  <c r="M25" s="1"/>
  <c r="M102" s="1"/>
  <c r="P10"/>
  <c r="P6" s="1"/>
  <c r="Y34"/>
  <c r="Y38"/>
  <c r="Y42"/>
  <c r="Y46"/>
  <c r="Y50"/>
  <c r="Y54"/>
  <c r="Y59"/>
  <c r="Y63"/>
  <c r="Y67"/>
  <c r="Y71"/>
  <c r="Y75"/>
  <c r="Y79"/>
  <c r="Y84"/>
  <c r="Y88"/>
  <c r="Y92"/>
  <c r="Y114"/>
  <c r="I112"/>
  <c r="I111" s="1"/>
  <c r="M112"/>
  <c r="M111" s="1"/>
  <c r="Q112"/>
  <c r="U112"/>
  <c r="U111" s="1"/>
  <c r="U110" s="1"/>
  <c r="U235" s="1"/>
  <c r="Y134"/>
  <c r="H111"/>
  <c r="Y167"/>
  <c r="I179"/>
  <c r="I178" s="1"/>
  <c r="M179"/>
  <c r="M178" s="1"/>
  <c r="Q179"/>
  <c r="Q178" s="1"/>
  <c r="U179"/>
  <c r="U178" s="1"/>
  <c r="H215"/>
  <c r="L215"/>
  <c r="P215"/>
  <c r="T215"/>
  <c r="X215"/>
  <c r="H102"/>
  <c r="Q102"/>
  <c r="N102"/>
  <c r="V102"/>
  <c r="I27"/>
  <c r="Y31"/>
  <c r="I35"/>
  <c r="Y39"/>
  <c r="Y43"/>
  <c r="Y47"/>
  <c r="Y51"/>
  <c r="Y55"/>
  <c r="Y60"/>
  <c r="Y64"/>
  <c r="Y68"/>
  <c r="Y72"/>
  <c r="Y76"/>
  <c r="Y80"/>
  <c r="Y85"/>
  <c r="Y89"/>
  <c r="Y93"/>
  <c r="Y97"/>
  <c r="Y101"/>
  <c r="Y100" s="1"/>
  <c r="Y126"/>
  <c r="L111"/>
  <c r="L56"/>
  <c r="L25" s="1"/>
  <c r="L102" s="1"/>
  <c r="X178"/>
  <c r="Y196"/>
  <c r="G215"/>
  <c r="G110" s="1"/>
  <c r="K215"/>
  <c r="O215"/>
  <c r="S215"/>
  <c r="S110" s="1"/>
  <c r="W215"/>
  <c r="W110" s="1"/>
  <c r="H224"/>
  <c r="L224"/>
  <c r="P224"/>
  <c r="T224"/>
  <c r="X224"/>
  <c r="Y23"/>
  <c r="Y29"/>
  <c r="Y32"/>
  <c r="Y36"/>
  <c r="I40"/>
  <c r="Y44"/>
  <c r="I48"/>
  <c r="Y52"/>
  <c r="I56"/>
  <c r="Y57"/>
  <c r="Y61"/>
  <c r="Y65"/>
  <c r="Y69"/>
  <c r="Y73"/>
  <c r="Y77"/>
  <c r="I82"/>
  <c r="Y86"/>
  <c r="Y90"/>
  <c r="Y94"/>
  <c r="Y98"/>
  <c r="Y103"/>
  <c r="P111"/>
  <c r="Y166"/>
  <c r="O56"/>
  <c r="K178"/>
  <c r="O186"/>
  <c r="O179" s="1"/>
  <c r="O178" s="1"/>
  <c r="Y201"/>
  <c r="Y219"/>
  <c r="Y215" s="1"/>
  <c r="Y113"/>
  <c r="F110"/>
  <c r="R110"/>
  <c r="R235" s="1"/>
  <c r="V110"/>
  <c r="V235" s="1"/>
  <c r="T111"/>
  <c r="T110" s="1"/>
  <c r="X111"/>
  <c r="X110" s="1"/>
  <c r="J27"/>
  <c r="J26" s="1"/>
  <c r="Y10"/>
  <c r="Y35"/>
  <c r="P110"/>
  <c r="K110"/>
  <c r="Y40"/>
  <c r="Y48"/>
  <c r="Y82"/>
  <c r="Y112"/>
  <c r="Y45"/>
  <c r="H110"/>
  <c r="H235" s="1"/>
  <c r="Y141"/>
  <c r="O141"/>
  <c r="O111" s="1"/>
  <c r="Y7"/>
  <c r="Y6" s="1"/>
  <c r="G10"/>
  <c r="G6" s="1"/>
  <c r="K28"/>
  <c r="K27" s="1"/>
  <c r="K26" s="1"/>
  <c r="K25" s="1"/>
  <c r="K102" s="1"/>
  <c r="J141"/>
  <c r="J111" s="1"/>
  <c r="J110" s="1"/>
  <c r="Y181"/>
  <c r="Y183"/>
  <c r="J81"/>
  <c r="J56" s="1"/>
  <c r="J25" s="1"/>
  <c r="J102" s="1"/>
  <c r="Q141"/>
  <c r="Q111" s="1"/>
  <c r="Q110" s="1"/>
  <c r="Q235" s="1"/>
  <c r="F26" l="1"/>
  <c r="F25" s="1"/>
  <c r="G102"/>
  <c r="G108" s="1"/>
  <c r="G235"/>
  <c r="N235"/>
  <c r="P25"/>
  <c r="P102" s="1"/>
  <c r="O26"/>
  <c r="O25" s="1"/>
  <c r="O102" s="1"/>
  <c r="K235"/>
  <c r="T25"/>
  <c r="T102" s="1"/>
  <c r="S26"/>
  <c r="S25" s="1"/>
  <c r="S102" s="1"/>
  <c r="J235"/>
  <c r="X25"/>
  <c r="X102" s="1"/>
  <c r="W26"/>
  <c r="W25" s="1"/>
  <c r="W102" s="1"/>
  <c r="I110"/>
  <c r="O110"/>
  <c r="L110"/>
  <c r="L235" s="1"/>
  <c r="I26"/>
  <c r="I25" s="1"/>
  <c r="I102" s="1"/>
  <c r="M110"/>
  <c r="M235" s="1"/>
  <c r="Y180"/>
  <c r="Y179" s="1"/>
  <c r="Y178" s="1"/>
  <c r="Y96"/>
  <c r="H5"/>
  <c r="H108" s="1"/>
  <c r="Y111"/>
  <c r="Y28"/>
  <c r="Y27" s="1"/>
  <c r="Y26" s="1"/>
  <c r="Y81"/>
  <c r="Y56" s="1"/>
  <c r="O235" l="1"/>
  <c r="X235"/>
  <c r="T235"/>
  <c r="P235"/>
  <c r="S235"/>
  <c r="I235"/>
  <c r="W235"/>
  <c r="Y110"/>
  <c r="Y25"/>
  <c r="Y102" s="1"/>
  <c r="Y108" s="1"/>
  <c r="I5"/>
  <c r="I108" s="1"/>
  <c r="J5" l="1"/>
  <c r="J108" s="1"/>
  <c r="K5" l="1"/>
  <c r="K108" s="1"/>
  <c r="L5" l="1"/>
  <c r="L108" s="1"/>
  <c r="M5" l="1"/>
  <c r="M108" s="1"/>
  <c r="N5" l="1"/>
  <c r="N108" s="1"/>
  <c r="O5" l="1"/>
  <c r="O108" s="1"/>
  <c r="P5" l="1"/>
  <c r="P108" s="1"/>
  <c r="Q5" l="1"/>
  <c r="Q108" s="1"/>
  <c r="R5" l="1"/>
  <c r="R108" s="1"/>
  <c r="S5" l="1"/>
  <c r="S108" s="1"/>
  <c r="T5" l="1"/>
  <c r="T108" s="1"/>
  <c r="U5" l="1"/>
  <c r="U108" s="1"/>
  <c r="V5" l="1"/>
  <c r="V108" s="1"/>
  <c r="W5" l="1"/>
  <c r="W108" s="1"/>
  <c r="X5" l="1"/>
  <c r="X108" s="1"/>
</calcChain>
</file>

<file path=xl/comments1.xml><?xml version="1.0" encoding="utf-8"?>
<comments xmlns="http://schemas.openxmlformats.org/spreadsheetml/2006/main">
  <authors>
    <author>Sptrans</author>
  </authors>
  <commentList>
    <comment ref="X12" authorId="0">
      <text>
        <r>
          <rPr>
            <b/>
            <sz val="14"/>
            <color indexed="81"/>
            <rFont val="Arial"/>
            <family val="2"/>
          </rPr>
          <t>+53,40
+52,46
ESTORNO DE PAGTO NÃO IDENTIFICADO, CONSIDERAR OUTRAS RECEITAS PARA NÃO GERAR DIFEERENÇA SIAF</t>
        </r>
      </text>
    </comment>
    <comment ref="X20" authorId="0">
      <text>
        <r>
          <rPr>
            <b/>
            <sz val="12"/>
            <color indexed="81"/>
            <rFont val="Arial"/>
            <family val="2"/>
          </rPr>
          <t>EXCLUIDO POIS PAGAMENTO É DO METRO
-165.667,02 = B40587 GESTÇAO PARA SISTEMA</t>
        </r>
      </text>
    </comment>
    <comment ref="X181" authorId="0">
      <text>
        <r>
          <rPr>
            <b/>
            <sz val="14"/>
            <color indexed="81"/>
            <rFont val="Arial"/>
            <family val="2"/>
          </rPr>
          <t xml:space="preserve">-606,56
-428,66
B.40574 DE 27/02/18
COD. 12001
- 53,40 E -52,46 ESTORNO SALARIO ESTAGIARIO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<sst xmlns="http://schemas.openxmlformats.org/spreadsheetml/2006/main" count="748" uniqueCount="228">
  <si>
    <t>FINAL</t>
  </si>
  <si>
    <t>Sintetico</t>
  </si>
  <si>
    <t xml:space="preserve">FLUXO DE CAIXA GESTÃO TRANSPORTE </t>
  </si>
  <si>
    <t>Saldo</t>
  </si>
  <si>
    <t>TOTAL</t>
  </si>
  <si>
    <t>G</t>
  </si>
  <si>
    <t>SALDO INICIAL</t>
  </si>
  <si>
    <t>A</t>
  </si>
  <si>
    <t>ENTRADAS ( RECEITAS)</t>
  </si>
  <si>
    <t>Instalação Garagem Frota Publica</t>
  </si>
  <si>
    <t>Taxa de Gerenciamento VT</t>
  </si>
  <si>
    <t>Bilhete Único sem Cadastro</t>
  </si>
  <si>
    <t>RECEITAS DIVERSAS E FINANCEIRAS</t>
  </si>
  <si>
    <t>Receitas Financeiras</t>
  </si>
  <si>
    <t>805 (-) 715</t>
  </si>
  <si>
    <t>Outras Receitas</t>
  </si>
  <si>
    <t>Leilões</t>
  </si>
  <si>
    <t>Alvarás</t>
  </si>
  <si>
    <t>Reembolso Desp. Gar+Patio+Term. (GATUSA)</t>
  </si>
  <si>
    <t>Acordos/Proc. Judiciais</t>
  </si>
  <si>
    <t>Gerenc.Oper.Serv. Esp. (L.Turist./USP/PAESE)</t>
  </si>
  <si>
    <t>Auto Interdição</t>
  </si>
  <si>
    <t>Caução De Contratos</t>
  </si>
  <si>
    <t>824 (-) 738</t>
  </si>
  <si>
    <t>Ger.Oper. Bil. Eletr.(SBE-METRÔ/CPTM/VIA 4)</t>
  </si>
  <si>
    <t>Alugueis Diversos (GATUSA)</t>
  </si>
  <si>
    <t>Empregados a Disposição</t>
  </si>
  <si>
    <t>Carteira Escolar (UMES/UNE)</t>
  </si>
  <si>
    <t>Reembolso Telefone</t>
  </si>
  <si>
    <t>B</t>
  </si>
  <si>
    <t>TOTAL DE SAÍDAS (B1+B2+B3+B4+B5)</t>
  </si>
  <si>
    <t>B1</t>
  </si>
  <si>
    <t xml:space="preserve">PESSOAL  </t>
  </si>
  <si>
    <t>B11</t>
  </si>
  <si>
    <t>FOLHA DE PAGAMENTO</t>
  </si>
  <si>
    <t>11/12</t>
  </si>
  <si>
    <t>001</t>
  </si>
  <si>
    <t>FOLHA PAGAMENTO HORAS EXTRAS</t>
  </si>
  <si>
    <t>002</t>
  </si>
  <si>
    <t>FÉRIAS</t>
  </si>
  <si>
    <t>003</t>
  </si>
  <si>
    <t>CONSIGNAÇÃO FOLHA</t>
  </si>
  <si>
    <t>006</t>
  </si>
  <si>
    <t>13º SALÁRIO</t>
  </si>
  <si>
    <t>11</t>
  </si>
  <si>
    <t>017</t>
  </si>
  <si>
    <t>REEMBOLSO ND OUTRAS ENTIDADES</t>
  </si>
  <si>
    <t>018</t>
  </si>
  <si>
    <t>PROGRAMA  PARTICIPAÇÃO RESULTADO</t>
  </si>
  <si>
    <t>022</t>
  </si>
  <si>
    <t>ESTAGIÁRIO MENOR APRENDIZ</t>
  </si>
  <si>
    <t>B12</t>
  </si>
  <si>
    <t>BENEFÍCIOS</t>
  </si>
  <si>
    <t>004</t>
  </si>
  <si>
    <t>VALE REFEIÇÃO ALIMENTAÇÃO</t>
  </si>
  <si>
    <t>005</t>
  </si>
  <si>
    <t>PLANO SÁUDE  DESPESAS MÉDICAS</t>
  </si>
  <si>
    <t>014</t>
  </si>
  <si>
    <t>INSTRUÇÃO E TREINAMENTO</t>
  </si>
  <si>
    <t>015</t>
  </si>
  <si>
    <t>SEGURO VIDA</t>
  </si>
  <si>
    <t>B13</t>
  </si>
  <si>
    <t>ENCARGOS SOCIAIS</t>
  </si>
  <si>
    <t>011</t>
  </si>
  <si>
    <t>FGTS</t>
  </si>
  <si>
    <t>012</t>
  </si>
  <si>
    <t>IMPOSTO RENDA FOLHA</t>
  </si>
  <si>
    <t>020</t>
  </si>
  <si>
    <t>INSS -  EMPREGADO</t>
  </si>
  <si>
    <t>021</t>
  </si>
  <si>
    <t>INSS - EMPREGADOR</t>
  </si>
  <si>
    <t>B14</t>
  </si>
  <si>
    <t>OUTROS PESSOAL</t>
  </si>
  <si>
    <t>007</t>
  </si>
  <si>
    <t>JUSTIÇA DO TRABALHO</t>
  </si>
  <si>
    <t>008</t>
  </si>
  <si>
    <t>RESCISÕES CONTRATUAIS</t>
  </si>
  <si>
    <t>B2</t>
  </si>
  <si>
    <t>FORNECEDORES</t>
  </si>
  <si>
    <t>101</t>
  </si>
  <si>
    <t>MATERIAL DE ALMOXARIFADO</t>
  </si>
  <si>
    <t>104</t>
  </si>
  <si>
    <t>MATERIAL DE ESCRITORIO</t>
  </si>
  <si>
    <t>105</t>
  </si>
  <si>
    <t>MATERIAL PARA MANUTENÇÃO PREDIAL</t>
  </si>
  <si>
    <t>106</t>
  </si>
  <si>
    <t>MATERIAL PARA MANUTENÇÃO EQUIP. E VEÍCULOS</t>
  </si>
  <si>
    <t>107</t>
  </si>
  <si>
    <t>MATERIAL PARA COPA/HIGIENE/LIMPEZA</t>
  </si>
  <si>
    <t>109</t>
  </si>
  <si>
    <t>AMBULATÓRIO</t>
  </si>
  <si>
    <t>102</t>
  </si>
  <si>
    <t>COMBUSTIVEIS</t>
  </si>
  <si>
    <t>B3</t>
  </si>
  <si>
    <t>DESPESAS GERAIS</t>
  </si>
  <si>
    <t>201</t>
  </si>
  <si>
    <t>ALUGUEL DE IMÓVEIS /CONDOMÍNIOS</t>
  </si>
  <si>
    <t>202</t>
  </si>
  <si>
    <t>LOCAÇÃO EQUIPAMENTOS</t>
  </si>
  <si>
    <t>11/12/14</t>
  </si>
  <si>
    <t>203</t>
  </si>
  <si>
    <t>CONSUMO   ÁGUA</t>
  </si>
  <si>
    <t>204</t>
  </si>
  <si>
    <t>CONSUMO ENERGIA ELETRICA</t>
  </si>
  <si>
    <t>205</t>
  </si>
  <si>
    <t>CONSUMO TELEFONE</t>
  </si>
  <si>
    <t>207</t>
  </si>
  <si>
    <t>TAXAS    MULTAS  IMPOSTOS</t>
  </si>
  <si>
    <t>208</t>
  </si>
  <si>
    <t>INDENIZAÇÃO TERCEIROS</t>
  </si>
  <si>
    <t>209</t>
  </si>
  <si>
    <t>SEGUROS</t>
  </si>
  <si>
    <t>210</t>
  </si>
  <si>
    <t>PUBLICIDADE ANUNCIOS</t>
  </si>
  <si>
    <t>211</t>
  </si>
  <si>
    <t>DEVOLUÇÃO DE CAUÇÃO</t>
  </si>
  <si>
    <t>216 (-) 809</t>
  </si>
  <si>
    <t>VIAGENS ESTADIAS</t>
  </si>
  <si>
    <t>217</t>
  </si>
  <si>
    <t>OUTRAS DESPESAS</t>
  </si>
  <si>
    <t>218 (-) 808</t>
  </si>
  <si>
    <t>FUNDO FIXO / FUNDO ROTATIVO</t>
  </si>
  <si>
    <t>219 (-) 819</t>
  </si>
  <si>
    <t>PENHORA JUDICIAL</t>
  </si>
  <si>
    <t>220 (-) 820</t>
  </si>
  <si>
    <t>BLOQUEIO JUDICIAL</t>
  </si>
  <si>
    <t>221</t>
  </si>
  <si>
    <t>PAGTO PROCESSO/DEC. JUDICIAL</t>
  </si>
  <si>
    <t>11/22</t>
  </si>
  <si>
    <t>222</t>
  </si>
  <si>
    <t>TX. RESÍDUOS SOLIDOS/ELEVADORES</t>
  </si>
  <si>
    <t>223</t>
  </si>
  <si>
    <t>TAXAS      MULTAS  VEÍCULOS</t>
  </si>
  <si>
    <t>224</t>
  </si>
  <si>
    <t>TRIBUTOS FEDERAIS - COFINS</t>
  </si>
  <si>
    <t>225</t>
  </si>
  <si>
    <t>TRIBUTOS FEDERAIS - PASEP</t>
  </si>
  <si>
    <t>226</t>
  </si>
  <si>
    <t>TRIBUTOS FEDERAIS - ACORDOS/PARCELAMENTOS</t>
  </si>
  <si>
    <t>227</t>
  </si>
  <si>
    <t>TRIBUTOS FEDERAIS - IMPOSTO RENDA</t>
  </si>
  <si>
    <t>228</t>
  </si>
  <si>
    <t>TRIBUTOS FEDERAIS - CSLL</t>
  </si>
  <si>
    <t>229</t>
  </si>
  <si>
    <t>TRIBUTOS FEDERAIS - PAR.ADESÃO 2014</t>
  </si>
  <si>
    <t>230</t>
  </si>
  <si>
    <t>TARIFA BANCÁRIA</t>
  </si>
  <si>
    <t>B4</t>
  </si>
  <si>
    <t>TERCEIRIZAÇÕES</t>
  </si>
  <si>
    <t>301</t>
  </si>
  <si>
    <t>INFORMÁTICA</t>
  </si>
  <si>
    <t>302</t>
  </si>
  <si>
    <t>VIGILANCIA / SEGURANÇA</t>
  </si>
  <si>
    <t>303</t>
  </si>
  <si>
    <t>MANUTENÇÃO PREDIAL INSTALAÇÕES</t>
  </si>
  <si>
    <t>306</t>
  </si>
  <si>
    <t>PESQUISA/ ASSES./ CONSULT./EST/PROJETOS</t>
  </si>
  <si>
    <t>307</t>
  </si>
  <si>
    <t>INTERCAMBIO TÉCNICO</t>
  </si>
  <si>
    <t>308</t>
  </si>
  <si>
    <t>SERVIÇOS GRÁFICA</t>
  </si>
  <si>
    <t>309</t>
  </si>
  <si>
    <t>OUTRAS TERCEIRIZAÇÕES</t>
  </si>
  <si>
    <t>11/14</t>
  </si>
  <si>
    <t>313</t>
  </si>
  <si>
    <t>CORREIOS/TRANSPORTES DOCUMENTOS</t>
  </si>
  <si>
    <t>322</t>
  </si>
  <si>
    <t>CONSERVAÇÃO/ LIMPEZA PREDIAL</t>
  </si>
  <si>
    <t>323</t>
  </si>
  <si>
    <t>MANUTENÇÃO EQUIPAMENTOS/VEÍCULOS</t>
  </si>
  <si>
    <t>304</t>
  </si>
  <si>
    <t>CONFECÇÃO PASSES/ CARTÕES</t>
  </si>
  <si>
    <t>305</t>
  </si>
  <si>
    <t>SISTEMA MONITORAMENTO    (SIM)</t>
  </si>
  <si>
    <t>315</t>
  </si>
  <si>
    <t>SISTEMA COBRANÇA AUTOMATICA</t>
  </si>
  <si>
    <t>B5</t>
  </si>
  <si>
    <t>INVESTIMENTOS</t>
  </si>
  <si>
    <t>22</t>
  </si>
  <si>
    <t>402</t>
  </si>
  <si>
    <t>INVESTIMENTO INFORMÁTICA</t>
  </si>
  <si>
    <t>403</t>
  </si>
  <si>
    <t>INVESTIMENTOS DIVERSOS</t>
  </si>
  <si>
    <t>404</t>
  </si>
  <si>
    <t>OBRAS</t>
  </si>
  <si>
    <t>B6</t>
  </si>
  <si>
    <t>ENCARGOS FINANCEIROS - DMLP</t>
  </si>
  <si>
    <t>409</t>
  </si>
  <si>
    <t>INVEST. FINANCIAMENTO - BANCO SUIÇO</t>
  </si>
  <si>
    <t>C</t>
  </si>
  <si>
    <t>SUPERAVIT/(DEFICIT) (A-B)</t>
  </si>
  <si>
    <t>D</t>
  </si>
  <si>
    <t xml:space="preserve">R E C U R S O S </t>
  </si>
  <si>
    <t>901</t>
  </si>
  <si>
    <t>OPERAÇÃO MANUT. SIST. TRANSPORTE</t>
  </si>
  <si>
    <t>903</t>
  </si>
  <si>
    <t>AUMENTO CAPITAL</t>
  </si>
  <si>
    <t>E 836 - 212</t>
  </si>
  <si>
    <t>EMPRÉSTIMOS ENTRECONTAS</t>
  </si>
  <si>
    <t>F 837 - 213</t>
  </si>
  <si>
    <t>AJUSTE ENTRECONTAS</t>
  </si>
  <si>
    <t>H</t>
  </si>
  <si>
    <t>SALDO FINAL (G)+(C)+(D)+(E)+(F)</t>
  </si>
  <si>
    <t>TOTAL DE SAÍDAS (PROG-11/12/14/22)</t>
  </si>
  <si>
    <t>PROG 11 - GESTÃO</t>
  </si>
  <si>
    <t>E</t>
  </si>
  <si>
    <t>R</t>
  </si>
  <si>
    <t>B11 - FOLHA DE PAGAMENTO</t>
  </si>
  <si>
    <t>T</t>
  </si>
  <si>
    <t>U</t>
  </si>
  <si>
    <t>S</t>
  </si>
  <si>
    <t>B12 - BENEFÍCIOS</t>
  </si>
  <si>
    <t>B13 - ENCARGOS SOCIAIS</t>
  </si>
  <si>
    <t>B14 - OUTROS PESSOAL</t>
  </si>
  <si>
    <t xml:space="preserve">B2 </t>
  </si>
  <si>
    <t>TAXAS/MULTAS/IMPOSTOS DE IMOVEIS</t>
  </si>
  <si>
    <t>PROG 12 - GESTÃO SISTEMA</t>
  </si>
  <si>
    <t>12</t>
  </si>
  <si>
    <t>PROG 14 - REPASSE - SMT</t>
  </si>
  <si>
    <t>14</t>
  </si>
  <si>
    <t>CORREIOS /TRANSPORTE DOCUMENTOS</t>
  </si>
  <si>
    <t>PROG 22 - INVESTIMENTOS</t>
  </si>
  <si>
    <t>CONFERENCIA ABERTURAS</t>
  </si>
  <si>
    <t>Conciliação Movimento</t>
  </si>
  <si>
    <t>X</t>
  </si>
  <si>
    <t>RECEITAS DESCONHECIDAS</t>
  </si>
  <si>
    <t>x</t>
  </si>
  <si>
    <t>REALIZADO</t>
  </si>
</sst>
</file>

<file path=xl/styles.xml><?xml version="1.0" encoding="utf-8"?>
<styleSheet xmlns="http://schemas.openxmlformats.org/spreadsheetml/2006/main">
  <numFmts count="8">
    <numFmt numFmtId="43" formatCode="_-* #,##0.00_-;\-* #,##0.00_-;_-* &quot;-&quot;??_-;_-@_-"/>
    <numFmt numFmtId="164" formatCode="_(* #,##0.00_);[Red]_(* \(#,##0.00\);_(* &quot;-&quot;??_);_(@_)"/>
    <numFmt numFmtId="165" formatCode="mmmm/yyyy"/>
    <numFmt numFmtId="166" formatCode="[$-416]mmmm\-yy;@"/>
    <numFmt numFmtId="167" formatCode="mmmm\-yy"/>
    <numFmt numFmtId="168" formatCode="0_);\(0\)"/>
    <numFmt numFmtId="169" formatCode="_(* #,##0_);_(* \(#,##0\);_(* &quot;&quot;??_);_(@_)"/>
    <numFmt numFmtId="170" formatCode="_-* #,##0.00_-;\-* #,##0.00_-;_-* \-??_-;_-@_-"/>
  </numFmts>
  <fonts count="20">
    <font>
      <sz val="10"/>
      <name val="Arial"/>
      <family val="2"/>
    </font>
    <font>
      <sz val="10"/>
      <name val="Arial"/>
      <family val="2"/>
    </font>
    <font>
      <sz val="16"/>
      <name val="Times New Roman"/>
      <family val="1"/>
    </font>
    <font>
      <b/>
      <sz val="18"/>
      <name val="Times New Roman"/>
      <family val="1"/>
    </font>
    <font>
      <b/>
      <sz val="16"/>
      <name val="Times New Roman"/>
      <family val="1"/>
    </font>
    <font>
      <sz val="18"/>
      <name val="Times New Roman"/>
      <family val="1"/>
    </font>
    <font>
      <sz val="10"/>
      <name val="Courier"/>
      <family val="3"/>
    </font>
    <font>
      <b/>
      <sz val="18"/>
      <color indexed="8"/>
      <name val="Times New Roman"/>
      <family val="1"/>
    </font>
    <font>
      <b/>
      <sz val="16"/>
      <color theme="1"/>
      <name val="Times New Roman"/>
      <family val="1"/>
    </font>
    <font>
      <b/>
      <sz val="20"/>
      <name val="Times New Roman"/>
      <family val="1"/>
    </font>
    <font>
      <sz val="20"/>
      <name val="Times New Roman"/>
      <family val="1"/>
    </font>
    <font>
      <b/>
      <sz val="14"/>
      <color indexed="81"/>
      <name val="Arial"/>
      <family val="2"/>
    </font>
    <font>
      <b/>
      <sz val="12"/>
      <color indexed="81"/>
      <name val="Arial"/>
      <family val="2"/>
    </font>
    <font>
      <sz val="9"/>
      <color indexed="81"/>
      <name val="Tahoma"/>
      <family val="2"/>
    </font>
    <font>
      <sz val="8"/>
      <name val="Tahoma"/>
      <family val="2"/>
    </font>
    <font>
      <sz val="12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8"/>
      <color indexed="56"/>
      <name val="Cambria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44">
    <xf numFmtId="0" fontId="0" fillId="0" borderId="0"/>
    <xf numFmtId="0" fontId="1" fillId="0" borderId="0"/>
    <xf numFmtId="37" fontId="6" fillId="0" borderId="0"/>
    <xf numFmtId="39" fontId="1" fillId="0" borderId="0"/>
    <xf numFmtId="0" fontId="14" fillId="0" borderId="10"/>
    <xf numFmtId="0" fontId="15" fillId="0" borderId="0"/>
    <xf numFmtId="0" fontId="15" fillId="0" borderId="0"/>
    <xf numFmtId="0" fontId="1" fillId="0" borderId="0"/>
    <xf numFmtId="0" fontId="16" fillId="0" borderId="0"/>
    <xf numFmtId="0" fontId="17" fillId="0" borderId="0"/>
    <xf numFmtId="9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6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116">
    <xf numFmtId="0" fontId="0" fillId="0" borderId="0" xfId="0"/>
    <xf numFmtId="0" fontId="2" fillId="2" borderId="0" xfId="0" applyFont="1" applyFill="1" applyAlignment="1" applyProtection="1">
      <alignment horizontal="center" vertical="center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164" fontId="7" fillId="2" borderId="2" xfId="2" applyNumberFormat="1" applyFont="1" applyFill="1" applyBorder="1" applyAlignment="1" applyProtection="1">
      <alignment horizontal="center" vertical="center"/>
      <protection locked="0"/>
    </xf>
    <xf numFmtId="14" fontId="7" fillId="2" borderId="3" xfId="2" applyNumberFormat="1" applyFont="1" applyFill="1" applyBorder="1" applyAlignment="1" applyProtection="1">
      <alignment horizontal="center" vertical="center" wrapText="1"/>
      <protection locked="0"/>
    </xf>
    <xf numFmtId="39" fontId="7" fillId="2" borderId="3" xfId="2" applyNumberFormat="1" applyFont="1" applyFill="1" applyBorder="1" applyAlignment="1" applyProtection="1">
      <alignment horizontal="center" vertical="center"/>
      <protection locked="0"/>
    </xf>
    <xf numFmtId="165" fontId="3" fillId="2" borderId="0" xfId="1" applyNumberFormat="1" applyFont="1" applyFill="1" applyAlignment="1" applyProtection="1">
      <alignment horizontal="center" vertical="center"/>
      <protection locked="0"/>
    </xf>
    <xf numFmtId="165" fontId="3" fillId="2" borderId="1" xfId="1" applyNumberFormat="1" applyFont="1" applyFill="1" applyBorder="1" applyAlignment="1" applyProtection="1">
      <alignment horizontal="center" vertical="center"/>
      <protection locked="0"/>
    </xf>
    <xf numFmtId="166" fontId="7" fillId="2" borderId="4" xfId="2" applyNumberFormat="1" applyFont="1" applyFill="1" applyBorder="1" applyAlignment="1" applyProtection="1">
      <alignment horizontal="center" vertical="center"/>
      <protection locked="0"/>
    </xf>
    <xf numFmtId="39" fontId="7" fillId="2" borderId="3" xfId="2" quotePrefix="1" applyNumberFormat="1" applyFont="1" applyFill="1" applyBorder="1" applyAlignment="1" applyProtection="1">
      <alignment horizontal="center" vertical="center"/>
      <protection locked="0"/>
    </xf>
    <xf numFmtId="167" fontId="7" fillId="2" borderId="3" xfId="2" quotePrefix="1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164" fontId="8" fillId="2" borderId="5" xfId="2" applyNumberFormat="1" applyFont="1" applyFill="1" applyBorder="1" applyAlignment="1" applyProtection="1">
      <alignment horizontal="center" vertical="center"/>
      <protection locked="0"/>
    </xf>
    <xf numFmtId="168" fontId="8" fillId="2" borderId="2" xfId="2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</xf>
    <xf numFmtId="49" fontId="3" fillId="3" borderId="3" xfId="0" applyNumberFormat="1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164" fontId="4" fillId="3" borderId="3" xfId="0" applyNumberFormat="1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</xf>
    <xf numFmtId="164" fontId="8" fillId="3" borderId="3" xfId="2" applyNumberFormat="1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49" fontId="3" fillId="4" borderId="3" xfId="0" applyNumberFormat="1" applyFont="1" applyFill="1" applyBorder="1" applyAlignment="1" applyProtection="1">
      <alignment horizontal="center" vertical="center"/>
    </xf>
    <xf numFmtId="0" fontId="5" fillId="4" borderId="6" xfId="0" applyFont="1" applyFill="1" applyBorder="1" applyAlignment="1" applyProtection="1">
      <alignment horizontal="left" vertical="center"/>
    </xf>
    <xf numFmtId="0" fontId="5" fillId="4" borderId="7" xfId="0" applyFont="1" applyFill="1" applyBorder="1" applyAlignment="1" applyProtection="1">
      <alignment horizontal="left" vertical="center"/>
    </xf>
    <xf numFmtId="164" fontId="2" fillId="4" borderId="3" xfId="0" applyNumberFormat="1" applyFont="1" applyFill="1" applyBorder="1" applyAlignment="1" applyProtection="1">
      <alignment horizontal="center" vertical="center"/>
    </xf>
    <xf numFmtId="164" fontId="4" fillId="4" borderId="3" xfId="0" applyNumberFormat="1" applyFont="1" applyFill="1" applyBorder="1" applyAlignment="1" applyProtection="1">
      <alignment horizontal="center" vertical="center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left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164" fontId="2" fillId="0" borderId="3" xfId="0" applyNumberFormat="1" applyFont="1" applyBorder="1" applyAlignment="1" applyProtection="1">
      <alignment horizontal="center" vertical="center"/>
      <protection locked="0"/>
    </xf>
    <xf numFmtId="164" fontId="4" fillId="0" borderId="3" xfId="0" applyNumberFormat="1" applyFont="1" applyBorder="1" applyAlignment="1" applyProtection="1">
      <alignment horizontal="center" vertical="center"/>
      <protection locked="0"/>
    </xf>
    <xf numFmtId="164" fontId="2" fillId="5" borderId="3" xfId="0" applyNumberFormat="1" applyFont="1" applyFill="1" applyBorder="1" applyAlignment="1" applyProtection="1">
      <alignment horizontal="center" vertical="center"/>
      <protection locked="0"/>
    </xf>
    <xf numFmtId="49" fontId="3" fillId="6" borderId="3" xfId="0" applyNumberFormat="1" applyFont="1" applyFill="1" applyBorder="1" applyAlignment="1" applyProtection="1">
      <alignment horizontal="center" vertical="center"/>
    </xf>
    <xf numFmtId="0" fontId="3" fillId="6" borderId="7" xfId="0" applyFont="1" applyFill="1" applyBorder="1" applyAlignment="1" applyProtection="1">
      <alignment horizontal="center" vertical="center"/>
    </xf>
    <xf numFmtId="0" fontId="3" fillId="6" borderId="3" xfId="0" applyFont="1" applyFill="1" applyBorder="1" applyAlignment="1" applyProtection="1">
      <alignment horizontal="center" vertical="center"/>
    </xf>
    <xf numFmtId="164" fontId="4" fillId="6" borderId="3" xfId="0" applyNumberFormat="1" applyFont="1" applyFill="1" applyBorder="1" applyAlignment="1" applyProtection="1">
      <alignment horizontal="center" vertical="center"/>
    </xf>
    <xf numFmtId="49" fontId="3" fillId="7" borderId="3" xfId="0" applyNumberFormat="1" applyFont="1" applyFill="1" applyBorder="1" applyAlignment="1" applyProtection="1">
      <alignment horizontal="center" vertical="center"/>
    </xf>
    <xf numFmtId="0" fontId="3" fillId="7" borderId="6" xfId="0" applyFont="1" applyFill="1" applyBorder="1" applyAlignment="1" applyProtection="1">
      <alignment horizontal="center" vertical="center"/>
    </xf>
    <xf numFmtId="0" fontId="3" fillId="7" borderId="6" xfId="0" applyFont="1" applyFill="1" applyBorder="1" applyAlignment="1" applyProtection="1">
      <alignment horizontal="left" vertical="center"/>
    </xf>
    <xf numFmtId="164" fontId="4" fillId="7" borderId="3" xfId="0" applyNumberFormat="1" applyFont="1" applyFill="1" applyBorder="1" applyAlignment="1" applyProtection="1">
      <alignment horizontal="center" vertical="center"/>
    </xf>
    <xf numFmtId="49" fontId="3" fillId="2" borderId="3" xfId="0" quotePrefix="1" applyNumberFormat="1" applyFont="1" applyFill="1" applyBorder="1" applyAlignment="1" applyProtection="1">
      <alignment horizontal="center" vertical="center"/>
    </xf>
    <xf numFmtId="16" fontId="3" fillId="2" borderId="6" xfId="0" quotePrefix="1" applyNumberFormat="1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left" vertical="center"/>
    </xf>
    <xf numFmtId="164" fontId="2" fillId="0" borderId="3" xfId="0" applyNumberFormat="1" applyFont="1" applyBorder="1" applyAlignment="1" applyProtection="1">
      <alignment horizontal="center" vertical="center"/>
    </xf>
    <xf numFmtId="49" fontId="3" fillId="2" borderId="3" xfId="0" applyNumberFormat="1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49" fontId="3" fillId="2" borderId="6" xfId="0" applyNumberFormat="1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left" vertical="center"/>
    </xf>
    <xf numFmtId="0" fontId="3" fillId="3" borderId="7" xfId="0" applyFont="1" applyFill="1" applyBorder="1" applyAlignment="1" applyProtection="1">
      <alignment horizontal="center" vertical="center"/>
    </xf>
    <xf numFmtId="0" fontId="3" fillId="4" borderId="6" xfId="0" applyFont="1" applyFill="1" applyBorder="1" applyAlignment="1" applyProtection="1">
      <alignment horizontal="left" vertical="center"/>
    </xf>
    <xf numFmtId="0" fontId="3" fillId="4" borderId="7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  <protection locked="0"/>
    </xf>
    <xf numFmtId="164" fontId="4" fillId="2" borderId="3" xfId="0" applyNumberFormat="1" applyFont="1" applyFill="1" applyBorder="1" applyAlignment="1" applyProtection="1">
      <alignment horizontal="center" vertical="center"/>
      <protection locked="0"/>
    </xf>
    <xf numFmtId="164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4" borderId="3" xfId="0" applyNumberFormat="1" applyFont="1" applyFill="1" applyBorder="1" applyAlignment="1" applyProtection="1">
      <alignment horizontal="center" vertical="center"/>
      <protection locked="0"/>
    </xf>
    <xf numFmtId="0" fontId="3" fillId="4" borderId="6" xfId="0" applyFont="1" applyFill="1" applyBorder="1" applyAlignment="1" applyProtection="1">
      <alignment horizontal="left" vertical="center"/>
      <protection locked="0"/>
    </xf>
    <xf numFmtId="0" fontId="3" fillId="4" borderId="7" xfId="0" applyFont="1" applyFill="1" applyBorder="1" applyAlignment="1" applyProtection="1">
      <alignment horizontal="left" vertical="center"/>
      <protection locked="0"/>
    </xf>
    <xf numFmtId="164" fontId="4" fillId="4" borderId="3" xfId="0" applyNumberFormat="1" applyFont="1" applyFill="1" applyBorder="1" applyAlignment="1" applyProtection="1">
      <alignment horizontal="center" vertical="center"/>
      <protection locked="0"/>
    </xf>
    <xf numFmtId="0" fontId="4" fillId="8" borderId="0" xfId="0" applyFont="1" applyFill="1" applyAlignment="1" applyProtection="1">
      <alignment horizontal="center" vertical="center"/>
      <protection locked="0"/>
    </xf>
    <xf numFmtId="0" fontId="2" fillId="8" borderId="0" xfId="0" applyFont="1" applyFill="1" applyAlignment="1" applyProtection="1">
      <alignment horizontal="center" vertical="center"/>
      <protection locked="0"/>
    </xf>
    <xf numFmtId="0" fontId="5" fillId="3" borderId="7" xfId="0" applyFont="1" applyFill="1" applyBorder="1" applyAlignment="1" applyProtection="1">
      <alignment horizontal="center" vertical="center"/>
    </xf>
    <xf numFmtId="164" fontId="2" fillId="2" borderId="0" xfId="0" applyNumberFormat="1" applyFont="1" applyFill="1" applyAlignment="1" applyProtection="1">
      <alignment horizontal="center" vertical="center"/>
      <protection locked="0"/>
    </xf>
    <xf numFmtId="164" fontId="4" fillId="2" borderId="0" xfId="0" applyNumberFormat="1" applyFont="1" applyFill="1" applyAlignment="1" applyProtection="1">
      <alignment horizontal="center" vertical="center"/>
      <protection locked="0"/>
    </xf>
    <xf numFmtId="0" fontId="4" fillId="6" borderId="0" xfId="0" applyFont="1" applyFill="1" applyBorder="1" applyAlignment="1" applyProtection="1">
      <alignment horizontal="center" vertical="center"/>
    </xf>
    <xf numFmtId="0" fontId="4" fillId="6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3" fillId="9" borderId="8" xfId="0" applyFont="1" applyFill="1" applyBorder="1" applyAlignment="1" applyProtection="1">
      <alignment horizontal="center" vertical="center"/>
    </xf>
    <xf numFmtId="0" fontId="5" fillId="9" borderId="6" xfId="0" applyFont="1" applyFill="1" applyBorder="1" applyAlignment="1" applyProtection="1">
      <alignment horizontal="center" vertical="center"/>
    </xf>
    <xf numFmtId="0" fontId="5" fillId="9" borderId="7" xfId="0" applyFont="1" applyFill="1" applyBorder="1" applyAlignment="1" applyProtection="1">
      <alignment horizontal="center" vertical="center"/>
    </xf>
    <xf numFmtId="164" fontId="4" fillId="9" borderId="3" xfId="0" applyNumberFormat="1" applyFont="1" applyFill="1" applyBorder="1" applyAlignment="1" applyProtection="1">
      <alignment horizontal="center" vertical="center"/>
    </xf>
    <xf numFmtId="0" fontId="3" fillId="7" borderId="7" xfId="0" applyFont="1" applyFill="1" applyBorder="1" applyAlignment="1" applyProtection="1">
      <alignment horizontal="center" vertical="center"/>
    </xf>
    <xf numFmtId="0" fontId="3" fillId="7" borderId="3" xfId="0" applyFont="1" applyFill="1" applyBorder="1" applyAlignment="1" applyProtection="1">
      <alignment horizontal="center" vertical="center"/>
    </xf>
    <xf numFmtId="0" fontId="4" fillId="6" borderId="0" xfId="0" applyFont="1" applyFill="1" applyBorder="1" applyAlignment="1" applyProtection="1">
      <alignment horizontal="center" vertical="center"/>
      <protection locked="0"/>
    </xf>
    <xf numFmtId="0" fontId="2" fillId="6" borderId="0" xfId="0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0" fontId="2" fillId="6" borderId="0" xfId="0" applyFont="1" applyFill="1" applyAlignment="1" applyProtection="1">
      <alignment horizontal="center" vertical="center"/>
      <protection locked="0"/>
    </xf>
    <xf numFmtId="0" fontId="2" fillId="6" borderId="0" xfId="0" applyFont="1" applyFill="1" applyBorder="1" applyAlignment="1" applyProtection="1">
      <alignment horizontal="center" vertical="center" textRotation="180"/>
      <protection locked="0"/>
    </xf>
    <xf numFmtId="164" fontId="2" fillId="9" borderId="3" xfId="0" applyNumberFormat="1" applyFont="1" applyFill="1" applyBorder="1" applyAlignment="1" applyProtection="1">
      <alignment horizontal="center" vertical="center"/>
    </xf>
    <xf numFmtId="164" fontId="2" fillId="7" borderId="3" xfId="0" applyNumberFormat="1" applyFont="1" applyFill="1" applyBorder="1" applyAlignment="1" applyProtection="1">
      <alignment horizontal="center" vertical="center"/>
    </xf>
    <xf numFmtId="0" fontId="2" fillId="6" borderId="0" xfId="0" applyFont="1" applyFill="1" applyBorder="1" applyAlignment="1" applyProtection="1">
      <alignment horizontal="center" vertical="center" textRotation="180"/>
    </xf>
    <xf numFmtId="49" fontId="3" fillId="6" borderId="0" xfId="0" applyNumberFormat="1" applyFont="1" applyFill="1" applyBorder="1" applyAlignment="1" applyProtection="1">
      <alignment horizontal="center" vertical="center"/>
      <protection locked="0"/>
    </xf>
    <xf numFmtId="0" fontId="3" fillId="6" borderId="0" xfId="0" applyFont="1" applyFill="1" applyBorder="1" applyAlignment="1" applyProtection="1">
      <alignment horizontal="center" vertical="center"/>
      <protection locked="0"/>
    </xf>
    <xf numFmtId="164" fontId="2" fillId="6" borderId="0" xfId="0" applyNumberFormat="1" applyFont="1" applyFill="1" applyBorder="1" applyAlignment="1" applyProtection="1">
      <alignment horizontal="center" vertical="center"/>
      <protection locked="0"/>
    </xf>
    <xf numFmtId="164" fontId="4" fillId="6" borderId="0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  <xf numFmtId="0" fontId="3" fillId="4" borderId="9" xfId="0" applyFont="1" applyFill="1" applyBorder="1" applyAlignment="1" applyProtection="1">
      <alignment horizontal="center" vertical="center"/>
    </xf>
    <xf numFmtId="164" fontId="2" fillId="4" borderId="9" xfId="0" applyNumberFormat="1" applyFont="1" applyFill="1" applyBorder="1" applyAlignment="1" applyProtection="1">
      <alignment horizontal="center" vertical="center"/>
    </xf>
    <xf numFmtId="164" fontId="4" fillId="2" borderId="0" xfId="0" applyNumberFormat="1" applyFont="1" applyFill="1" applyAlignment="1" applyProtection="1">
      <alignment horizontal="center" vertical="center"/>
    </xf>
    <xf numFmtId="164" fontId="2" fillId="0" borderId="0" xfId="0" applyNumberFormat="1" applyFont="1" applyAlignment="1" applyProtection="1">
      <alignment horizontal="center" vertical="center"/>
      <protection locked="0"/>
    </xf>
    <xf numFmtId="164" fontId="4" fillId="0" borderId="0" xfId="0" applyNumberFormat="1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center" vertical="center"/>
      <protection locked="0"/>
    </xf>
    <xf numFmtId="0" fontId="9" fillId="10" borderId="3" xfId="1" applyFont="1" applyFill="1" applyBorder="1" applyAlignment="1" applyProtection="1">
      <alignment horizontal="center" vertical="center"/>
      <protection locked="0"/>
    </xf>
    <xf numFmtId="164" fontId="10" fillId="10" borderId="3" xfId="1" applyNumberFormat="1" applyFont="1" applyFill="1" applyBorder="1" applyAlignment="1" applyProtection="1">
      <alignment horizontal="center" vertical="center"/>
      <protection locked="0"/>
    </xf>
    <xf numFmtId="164" fontId="9" fillId="10" borderId="3" xfId="1" applyNumberFormat="1" applyFont="1" applyFill="1" applyBorder="1" applyAlignment="1" applyProtection="1">
      <alignment horizontal="center" vertical="center"/>
      <protection locked="0"/>
    </xf>
    <xf numFmtId="164" fontId="9" fillId="0" borderId="0" xfId="0" applyNumberFormat="1" applyFont="1" applyAlignment="1" applyProtection="1">
      <alignment horizontal="center" vertical="center"/>
      <protection locked="0"/>
    </xf>
    <xf numFmtId="49" fontId="3" fillId="9" borderId="3" xfId="0" applyNumberFormat="1" applyFont="1" applyFill="1" applyBorder="1" applyAlignment="1" applyProtection="1">
      <alignment horizontal="center" vertical="center"/>
      <protection locked="0"/>
    </xf>
    <xf numFmtId="0" fontId="3" fillId="9" borderId="6" xfId="0" applyFont="1" applyFill="1" applyBorder="1" applyAlignment="1" applyProtection="1">
      <alignment horizontal="left" vertical="center"/>
      <protection locked="0"/>
    </xf>
    <xf numFmtId="0" fontId="3" fillId="9" borderId="7" xfId="0" applyFont="1" applyFill="1" applyBorder="1" applyAlignment="1" applyProtection="1">
      <alignment horizontal="center" vertical="center"/>
      <protection locked="0"/>
    </xf>
    <xf numFmtId="164" fontId="2" fillId="9" borderId="3" xfId="0" applyNumberFormat="1" applyFont="1" applyFill="1" applyBorder="1" applyAlignment="1" applyProtection="1">
      <alignment horizontal="center" vertical="center"/>
      <protection locked="0"/>
    </xf>
    <xf numFmtId="164" fontId="4" fillId="9" borderId="3" xfId="0" applyNumberFormat="1" applyFont="1" applyFill="1" applyBorder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</cellXfs>
  <cellStyles count="44">
    <cellStyle name="Estilo 1" xfId="3"/>
    <cellStyle name="Estilo 2" xfId="4"/>
    <cellStyle name="Normal" xfId="0" builtinId="0"/>
    <cellStyle name="Normal 2" xfId="1"/>
    <cellStyle name="Normal 3" xfId="5"/>
    <cellStyle name="Normal 3 2" xfId="6"/>
    <cellStyle name="Normal 3 3" xfId="7"/>
    <cellStyle name="Normal 4" xfId="8"/>
    <cellStyle name="Normal 5" xfId="9"/>
    <cellStyle name="Normal_AGOSTO 97_1" xfId="2"/>
    <cellStyle name="Porcentagem 2" xfId="10"/>
    <cellStyle name="Separador de milhares 10" xfId="11"/>
    <cellStyle name="Separador de milhares 11" xfId="12"/>
    <cellStyle name="Separador de milhares 12" xfId="13"/>
    <cellStyle name="Separador de milhares 13" xfId="14"/>
    <cellStyle name="Separador de milhares 14" xfId="15"/>
    <cellStyle name="Separador de milhares 15" xfId="16"/>
    <cellStyle name="Separador de milhares 16" xfId="17"/>
    <cellStyle name="Separador de milhares 2" xfId="18"/>
    <cellStyle name="Separador de milhares 2 2" xfId="19"/>
    <cellStyle name="Separador de milhares 2 2 2" xfId="20"/>
    <cellStyle name="Separador de milhares 2 2 2 2" xfId="21"/>
    <cellStyle name="Separador de milhares 2 2 3" xfId="22"/>
    <cellStyle name="Separador de milhares 2 3" xfId="23"/>
    <cellStyle name="Separador de milhares 2 4" xfId="24"/>
    <cellStyle name="Separador de milhares 2 5" xfId="25"/>
    <cellStyle name="Separador de milhares 3" xfId="26"/>
    <cellStyle name="Separador de milhares 3 2" xfId="27"/>
    <cellStyle name="Separador de milhares 3 2 2" xfId="28"/>
    <cellStyle name="Separador de milhares 4" xfId="29"/>
    <cellStyle name="Separador de milhares 5" xfId="30"/>
    <cellStyle name="Separador de milhares 5 2" xfId="31"/>
    <cellStyle name="Separador de milhares 5 3" xfId="32"/>
    <cellStyle name="Separador de milhares 6" xfId="33"/>
    <cellStyle name="Separador de milhares 6 2" xfId="34"/>
    <cellStyle name="Separador de milhares 6 2 2" xfId="35"/>
    <cellStyle name="Separador de milhares 6 2 2 2" xfId="36"/>
    <cellStyle name="Separador de milhares 6 2 2 3" xfId="37"/>
    <cellStyle name="Separador de milhares 7" xfId="38"/>
    <cellStyle name="Separador de milhares 8" xfId="39"/>
    <cellStyle name="Separador de milhares 9" xfId="40"/>
    <cellStyle name="Separador de milhares 9 2" xfId="41"/>
    <cellStyle name="Separador de milhares 9 3" xfId="42"/>
    <cellStyle name="Título 5" xfId="4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81643</xdr:colOff>
      <xdr:row>0</xdr:row>
      <xdr:rowOff>81643</xdr:rowOff>
    </xdr:from>
    <xdr:to>
      <xdr:col>1</xdr:col>
      <xdr:colOff>47625</xdr:colOff>
      <xdr:row>0</xdr:row>
      <xdr:rowOff>405493</xdr:rowOff>
    </xdr:to>
    <xdr:pic macro="[0]!ANALITICO">
      <xdr:nvPicPr>
        <xdr:cNvPr id="2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643" y="81643"/>
          <a:ext cx="613682" cy="32385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149678</xdr:colOff>
      <xdr:row>0</xdr:row>
      <xdr:rowOff>54429</xdr:rowOff>
    </xdr:from>
    <xdr:to>
      <xdr:col>1</xdr:col>
      <xdr:colOff>774518</xdr:colOff>
      <xdr:row>0</xdr:row>
      <xdr:rowOff>450669</xdr:rowOff>
    </xdr:to>
    <xdr:pic macro="[0]!SINTETICO"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97378" y="54429"/>
          <a:ext cx="624840" cy="3962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2.004/Fluxos/JUNHO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ND"/>
      <sheetName val="TECLAS DE MACROS"/>
      <sheetName val="Plan2"/>
      <sheetName val="ACUMULADO"/>
      <sheetName val="PAGAMENTOS"/>
      <sheetName val="NUMERAÇÃO BORDEROS"/>
      <sheetName val="CONTAS"/>
      <sheetName val="BORDERO"/>
      <sheetName val="RESUMO"/>
      <sheetName val="GESTAO"/>
      <sheetName val="ESPOLIO"/>
      <sheetName val="VLP"/>
      <sheetName val="SISTEMA"/>
      <sheetName val="FUNCOR I"/>
      <sheetName val="FUNCOR II"/>
      <sheetName val="MODERNIZAÇÃO"/>
      <sheetName val="PARADAS"/>
      <sheetName val="VIA LIVRE"/>
      <sheetName val="BILHETE UNICO"/>
      <sheetName val="CPMF"/>
      <sheetName val="PENDÊNCIAS DÉBITO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BORDERO</v>
          </cell>
        </row>
        <row r="6">
          <cell r="A6">
            <v>5849</v>
          </cell>
          <cell r="B6">
            <v>5700</v>
          </cell>
          <cell r="C6">
            <v>37774</v>
          </cell>
          <cell r="D6" t="str">
            <v>DIVERSOS</v>
          </cell>
          <cell r="E6" t="str">
            <v>SISTEMA</v>
          </cell>
          <cell r="F6" t="str">
            <v>ASSUNÇÃO - AMERICA DO SUL                  5700</v>
          </cell>
          <cell r="G6">
            <v>4</v>
          </cell>
        </row>
        <row r="9">
          <cell r="A9">
            <v>5850</v>
          </cell>
          <cell r="B9">
            <v>55</v>
          </cell>
          <cell r="C9">
            <v>37775</v>
          </cell>
          <cell r="D9" t="str">
            <v>ELETROPAULO</v>
          </cell>
          <cell r="E9" t="str">
            <v>ESPOLIO</v>
          </cell>
          <cell r="F9" t="str">
            <v>ENERGIA TRAÇÃO</v>
          </cell>
          <cell r="G9">
            <v>2</v>
          </cell>
        </row>
        <row r="10">
          <cell r="A10">
            <v>5851</v>
          </cell>
          <cell r="B10">
            <v>5700</v>
          </cell>
          <cell r="C10">
            <v>37775</v>
          </cell>
          <cell r="D10" t="str">
            <v>DIVERSOS</v>
          </cell>
          <cell r="E10" t="str">
            <v>SISTEMA</v>
          </cell>
          <cell r="F10" t="str">
            <v>ASSUNÇÃO - AMERICA DO SUL                  5700</v>
          </cell>
          <cell r="G10">
            <v>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5"/>
  <dimension ref="A1:Z254"/>
  <sheetViews>
    <sheetView showGridLines="0" tabSelected="1" zoomScale="65" zoomScaleNormal="65" workbookViewId="0">
      <pane xSplit="5" ySplit="4" topLeftCell="W5" activePane="bottomRight" state="frozen"/>
      <selection activeCell="D163" sqref="D163:E163"/>
      <selection pane="topRight" activeCell="D163" sqref="D163:E163"/>
      <selection pane="bottomLeft" activeCell="D163" sqref="D163:E163"/>
      <selection pane="bottomRight" activeCell="X1" sqref="X1"/>
    </sheetView>
  </sheetViews>
  <sheetFormatPr defaultRowHeight="20.25"/>
  <cols>
    <col min="1" max="1" width="9.7109375" style="6" customWidth="1"/>
    <col min="2" max="2" width="12" style="1" bestFit="1" customWidth="1"/>
    <col min="3" max="3" width="18.7109375" style="115" customWidth="1"/>
    <col min="4" max="4" width="17.42578125" style="26" customWidth="1"/>
    <col min="5" max="5" width="93.140625" style="26" customWidth="1"/>
    <col min="6" max="6" width="24.7109375" style="101" customWidth="1"/>
    <col min="7" max="7" width="24.7109375" style="6" customWidth="1"/>
    <col min="8" max="8" width="22.7109375" style="6" customWidth="1"/>
    <col min="9" max="9" width="23.28515625" style="6" customWidth="1"/>
    <col min="10" max="10" width="22.42578125" style="6" customWidth="1"/>
    <col min="11" max="11" width="22.85546875" style="6" customWidth="1"/>
    <col min="12" max="12" width="23.140625" style="6" customWidth="1"/>
    <col min="13" max="13" width="22.42578125" style="6" customWidth="1"/>
    <col min="14" max="14" width="22.28515625" style="6" customWidth="1"/>
    <col min="15" max="15" width="22.85546875" style="6" customWidth="1"/>
    <col min="16" max="16" width="22.28515625" style="6" customWidth="1"/>
    <col min="17" max="17" width="22.5703125" style="6" customWidth="1"/>
    <col min="18" max="19" width="22.140625" style="6" customWidth="1"/>
    <col min="20" max="20" width="24.140625" style="6" customWidth="1"/>
    <col min="21" max="23" width="22.42578125" style="6" customWidth="1"/>
    <col min="24" max="24" width="24" style="6" customWidth="1"/>
    <col min="25" max="25" width="23.42578125" style="26" customWidth="1"/>
    <col min="26" max="30" width="9.140625" style="6" customWidth="1"/>
    <col min="31" max="16384" width="9.140625" style="6"/>
  </cols>
  <sheetData>
    <row r="1" spans="2:25" ht="45" customHeight="1">
      <c r="C1" s="2"/>
      <c r="D1" s="3"/>
      <c r="E1" s="3"/>
      <c r="F1" s="4" t="s">
        <v>226</v>
      </c>
      <c r="G1" s="4" t="s">
        <v>226</v>
      </c>
      <c r="H1" s="4" t="s">
        <v>226</v>
      </c>
      <c r="I1" s="4" t="s">
        <v>226</v>
      </c>
      <c r="J1" s="4" t="s">
        <v>226</v>
      </c>
      <c r="K1" s="4" t="s">
        <v>226</v>
      </c>
      <c r="L1" s="4" t="s">
        <v>226</v>
      </c>
      <c r="M1" s="4" t="s">
        <v>226</v>
      </c>
      <c r="N1" s="4" t="s">
        <v>226</v>
      </c>
      <c r="O1" s="4" t="s">
        <v>226</v>
      </c>
      <c r="P1" s="4" t="s">
        <v>226</v>
      </c>
      <c r="Q1" s="4" t="s">
        <v>226</v>
      </c>
      <c r="R1" s="4" t="s">
        <v>226</v>
      </c>
      <c r="S1" s="4" t="s">
        <v>226</v>
      </c>
      <c r="T1" s="4" t="s">
        <v>226</v>
      </c>
      <c r="U1" s="4" t="s">
        <v>226</v>
      </c>
      <c r="V1" s="4" t="s">
        <v>226</v>
      </c>
      <c r="W1" s="4" t="s">
        <v>226</v>
      </c>
      <c r="X1" s="4" t="s">
        <v>226</v>
      </c>
      <c r="Y1" s="5" t="s">
        <v>0</v>
      </c>
    </row>
    <row r="2" spans="2:25" s="1" customFormat="1" ht="35.1" customHeight="1">
      <c r="B2" s="1" t="s">
        <v>1</v>
      </c>
      <c r="C2" s="7"/>
      <c r="D2" s="8" t="s">
        <v>2</v>
      </c>
      <c r="E2" s="9"/>
      <c r="F2" s="10" t="s">
        <v>3</v>
      </c>
      <c r="G2" s="11">
        <v>43132</v>
      </c>
      <c r="H2" s="11">
        <v>43133</v>
      </c>
      <c r="I2" s="11">
        <v>43136</v>
      </c>
      <c r="J2" s="11">
        <v>43137</v>
      </c>
      <c r="K2" s="11">
        <v>43138</v>
      </c>
      <c r="L2" s="11">
        <v>43139</v>
      </c>
      <c r="M2" s="11">
        <v>43140</v>
      </c>
      <c r="N2" s="11">
        <v>43145</v>
      </c>
      <c r="O2" s="11">
        <v>43146</v>
      </c>
      <c r="P2" s="11">
        <v>43147</v>
      </c>
      <c r="Q2" s="11">
        <v>43150</v>
      </c>
      <c r="R2" s="11">
        <v>43151</v>
      </c>
      <c r="S2" s="11">
        <v>43152</v>
      </c>
      <c r="T2" s="11">
        <v>43153</v>
      </c>
      <c r="U2" s="11">
        <v>43154</v>
      </c>
      <c r="V2" s="11">
        <v>43157</v>
      </c>
      <c r="W2" s="11">
        <v>43158</v>
      </c>
      <c r="X2" s="11">
        <v>43159</v>
      </c>
      <c r="Y2" s="12" t="s">
        <v>4</v>
      </c>
    </row>
    <row r="3" spans="2:25" s="1" customFormat="1" ht="35.1" customHeight="1">
      <c r="B3" s="1" t="s">
        <v>1</v>
      </c>
      <c r="C3" s="7"/>
      <c r="D3" s="13">
        <v>43132</v>
      </c>
      <c r="E3" s="14"/>
      <c r="F3" s="15">
        <v>43101</v>
      </c>
      <c r="G3" s="16" t="str">
        <f t="shared" ref="G3:X3" si="0">TEXT(G2,"ddd")</f>
        <v>qui</v>
      </c>
      <c r="H3" s="16" t="str">
        <f t="shared" si="0"/>
        <v>sex</v>
      </c>
      <c r="I3" s="16" t="str">
        <f t="shared" si="0"/>
        <v>seg</v>
      </c>
      <c r="J3" s="16" t="str">
        <f t="shared" si="0"/>
        <v>ter</v>
      </c>
      <c r="K3" s="16" t="str">
        <f t="shared" si="0"/>
        <v>qua</v>
      </c>
      <c r="L3" s="16" t="str">
        <f t="shared" si="0"/>
        <v>qui</v>
      </c>
      <c r="M3" s="16" t="str">
        <f t="shared" si="0"/>
        <v>sex</v>
      </c>
      <c r="N3" s="16" t="str">
        <f t="shared" si="0"/>
        <v>qua</v>
      </c>
      <c r="O3" s="16" t="str">
        <f t="shared" si="0"/>
        <v>qui</v>
      </c>
      <c r="P3" s="16" t="str">
        <f t="shared" si="0"/>
        <v>sex</v>
      </c>
      <c r="Q3" s="16" t="str">
        <f t="shared" si="0"/>
        <v>seg</v>
      </c>
      <c r="R3" s="16" t="str">
        <f t="shared" si="0"/>
        <v>ter</v>
      </c>
      <c r="S3" s="16" t="str">
        <f t="shared" si="0"/>
        <v>qua</v>
      </c>
      <c r="T3" s="16" t="str">
        <f t="shared" si="0"/>
        <v>qui</v>
      </c>
      <c r="U3" s="16" t="str">
        <f t="shared" si="0"/>
        <v>sex</v>
      </c>
      <c r="V3" s="16" t="str">
        <f t="shared" si="0"/>
        <v>seg</v>
      </c>
      <c r="W3" s="16" t="str">
        <f t="shared" si="0"/>
        <v>ter</v>
      </c>
      <c r="X3" s="16" t="str">
        <f t="shared" si="0"/>
        <v>qua</v>
      </c>
      <c r="Y3" s="17">
        <f>+D3</f>
        <v>43132</v>
      </c>
    </row>
    <row r="4" spans="2:25" s="1" customFormat="1" ht="35.1" customHeight="1">
      <c r="B4" s="1" t="s">
        <v>1</v>
      </c>
      <c r="C4" s="18"/>
      <c r="D4" s="18"/>
      <c r="E4" s="18"/>
      <c r="F4" s="19"/>
      <c r="G4" s="20" t="s">
        <v>227</v>
      </c>
      <c r="H4" s="20" t="s">
        <v>227</v>
      </c>
      <c r="I4" s="20" t="s">
        <v>227</v>
      </c>
      <c r="J4" s="20" t="s">
        <v>227</v>
      </c>
      <c r="K4" s="20" t="s">
        <v>227</v>
      </c>
      <c r="L4" s="20" t="s">
        <v>227</v>
      </c>
      <c r="M4" s="20" t="s">
        <v>227</v>
      </c>
      <c r="N4" s="20" t="s">
        <v>227</v>
      </c>
      <c r="O4" s="20" t="s">
        <v>227</v>
      </c>
      <c r="P4" s="20" t="s">
        <v>227</v>
      </c>
      <c r="Q4" s="20" t="s">
        <v>227</v>
      </c>
      <c r="R4" s="20" t="s">
        <v>227</v>
      </c>
      <c r="S4" s="20" t="s">
        <v>227</v>
      </c>
      <c r="T4" s="20" t="s">
        <v>227</v>
      </c>
      <c r="U4" s="20" t="s">
        <v>227</v>
      </c>
      <c r="V4" s="20" t="s">
        <v>227</v>
      </c>
      <c r="W4" s="20" t="s">
        <v>227</v>
      </c>
      <c r="X4" s="20" t="s">
        <v>227</v>
      </c>
      <c r="Y4" s="20" t="str">
        <f>+X4</f>
        <v>REALIZADO</v>
      </c>
    </row>
    <row r="5" spans="2:25" s="26" customFormat="1" ht="35.1" customHeight="1">
      <c r="B5" s="21" t="s">
        <v>1</v>
      </c>
      <c r="C5" s="22" t="s">
        <v>5</v>
      </c>
      <c r="D5" s="23" t="s">
        <v>6</v>
      </c>
      <c r="E5" s="24"/>
      <c r="F5" s="25">
        <v>0</v>
      </c>
      <c r="G5" s="25">
        <f t="shared" ref="G5:X5" si="1">+F108</f>
        <v>3575348.9860000648</v>
      </c>
      <c r="H5" s="25">
        <f t="shared" si="1"/>
        <v>2367702.9260000647</v>
      </c>
      <c r="I5" s="25">
        <f t="shared" si="1"/>
        <v>13505606.746000066</v>
      </c>
      <c r="J5" s="25">
        <f t="shared" si="1"/>
        <v>11938232.936000066</v>
      </c>
      <c r="K5" s="25">
        <f t="shared" si="1"/>
        <v>11902809.866000066</v>
      </c>
      <c r="L5" s="25">
        <f t="shared" si="1"/>
        <v>9948456.4060000665</v>
      </c>
      <c r="M5" s="25">
        <f t="shared" si="1"/>
        <v>9808326.9460000657</v>
      </c>
      <c r="N5" s="25">
        <f t="shared" si="1"/>
        <v>9447422.5860000663</v>
      </c>
      <c r="O5" s="25">
        <f t="shared" si="1"/>
        <v>5341458.4660000671</v>
      </c>
      <c r="P5" s="25">
        <f t="shared" si="1"/>
        <v>5029133.346000067</v>
      </c>
      <c r="Q5" s="25">
        <f t="shared" si="1"/>
        <v>6709911.4960000673</v>
      </c>
      <c r="R5" s="25">
        <f t="shared" si="1"/>
        <v>13034187.436000068</v>
      </c>
      <c r="S5" s="25">
        <f t="shared" si="1"/>
        <v>7785829.4960000673</v>
      </c>
      <c r="T5" s="25">
        <f t="shared" si="1"/>
        <v>7595846.386000067</v>
      </c>
      <c r="U5" s="25">
        <f t="shared" si="1"/>
        <v>7632178.8960000668</v>
      </c>
      <c r="V5" s="25">
        <f t="shared" si="1"/>
        <v>7909145.0460000662</v>
      </c>
      <c r="W5" s="25">
        <f t="shared" si="1"/>
        <v>14263161.306000065</v>
      </c>
      <c r="X5" s="25">
        <f t="shared" si="1"/>
        <v>9367787.9460000638</v>
      </c>
      <c r="Y5" s="25">
        <f>+G5</f>
        <v>3575348.9860000648</v>
      </c>
    </row>
    <row r="6" spans="2:25" s="30" customFormat="1" ht="35.1" customHeight="1">
      <c r="B6" s="21" t="s">
        <v>1</v>
      </c>
      <c r="C6" s="22" t="s">
        <v>7</v>
      </c>
      <c r="D6" s="27" t="s">
        <v>8</v>
      </c>
      <c r="E6" s="28"/>
      <c r="F6" s="29">
        <f>+F7+F8+F9+F10</f>
        <v>0</v>
      </c>
      <c r="G6" s="29">
        <f t="shared" ref="G6:Y6" si="2">+G7+G8+G9+G10</f>
        <v>12727.99</v>
      </c>
      <c r="H6" s="29">
        <f t="shared" si="2"/>
        <v>2262740.2199999997</v>
      </c>
      <c r="I6" s="29">
        <f t="shared" si="2"/>
        <v>16782.489999999998</v>
      </c>
      <c r="J6" s="29">
        <f t="shared" si="2"/>
        <v>20014.23</v>
      </c>
      <c r="K6" s="29">
        <f t="shared" si="2"/>
        <v>1325609.6299999999</v>
      </c>
      <c r="L6" s="29">
        <f t="shared" si="2"/>
        <v>8568.16</v>
      </c>
      <c r="M6" s="29">
        <f t="shared" si="2"/>
        <v>19227.32</v>
      </c>
      <c r="N6" s="29">
        <f t="shared" si="2"/>
        <v>619325.77</v>
      </c>
      <c r="O6" s="29">
        <f t="shared" si="2"/>
        <v>27238.66</v>
      </c>
      <c r="P6" s="29">
        <f t="shared" si="2"/>
        <v>1892018.9900000002</v>
      </c>
      <c r="Q6" s="29">
        <f t="shared" si="2"/>
        <v>64218.54</v>
      </c>
      <c r="R6" s="29">
        <f t="shared" si="2"/>
        <v>27455.38</v>
      </c>
      <c r="S6" s="29">
        <f t="shared" si="2"/>
        <v>48241.919999999998</v>
      </c>
      <c r="T6" s="29">
        <f t="shared" si="2"/>
        <v>28865.53</v>
      </c>
      <c r="U6" s="29">
        <f t="shared" si="2"/>
        <v>1607540.8699999999</v>
      </c>
      <c r="V6" s="29">
        <f t="shared" si="2"/>
        <v>9535.91</v>
      </c>
      <c r="W6" s="29">
        <f t="shared" si="2"/>
        <v>15912.8</v>
      </c>
      <c r="X6" s="29">
        <f t="shared" si="2"/>
        <v>-36658.800000000003</v>
      </c>
      <c r="Y6" s="29">
        <f t="shared" si="2"/>
        <v>7969365.6099999994</v>
      </c>
    </row>
    <row r="7" spans="2:25" ht="35.1" customHeight="1">
      <c r="B7" s="21" t="s">
        <v>1</v>
      </c>
      <c r="C7" s="31">
        <v>816</v>
      </c>
      <c r="D7" s="32" t="s">
        <v>9</v>
      </c>
      <c r="E7" s="33"/>
      <c r="F7" s="34"/>
      <c r="G7" s="34">
        <v>8450.66</v>
      </c>
      <c r="H7" s="34">
        <v>11523.63</v>
      </c>
      <c r="I7" s="34">
        <v>3841.21</v>
      </c>
      <c r="J7" s="34">
        <v>3841.21</v>
      </c>
      <c r="K7" s="34">
        <v>3840.75</v>
      </c>
      <c r="L7" s="34">
        <v>4252.75</v>
      </c>
      <c r="M7" s="34">
        <v>12758.25</v>
      </c>
      <c r="N7" s="34">
        <v>4252.75</v>
      </c>
      <c r="O7" s="34">
        <v>4252.75</v>
      </c>
      <c r="P7" s="34">
        <v>4252.75</v>
      </c>
      <c r="Q7" s="34">
        <v>4252.75</v>
      </c>
      <c r="R7" s="34">
        <v>21263.75</v>
      </c>
      <c r="S7" s="34">
        <v>4252.75</v>
      </c>
      <c r="T7" s="34">
        <v>4252.75</v>
      </c>
      <c r="U7" s="34">
        <v>12758.25</v>
      </c>
      <c r="V7" s="34">
        <v>4252.75</v>
      </c>
      <c r="W7" s="34">
        <v>4252.75</v>
      </c>
      <c r="X7" s="34">
        <v>4252.75</v>
      </c>
      <c r="Y7" s="35">
        <f>SUM(G7:X7)</f>
        <v>120805.20999999999</v>
      </c>
    </row>
    <row r="8" spans="2:25" ht="35.1" customHeight="1">
      <c r="B8" s="21" t="s">
        <v>1</v>
      </c>
      <c r="C8" s="31">
        <v>822</v>
      </c>
      <c r="D8" s="32" t="s">
        <v>10</v>
      </c>
      <c r="E8" s="33"/>
      <c r="F8" s="34"/>
      <c r="G8" s="34">
        <v>0</v>
      </c>
      <c r="H8" s="34">
        <v>0</v>
      </c>
      <c r="I8" s="34">
        <v>0</v>
      </c>
      <c r="J8" s="34">
        <v>0</v>
      </c>
      <c r="K8" s="34">
        <v>0</v>
      </c>
      <c r="L8" s="34">
        <v>0</v>
      </c>
      <c r="M8" s="34">
        <v>0</v>
      </c>
      <c r="N8" s="34">
        <v>0</v>
      </c>
      <c r="O8" s="34">
        <v>0</v>
      </c>
      <c r="P8" s="34">
        <v>0</v>
      </c>
      <c r="Q8" s="34">
        <v>0</v>
      </c>
      <c r="R8" s="34">
        <v>0</v>
      </c>
      <c r="S8" s="34">
        <v>0</v>
      </c>
      <c r="T8" s="34">
        <v>0</v>
      </c>
      <c r="U8" s="34">
        <v>0</v>
      </c>
      <c r="V8" s="34">
        <v>0</v>
      </c>
      <c r="W8" s="34">
        <v>0</v>
      </c>
      <c r="X8" s="34">
        <v>0</v>
      </c>
      <c r="Y8" s="35">
        <f>SUM(G8:X8)</f>
        <v>0</v>
      </c>
    </row>
    <row r="9" spans="2:25" ht="35.1" customHeight="1">
      <c r="B9" s="21" t="s">
        <v>1</v>
      </c>
      <c r="C9" s="31">
        <v>835</v>
      </c>
      <c r="D9" s="32" t="s">
        <v>11</v>
      </c>
      <c r="E9" s="33"/>
      <c r="F9" s="34"/>
      <c r="G9" s="34">
        <v>3680.8</v>
      </c>
      <c r="H9" s="34">
        <v>2656</v>
      </c>
      <c r="I9" s="34">
        <v>1588</v>
      </c>
      <c r="J9" s="34">
        <v>5340</v>
      </c>
      <c r="K9" s="34">
        <v>2124</v>
      </c>
      <c r="L9" s="34">
        <v>2680</v>
      </c>
      <c r="M9" s="34">
        <v>2696</v>
      </c>
      <c r="N9" s="34">
        <v>2796</v>
      </c>
      <c r="O9" s="34">
        <v>9396</v>
      </c>
      <c r="P9" s="34">
        <v>2548</v>
      </c>
      <c r="Q9" s="34">
        <v>2460</v>
      </c>
      <c r="R9" s="34">
        <v>4820</v>
      </c>
      <c r="S9" s="34">
        <v>2624</v>
      </c>
      <c r="T9" s="34">
        <v>2964</v>
      </c>
      <c r="U9" s="34">
        <v>2700</v>
      </c>
      <c r="V9" s="34">
        <v>2700</v>
      </c>
      <c r="W9" s="34">
        <v>5888</v>
      </c>
      <c r="X9" s="34">
        <v>98517.2</v>
      </c>
      <c r="Y9" s="35">
        <f>SUM(G9:X9)</f>
        <v>158178</v>
      </c>
    </row>
    <row r="10" spans="2:25" s="30" customFormat="1" ht="35.1" customHeight="1">
      <c r="B10" s="21" t="s">
        <v>1</v>
      </c>
      <c r="C10" s="22"/>
      <c r="D10" s="27" t="s">
        <v>12</v>
      </c>
      <c r="E10" s="28"/>
      <c r="F10" s="29">
        <f t="shared" ref="F10:Y10" si="3">SUM(F11:F24)</f>
        <v>0</v>
      </c>
      <c r="G10" s="29">
        <f t="shared" si="3"/>
        <v>596.53</v>
      </c>
      <c r="H10" s="29">
        <f t="shared" si="3"/>
        <v>2248560.59</v>
      </c>
      <c r="I10" s="29">
        <f t="shared" si="3"/>
        <v>11353.279999999999</v>
      </c>
      <c r="J10" s="29">
        <f t="shared" si="3"/>
        <v>10833.02</v>
      </c>
      <c r="K10" s="29">
        <f t="shared" si="3"/>
        <v>1319644.8799999999</v>
      </c>
      <c r="L10" s="29">
        <f t="shared" si="3"/>
        <v>1635.4099999999999</v>
      </c>
      <c r="M10" s="29">
        <f t="shared" si="3"/>
        <v>3773.07</v>
      </c>
      <c r="N10" s="29">
        <f t="shared" si="3"/>
        <v>612277.02</v>
      </c>
      <c r="O10" s="29">
        <f t="shared" si="3"/>
        <v>13589.91</v>
      </c>
      <c r="P10" s="29">
        <f t="shared" si="3"/>
        <v>1885218.2400000002</v>
      </c>
      <c r="Q10" s="29">
        <f t="shared" si="3"/>
        <v>57505.79</v>
      </c>
      <c r="R10" s="29">
        <f t="shared" si="3"/>
        <v>1371.63</v>
      </c>
      <c r="S10" s="29">
        <f t="shared" si="3"/>
        <v>41365.17</v>
      </c>
      <c r="T10" s="29">
        <f t="shared" si="3"/>
        <v>21648.78</v>
      </c>
      <c r="U10" s="29">
        <f t="shared" si="3"/>
        <v>1592082.6199999999</v>
      </c>
      <c r="V10" s="29">
        <f t="shared" si="3"/>
        <v>2583.16</v>
      </c>
      <c r="W10" s="29">
        <f t="shared" si="3"/>
        <v>5772.05</v>
      </c>
      <c r="X10" s="29">
        <f t="shared" si="3"/>
        <v>-139428.75</v>
      </c>
      <c r="Y10" s="29">
        <f t="shared" si="3"/>
        <v>7690382.3999999994</v>
      </c>
    </row>
    <row r="11" spans="2:25" ht="35.1" customHeight="1">
      <c r="B11" s="1" t="s">
        <v>1</v>
      </c>
      <c r="C11" s="36">
        <v>804</v>
      </c>
      <c r="D11" s="37" t="s">
        <v>13</v>
      </c>
      <c r="E11" s="38"/>
      <c r="F11" s="39">
        <v>0</v>
      </c>
      <c r="G11" s="39">
        <v>512.9</v>
      </c>
      <c r="H11" s="39">
        <v>438.4</v>
      </c>
      <c r="I11" s="39">
        <v>716.31</v>
      </c>
      <c r="J11" s="39">
        <v>645.46</v>
      </c>
      <c r="K11" s="39">
        <v>741.09</v>
      </c>
      <c r="L11" s="39">
        <v>722.91</v>
      </c>
      <c r="M11" s="39">
        <v>862.75</v>
      </c>
      <c r="N11" s="39">
        <v>2120.19</v>
      </c>
      <c r="O11" s="39">
        <v>676.79</v>
      </c>
      <c r="P11" s="39">
        <v>610.85</v>
      </c>
      <c r="Q11" s="39">
        <v>1254.51</v>
      </c>
      <c r="R11" s="39">
        <v>858.5</v>
      </c>
      <c r="S11" s="39">
        <v>371.81</v>
      </c>
      <c r="T11" s="39">
        <v>418.11</v>
      </c>
      <c r="U11" s="39">
        <v>547.83000000000004</v>
      </c>
      <c r="V11" s="39">
        <v>1209.1600000000001</v>
      </c>
      <c r="W11" s="39">
        <v>839.71</v>
      </c>
      <c r="X11" s="39">
        <v>644.04999999999995</v>
      </c>
      <c r="Y11" s="40">
        <f t="shared" ref="Y11:Y24" si="4">SUM(G11:X11)</f>
        <v>14191.329999999998</v>
      </c>
    </row>
    <row r="12" spans="2:25" ht="35.1" customHeight="1">
      <c r="B12" s="1" t="s">
        <v>1</v>
      </c>
      <c r="C12" s="36" t="s">
        <v>14</v>
      </c>
      <c r="D12" s="37" t="s">
        <v>15</v>
      </c>
      <c r="E12" s="38"/>
      <c r="F12" s="39">
        <v>0</v>
      </c>
      <c r="G12" s="39">
        <f>+G240</f>
        <v>83.63</v>
      </c>
      <c r="H12" s="39">
        <f>+H240+50</f>
        <v>596.76000000000931</v>
      </c>
      <c r="I12" s="39">
        <f>+I240+439.96</f>
        <v>471.11999999999898</v>
      </c>
      <c r="J12" s="39">
        <f>+J240+87.16</f>
        <v>337.16000000000076</v>
      </c>
      <c r="K12" s="39">
        <f>+K240</f>
        <v>141.83000000000038</v>
      </c>
      <c r="L12" s="39">
        <f>+L240+200</f>
        <v>912.5</v>
      </c>
      <c r="M12" s="39">
        <f>+M240</f>
        <v>476.33000000000038</v>
      </c>
      <c r="N12" s="39">
        <f>+N240+259.89</f>
        <v>11586.81</v>
      </c>
      <c r="O12" s="39">
        <f>+O240</f>
        <v>0</v>
      </c>
      <c r="P12" s="39">
        <f>+P240</f>
        <v>0</v>
      </c>
      <c r="Q12" s="39">
        <f>+Q240+152.45</f>
        <v>664.22000000000412</v>
      </c>
      <c r="R12" s="41">
        <f>+R240+181.34-181.34</f>
        <v>513.13</v>
      </c>
      <c r="S12" s="39">
        <f>+S240</f>
        <v>100</v>
      </c>
      <c r="T12" s="39">
        <f>+T240</f>
        <v>613.5199999999968</v>
      </c>
      <c r="U12" s="39">
        <f>+U240</f>
        <v>104.06999999999971</v>
      </c>
      <c r="V12" s="39">
        <f>+V240</f>
        <v>0</v>
      </c>
      <c r="W12" s="39">
        <f>+W240</f>
        <v>4932.34</v>
      </c>
      <c r="X12" s="39">
        <f>+X240+24602.91</f>
        <v>25594.22</v>
      </c>
      <c r="Y12" s="40">
        <f t="shared" si="4"/>
        <v>47127.640000000014</v>
      </c>
    </row>
    <row r="13" spans="2:25" ht="35.1" customHeight="1">
      <c r="B13" s="1" t="s">
        <v>1</v>
      </c>
      <c r="C13" s="36">
        <v>806</v>
      </c>
      <c r="D13" s="37" t="s">
        <v>16</v>
      </c>
      <c r="E13" s="38"/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0</v>
      </c>
      <c r="P13" s="39">
        <v>0</v>
      </c>
      <c r="Q13" s="39">
        <v>0</v>
      </c>
      <c r="R13" s="39">
        <v>0</v>
      </c>
      <c r="S13" s="39">
        <v>0</v>
      </c>
      <c r="T13" s="39">
        <v>0</v>
      </c>
      <c r="U13" s="39">
        <v>0</v>
      </c>
      <c r="V13" s="39">
        <v>0</v>
      </c>
      <c r="W13" s="39">
        <v>0</v>
      </c>
      <c r="X13" s="39">
        <v>0</v>
      </c>
      <c r="Y13" s="40">
        <f t="shared" si="4"/>
        <v>0</v>
      </c>
    </row>
    <row r="14" spans="2:25" ht="35.1" customHeight="1">
      <c r="B14" s="1" t="s">
        <v>1</v>
      </c>
      <c r="C14" s="36">
        <v>810</v>
      </c>
      <c r="D14" s="37" t="s">
        <v>17</v>
      </c>
      <c r="E14" s="38"/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T14" s="39">
        <v>0</v>
      </c>
      <c r="U14" s="39">
        <v>0</v>
      </c>
      <c r="V14" s="39">
        <v>0</v>
      </c>
      <c r="W14" s="39">
        <v>0</v>
      </c>
      <c r="X14" s="39">
        <v>0</v>
      </c>
      <c r="Y14" s="40">
        <f t="shared" si="4"/>
        <v>0</v>
      </c>
    </row>
    <row r="15" spans="2:25" ht="35.1" customHeight="1">
      <c r="B15" s="1" t="s">
        <v>1</v>
      </c>
      <c r="C15" s="36">
        <v>811</v>
      </c>
      <c r="D15" s="37" t="s">
        <v>18</v>
      </c>
      <c r="E15" s="38"/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0</v>
      </c>
      <c r="Q15" s="39">
        <v>0</v>
      </c>
      <c r="R15" s="39">
        <v>0</v>
      </c>
      <c r="S15" s="39">
        <v>0</v>
      </c>
      <c r="T15" s="39">
        <v>19930.150000000001</v>
      </c>
      <c r="U15" s="39">
        <v>0</v>
      </c>
      <c r="V15" s="39">
        <v>0</v>
      </c>
      <c r="W15" s="39">
        <v>0</v>
      </c>
      <c r="X15" s="39">
        <v>0</v>
      </c>
      <c r="Y15" s="40">
        <f t="shared" si="4"/>
        <v>19930.150000000001</v>
      </c>
    </row>
    <row r="16" spans="2:25" ht="35.1" customHeight="1">
      <c r="B16" s="1" t="s">
        <v>1</v>
      </c>
      <c r="C16" s="36">
        <v>813</v>
      </c>
      <c r="D16" s="37" t="s">
        <v>19</v>
      </c>
      <c r="E16" s="38"/>
      <c r="F16" s="39">
        <v>0</v>
      </c>
      <c r="G16" s="39">
        <v>0</v>
      </c>
      <c r="H16" s="39">
        <v>0</v>
      </c>
      <c r="I16" s="39">
        <v>8791.85</v>
      </c>
      <c r="J16" s="39">
        <v>7639.4</v>
      </c>
      <c r="K16" s="39">
        <v>3889.69</v>
      </c>
      <c r="L16" s="39">
        <v>0</v>
      </c>
      <c r="M16" s="39">
        <v>2433.9899999999998</v>
      </c>
      <c r="N16" s="39">
        <v>0</v>
      </c>
      <c r="O16" s="39">
        <v>12913.12</v>
      </c>
      <c r="P16" s="39">
        <v>7744.88</v>
      </c>
      <c r="Q16" s="39">
        <v>0</v>
      </c>
      <c r="R16" s="39">
        <v>0</v>
      </c>
      <c r="S16" s="39">
        <v>0</v>
      </c>
      <c r="T16" s="39">
        <v>0</v>
      </c>
      <c r="U16" s="39">
        <v>2777.5299999999997</v>
      </c>
      <c r="V16" s="39">
        <v>0</v>
      </c>
      <c r="W16" s="39">
        <v>0</v>
      </c>
      <c r="X16" s="39">
        <v>0</v>
      </c>
      <c r="Y16" s="40">
        <f t="shared" si="4"/>
        <v>46190.46</v>
      </c>
    </row>
    <row r="17" spans="2:25" ht="35.1" customHeight="1">
      <c r="B17" s="1" t="s">
        <v>1</v>
      </c>
      <c r="C17" s="36">
        <v>814</v>
      </c>
      <c r="D17" s="37" t="s">
        <v>20</v>
      </c>
      <c r="E17" s="38"/>
      <c r="F17" s="39">
        <v>0</v>
      </c>
      <c r="G17" s="39">
        <v>0</v>
      </c>
      <c r="H17" s="39">
        <v>0</v>
      </c>
      <c r="I17" s="39">
        <v>0</v>
      </c>
      <c r="J17" s="39">
        <v>2211</v>
      </c>
      <c r="K17" s="39">
        <v>2835.29</v>
      </c>
      <c r="L17" s="39">
        <v>0</v>
      </c>
      <c r="M17" s="39">
        <v>0</v>
      </c>
      <c r="N17" s="39">
        <v>0</v>
      </c>
      <c r="O17" s="39">
        <v>0</v>
      </c>
      <c r="P17" s="39">
        <v>18712.349999999999</v>
      </c>
      <c r="Q17" s="39">
        <v>55587.06</v>
      </c>
      <c r="R17" s="39">
        <v>0</v>
      </c>
      <c r="S17" s="39">
        <v>0</v>
      </c>
      <c r="T17" s="39">
        <v>0</v>
      </c>
      <c r="U17" s="39">
        <v>0</v>
      </c>
      <c r="V17" s="39">
        <v>0</v>
      </c>
      <c r="W17" s="39">
        <v>0</v>
      </c>
      <c r="X17" s="39">
        <v>0</v>
      </c>
      <c r="Y17" s="40">
        <f t="shared" si="4"/>
        <v>79345.7</v>
      </c>
    </row>
    <row r="18" spans="2:25" ht="35.1" customHeight="1">
      <c r="B18" s="1" t="s">
        <v>1</v>
      </c>
      <c r="C18" s="36">
        <v>817</v>
      </c>
      <c r="D18" s="37" t="s">
        <v>21</v>
      </c>
      <c r="E18" s="38"/>
      <c r="F18" s="39">
        <v>0</v>
      </c>
      <c r="G18" s="39">
        <v>0</v>
      </c>
      <c r="H18" s="39">
        <v>493.5</v>
      </c>
      <c r="I18" s="39">
        <v>1374</v>
      </c>
      <c r="J18" s="39">
        <v>0</v>
      </c>
      <c r="K18" s="39">
        <v>0</v>
      </c>
      <c r="L18" s="39">
        <v>0</v>
      </c>
      <c r="M18" s="39">
        <v>0</v>
      </c>
      <c r="N18" s="39">
        <v>493.5</v>
      </c>
      <c r="O18" s="39">
        <v>0</v>
      </c>
      <c r="P18" s="39">
        <v>0</v>
      </c>
      <c r="Q18" s="39">
        <v>0</v>
      </c>
      <c r="R18" s="39">
        <v>0</v>
      </c>
      <c r="S18" s="39">
        <v>0</v>
      </c>
      <c r="T18" s="39">
        <v>687</v>
      </c>
      <c r="U18" s="39">
        <v>880.5</v>
      </c>
      <c r="V18" s="39">
        <v>1374</v>
      </c>
      <c r="W18" s="39">
        <v>0</v>
      </c>
      <c r="X18" s="39">
        <v>0</v>
      </c>
      <c r="Y18" s="40">
        <f t="shared" si="4"/>
        <v>5302.5</v>
      </c>
    </row>
    <row r="19" spans="2:25" ht="35.1" customHeight="1">
      <c r="B19" s="1" t="s">
        <v>1</v>
      </c>
      <c r="C19" s="36">
        <v>818</v>
      </c>
      <c r="D19" s="37" t="s">
        <v>22</v>
      </c>
      <c r="E19" s="38"/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39">
        <v>0</v>
      </c>
      <c r="V19" s="39">
        <v>0</v>
      </c>
      <c r="W19" s="39">
        <v>0</v>
      </c>
      <c r="X19" s="39">
        <v>0</v>
      </c>
      <c r="Y19" s="40">
        <f t="shared" si="4"/>
        <v>0</v>
      </c>
    </row>
    <row r="20" spans="2:25" ht="35.1" customHeight="1">
      <c r="B20" s="1" t="s">
        <v>1</v>
      </c>
      <c r="C20" s="36" t="s">
        <v>23</v>
      </c>
      <c r="D20" s="37" t="s">
        <v>24</v>
      </c>
      <c r="E20" s="38"/>
      <c r="F20" s="39">
        <v>0</v>
      </c>
      <c r="G20" s="39">
        <v>0</v>
      </c>
      <c r="H20" s="39">
        <v>1405039.86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0</v>
      </c>
      <c r="Q20" s="39">
        <v>0</v>
      </c>
      <c r="R20" s="39">
        <v>0</v>
      </c>
      <c r="S20" s="39">
        <v>0</v>
      </c>
      <c r="T20" s="39">
        <v>0</v>
      </c>
      <c r="U20" s="39">
        <v>0</v>
      </c>
      <c r="V20" s="39">
        <v>0</v>
      </c>
      <c r="W20" s="39">
        <v>0</v>
      </c>
      <c r="X20" s="39">
        <v>-165667.01999999999</v>
      </c>
      <c r="Y20" s="40">
        <f t="shared" si="4"/>
        <v>1239372.8400000001</v>
      </c>
    </row>
    <row r="21" spans="2:25" ht="35.1" customHeight="1">
      <c r="B21" s="1" t="s">
        <v>1</v>
      </c>
      <c r="C21" s="36">
        <v>827</v>
      </c>
      <c r="D21" s="37" t="s">
        <v>25</v>
      </c>
      <c r="E21" s="38"/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39">
        <v>40893.360000000001</v>
      </c>
      <c r="T21" s="39">
        <v>0</v>
      </c>
      <c r="U21" s="39">
        <v>0</v>
      </c>
      <c r="V21" s="39">
        <v>0</v>
      </c>
      <c r="W21" s="39">
        <v>0</v>
      </c>
      <c r="X21" s="39">
        <v>0</v>
      </c>
      <c r="Y21" s="40">
        <f t="shared" si="4"/>
        <v>40893.360000000001</v>
      </c>
    </row>
    <row r="22" spans="2:25" ht="35.1" customHeight="1">
      <c r="B22" s="1" t="s">
        <v>1</v>
      </c>
      <c r="C22" s="36">
        <v>830</v>
      </c>
      <c r="D22" s="37" t="s">
        <v>26</v>
      </c>
      <c r="E22" s="38"/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16643.79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39">
        <v>0</v>
      </c>
      <c r="V22" s="39">
        <v>0</v>
      </c>
      <c r="W22" s="39">
        <v>0</v>
      </c>
      <c r="X22" s="39">
        <v>0</v>
      </c>
      <c r="Y22" s="40">
        <f t="shared" si="4"/>
        <v>16643.79</v>
      </c>
    </row>
    <row r="23" spans="2:25" ht="35.1" customHeight="1">
      <c r="B23" s="1" t="s">
        <v>1</v>
      </c>
      <c r="C23" s="36">
        <v>832</v>
      </c>
      <c r="D23" s="37" t="s">
        <v>27</v>
      </c>
      <c r="E23" s="38"/>
      <c r="F23" s="39">
        <v>0</v>
      </c>
      <c r="G23" s="39">
        <v>0</v>
      </c>
      <c r="H23" s="39">
        <f>368262.06+473730.01</f>
        <v>841992.07000000007</v>
      </c>
      <c r="I23" s="39">
        <v>0</v>
      </c>
      <c r="J23" s="39">
        <v>0</v>
      </c>
      <c r="K23" s="39">
        <f>667653.44+627739.75</f>
        <v>1295393.19</v>
      </c>
      <c r="L23" s="39">
        <v>0</v>
      </c>
      <c r="M23" s="39">
        <v>0</v>
      </c>
      <c r="N23" s="39">
        <f>460332.2+137744.32</f>
        <v>598076.52</v>
      </c>
      <c r="O23" s="39">
        <v>0</v>
      </c>
      <c r="P23" s="39">
        <f>959608.37+898541.79</f>
        <v>1858150.1600000001</v>
      </c>
      <c r="Q23" s="39">
        <v>0</v>
      </c>
      <c r="R23" s="39">
        <v>0</v>
      </c>
      <c r="S23" s="39">
        <v>0</v>
      </c>
      <c r="T23" s="39">
        <v>0</v>
      </c>
      <c r="U23" s="39">
        <f>783030.1+804742.59</f>
        <v>1587772.69</v>
      </c>
      <c r="V23" s="39">
        <v>0</v>
      </c>
      <c r="W23" s="39">
        <v>0</v>
      </c>
      <c r="X23" s="39">
        <v>0</v>
      </c>
      <c r="Y23" s="40">
        <f t="shared" si="4"/>
        <v>6181384.629999999</v>
      </c>
    </row>
    <row r="24" spans="2:25" ht="35.1" customHeight="1">
      <c r="B24" s="1" t="s">
        <v>1</v>
      </c>
      <c r="C24" s="36">
        <v>833</v>
      </c>
      <c r="D24" s="37" t="s">
        <v>28</v>
      </c>
      <c r="E24" s="38"/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0</v>
      </c>
      <c r="N24" s="39">
        <v>0</v>
      </c>
      <c r="O24" s="39">
        <v>0</v>
      </c>
      <c r="P24" s="39">
        <v>0</v>
      </c>
      <c r="Q24" s="39">
        <v>0</v>
      </c>
      <c r="R24" s="39">
        <v>0</v>
      </c>
      <c r="S24" s="39">
        <v>0</v>
      </c>
      <c r="T24" s="39">
        <v>0</v>
      </c>
      <c r="U24" s="39">
        <v>0</v>
      </c>
      <c r="V24" s="39">
        <v>0</v>
      </c>
      <c r="W24" s="39">
        <v>0</v>
      </c>
      <c r="X24" s="39">
        <v>0</v>
      </c>
      <c r="Y24" s="40">
        <f t="shared" si="4"/>
        <v>0</v>
      </c>
    </row>
    <row r="25" spans="2:25" s="26" customFormat="1" ht="35.1" customHeight="1">
      <c r="B25" s="1" t="s">
        <v>1</v>
      </c>
      <c r="C25" s="42" t="s">
        <v>29</v>
      </c>
      <c r="D25" s="43" t="s">
        <v>30</v>
      </c>
      <c r="E25" s="44"/>
      <c r="F25" s="45">
        <f t="shared" ref="F25:Y25" si="5">+F26+F48+F56+F82+F96+F100</f>
        <v>0</v>
      </c>
      <c r="G25" s="45">
        <f t="shared" si="5"/>
        <v>1220374.05</v>
      </c>
      <c r="H25" s="45">
        <f t="shared" si="5"/>
        <v>-64341.14</v>
      </c>
      <c r="I25" s="45">
        <f t="shared" si="5"/>
        <v>1584156.2999999998</v>
      </c>
      <c r="J25" s="45">
        <f t="shared" si="5"/>
        <v>55437.3</v>
      </c>
      <c r="K25" s="45">
        <f t="shared" si="5"/>
        <v>3279963.09</v>
      </c>
      <c r="L25" s="45">
        <f t="shared" si="5"/>
        <v>148697.62</v>
      </c>
      <c r="M25" s="45">
        <f t="shared" si="5"/>
        <v>380131.68</v>
      </c>
      <c r="N25" s="45">
        <f t="shared" si="5"/>
        <v>4725289.8899999997</v>
      </c>
      <c r="O25" s="45">
        <f t="shared" si="5"/>
        <v>339563.78</v>
      </c>
      <c r="P25" s="45">
        <f t="shared" si="5"/>
        <v>211240.84</v>
      </c>
      <c r="Q25" s="45">
        <f t="shared" si="5"/>
        <v>239942.59999999998</v>
      </c>
      <c r="R25" s="45">
        <f t="shared" si="5"/>
        <v>5275813.32</v>
      </c>
      <c r="S25" s="45">
        <f t="shared" si="5"/>
        <v>238225.03000000003</v>
      </c>
      <c r="T25" s="45">
        <f t="shared" si="5"/>
        <v>-7466.9800000000014</v>
      </c>
      <c r="U25" s="45">
        <f t="shared" si="5"/>
        <v>1330574.7200000002</v>
      </c>
      <c r="V25" s="45">
        <f t="shared" si="5"/>
        <v>155519.65</v>
      </c>
      <c r="W25" s="45">
        <f t="shared" si="5"/>
        <v>4911286.1600000011</v>
      </c>
      <c r="X25" s="45">
        <f t="shared" si="5"/>
        <v>4212910.83</v>
      </c>
      <c r="Y25" s="45">
        <f t="shared" si="5"/>
        <v>28237318.739999998</v>
      </c>
    </row>
    <row r="26" spans="2:25" s="26" customFormat="1" ht="35.1" customHeight="1">
      <c r="B26" s="1" t="s">
        <v>1</v>
      </c>
      <c r="C26" s="22" t="s">
        <v>31</v>
      </c>
      <c r="D26" s="27" t="s">
        <v>32</v>
      </c>
      <c r="E26" s="28"/>
      <c r="F26" s="25">
        <f t="shared" ref="F26:Y26" si="6">+F27+F35+F40+F45</f>
        <v>0</v>
      </c>
      <c r="G26" s="25">
        <f t="shared" si="6"/>
        <v>988800.15999999992</v>
      </c>
      <c r="H26" s="25">
        <f t="shared" si="6"/>
        <v>-313545.51</v>
      </c>
      <c r="I26" s="25">
        <f t="shared" si="6"/>
        <v>35529.61</v>
      </c>
      <c r="J26" s="25">
        <f t="shared" si="6"/>
        <v>-110.2</v>
      </c>
      <c r="K26" s="25">
        <f t="shared" si="6"/>
        <v>2107953.15</v>
      </c>
      <c r="L26" s="25">
        <f t="shared" si="6"/>
        <v>115544.88</v>
      </c>
      <c r="M26" s="25">
        <f t="shared" si="6"/>
        <v>30209.06</v>
      </c>
      <c r="N26" s="25">
        <f t="shared" si="6"/>
        <v>4597599.33</v>
      </c>
      <c r="O26" s="25">
        <f t="shared" si="6"/>
        <v>82921.350000000006</v>
      </c>
      <c r="P26" s="25">
        <f t="shared" si="6"/>
        <v>355</v>
      </c>
      <c r="Q26" s="25">
        <f t="shared" si="6"/>
        <v>0</v>
      </c>
      <c r="R26" s="25">
        <f t="shared" si="6"/>
        <v>5008249.0599999996</v>
      </c>
      <c r="S26" s="25">
        <f t="shared" si="6"/>
        <v>54694.510000000009</v>
      </c>
      <c r="T26" s="25">
        <f t="shared" si="6"/>
        <v>2125.25</v>
      </c>
      <c r="U26" s="25">
        <f t="shared" si="6"/>
        <v>33568.86</v>
      </c>
      <c r="V26" s="25">
        <f t="shared" si="6"/>
        <v>50247.46</v>
      </c>
      <c r="W26" s="25">
        <f t="shared" si="6"/>
        <v>4846178.82</v>
      </c>
      <c r="X26" s="25">
        <f t="shared" si="6"/>
        <v>2747800.64</v>
      </c>
      <c r="Y26" s="25">
        <f t="shared" si="6"/>
        <v>20388121.43</v>
      </c>
    </row>
    <row r="27" spans="2:25" s="26" customFormat="1" ht="35.1" customHeight="1">
      <c r="B27" s="1" t="s">
        <v>1</v>
      </c>
      <c r="C27" s="46" t="s">
        <v>33</v>
      </c>
      <c r="D27" s="47"/>
      <c r="E27" s="48" t="s">
        <v>34</v>
      </c>
      <c r="F27" s="49">
        <f t="shared" ref="F27:Y27" si="7">SUM(F28:F34)</f>
        <v>0</v>
      </c>
      <c r="G27" s="49">
        <f t="shared" si="7"/>
        <v>978411.15999999992</v>
      </c>
      <c r="H27" s="49">
        <f t="shared" ref="H27:X27" si="8">SUM(H28:H34)</f>
        <v>607.30999999999995</v>
      </c>
      <c r="I27" s="49">
        <f t="shared" si="8"/>
        <v>24839.32</v>
      </c>
      <c r="J27" s="49">
        <f t="shared" si="8"/>
        <v>-110.2</v>
      </c>
      <c r="K27" s="49">
        <f t="shared" si="8"/>
        <v>955106.4</v>
      </c>
      <c r="L27" s="49">
        <f t="shared" si="8"/>
        <v>115544.88</v>
      </c>
      <c r="M27" s="49">
        <f t="shared" si="8"/>
        <v>12309.81</v>
      </c>
      <c r="N27" s="49">
        <f t="shared" si="8"/>
        <v>4597599.33</v>
      </c>
      <c r="O27" s="49">
        <f t="shared" si="8"/>
        <v>13752.97</v>
      </c>
      <c r="P27" s="49">
        <f t="shared" si="8"/>
        <v>0</v>
      </c>
      <c r="Q27" s="49">
        <f t="shared" si="8"/>
        <v>0</v>
      </c>
      <c r="R27" s="49">
        <f t="shared" si="8"/>
        <v>30406.48</v>
      </c>
      <c r="S27" s="49">
        <f t="shared" si="8"/>
        <v>43324.170000000006</v>
      </c>
      <c r="T27" s="49">
        <f t="shared" si="8"/>
        <v>2125.25</v>
      </c>
      <c r="U27" s="49">
        <f t="shared" si="8"/>
        <v>17417.07</v>
      </c>
      <c r="V27" s="49">
        <f t="shared" si="8"/>
        <v>47761.02</v>
      </c>
      <c r="W27" s="49">
        <f t="shared" si="8"/>
        <v>4846178.82</v>
      </c>
      <c r="X27" s="49">
        <f t="shared" si="8"/>
        <v>581912.03999999992</v>
      </c>
      <c r="Y27" s="49">
        <f t="shared" si="7"/>
        <v>12267185.830000002</v>
      </c>
    </row>
    <row r="28" spans="2:25" ht="35.1" customHeight="1">
      <c r="C28" s="50" t="s">
        <v>35</v>
      </c>
      <c r="D28" s="51" t="s">
        <v>36</v>
      </c>
      <c r="E28" s="52" t="s">
        <v>37</v>
      </c>
      <c r="F28" s="53">
        <f t="shared" ref="F28:X32" si="9">+F114+F181</f>
        <v>0</v>
      </c>
      <c r="G28" s="53">
        <f t="shared" si="9"/>
        <v>3000</v>
      </c>
      <c r="H28" s="53">
        <f t="shared" si="9"/>
        <v>607.30999999999995</v>
      </c>
      <c r="I28" s="53">
        <f t="shared" si="9"/>
        <v>461.52</v>
      </c>
      <c r="J28" s="53">
        <f t="shared" si="9"/>
        <v>-110.2</v>
      </c>
      <c r="K28" s="53">
        <f t="shared" si="9"/>
        <v>752.09999999999945</v>
      </c>
      <c r="L28" s="53">
        <f t="shared" si="9"/>
        <v>4947.5200000000004</v>
      </c>
      <c r="M28" s="53">
        <f t="shared" si="9"/>
        <v>0</v>
      </c>
      <c r="N28" s="53">
        <f t="shared" si="9"/>
        <v>4153160.09</v>
      </c>
      <c r="O28" s="53">
        <f t="shared" si="9"/>
        <v>0</v>
      </c>
      <c r="P28" s="53">
        <f t="shared" si="9"/>
        <v>0</v>
      </c>
      <c r="Q28" s="53">
        <f t="shared" si="9"/>
        <v>0</v>
      </c>
      <c r="R28" s="53">
        <f t="shared" si="9"/>
        <v>0</v>
      </c>
      <c r="S28" s="53">
        <f t="shared" si="9"/>
        <v>0</v>
      </c>
      <c r="T28" s="53">
        <f t="shared" si="9"/>
        <v>0</v>
      </c>
      <c r="U28" s="53">
        <f t="shared" si="9"/>
        <v>0</v>
      </c>
      <c r="V28" s="53">
        <f t="shared" si="9"/>
        <v>2522.1</v>
      </c>
      <c r="W28" s="53">
        <f t="shared" si="9"/>
        <v>4842315.82</v>
      </c>
      <c r="X28" s="53">
        <f t="shared" si="9"/>
        <v>11766.010000000002</v>
      </c>
      <c r="Y28" s="40">
        <f t="shared" ref="Y28:Y34" si="10">SUM(G28:X28)</f>
        <v>9019422.2699999996</v>
      </c>
    </row>
    <row r="29" spans="2:25" ht="35.1" customHeight="1">
      <c r="C29" s="54" t="s">
        <v>35</v>
      </c>
      <c r="D29" s="51" t="s">
        <v>38</v>
      </c>
      <c r="E29" s="52" t="s">
        <v>39</v>
      </c>
      <c r="F29" s="53">
        <f t="shared" si="9"/>
        <v>0</v>
      </c>
      <c r="G29" s="53">
        <f t="shared" si="9"/>
        <v>72035.83</v>
      </c>
      <c r="H29" s="53">
        <f t="shared" si="9"/>
        <v>0</v>
      </c>
      <c r="I29" s="53">
        <f t="shared" si="9"/>
        <v>0</v>
      </c>
      <c r="J29" s="53">
        <f t="shared" si="9"/>
        <v>0</v>
      </c>
      <c r="K29" s="53">
        <f t="shared" si="9"/>
        <v>207369.44</v>
      </c>
      <c r="L29" s="53">
        <f t="shared" si="9"/>
        <v>95976.66</v>
      </c>
      <c r="M29" s="53">
        <f t="shared" si="9"/>
        <v>12309.81</v>
      </c>
      <c r="N29" s="53">
        <f t="shared" si="9"/>
        <v>330134.23</v>
      </c>
      <c r="O29" s="53">
        <f t="shared" si="9"/>
        <v>13752.97</v>
      </c>
      <c r="P29" s="53">
        <f t="shared" si="9"/>
        <v>0</v>
      </c>
      <c r="Q29" s="53">
        <f t="shared" si="9"/>
        <v>0</v>
      </c>
      <c r="R29" s="53">
        <f t="shared" si="9"/>
        <v>0</v>
      </c>
      <c r="S29" s="53">
        <f t="shared" si="9"/>
        <v>40266.19</v>
      </c>
      <c r="T29" s="53">
        <f t="shared" si="9"/>
        <v>2125.25</v>
      </c>
      <c r="U29" s="53">
        <f t="shared" si="9"/>
        <v>11988.44</v>
      </c>
      <c r="V29" s="53">
        <f t="shared" si="9"/>
        <v>38509.18</v>
      </c>
      <c r="W29" s="53">
        <f t="shared" si="9"/>
        <v>3863</v>
      </c>
      <c r="X29" s="53">
        <f t="shared" si="9"/>
        <v>472336.07999999996</v>
      </c>
      <c r="Y29" s="40">
        <f t="shared" si="10"/>
        <v>1300667.0799999998</v>
      </c>
    </row>
    <row r="30" spans="2:25" ht="35.1" customHeight="1">
      <c r="C30" s="54" t="s">
        <v>35</v>
      </c>
      <c r="D30" s="51" t="s">
        <v>40</v>
      </c>
      <c r="E30" s="52" t="s">
        <v>41</v>
      </c>
      <c r="F30" s="53">
        <f t="shared" si="9"/>
        <v>0</v>
      </c>
      <c r="G30" s="53">
        <f t="shared" si="9"/>
        <v>0</v>
      </c>
      <c r="H30" s="53">
        <f t="shared" si="9"/>
        <v>0</v>
      </c>
      <c r="I30" s="53">
        <f t="shared" si="9"/>
        <v>24377.8</v>
      </c>
      <c r="J30" s="53">
        <f t="shared" si="9"/>
        <v>0</v>
      </c>
      <c r="K30" s="53">
        <f t="shared" si="9"/>
        <v>699964.72</v>
      </c>
      <c r="L30" s="53">
        <f t="shared" si="9"/>
        <v>0</v>
      </c>
      <c r="M30" s="53">
        <f t="shared" si="9"/>
        <v>0</v>
      </c>
      <c r="N30" s="53">
        <f t="shared" si="9"/>
        <v>0</v>
      </c>
      <c r="O30" s="53">
        <f t="shared" si="9"/>
        <v>0</v>
      </c>
      <c r="P30" s="53">
        <f t="shared" si="9"/>
        <v>0</v>
      </c>
      <c r="Q30" s="53">
        <f t="shared" si="9"/>
        <v>0</v>
      </c>
      <c r="R30" s="53">
        <f t="shared" si="9"/>
        <v>0</v>
      </c>
      <c r="S30" s="53">
        <f t="shared" si="9"/>
        <v>0</v>
      </c>
      <c r="T30" s="53">
        <f t="shared" si="9"/>
        <v>0</v>
      </c>
      <c r="U30" s="53">
        <f t="shared" si="9"/>
        <v>0</v>
      </c>
      <c r="V30" s="53">
        <f t="shared" si="9"/>
        <v>0</v>
      </c>
      <c r="W30" s="53">
        <f t="shared" si="9"/>
        <v>0</v>
      </c>
      <c r="X30" s="53">
        <f t="shared" si="9"/>
        <v>7538.88</v>
      </c>
      <c r="Y30" s="40">
        <f t="shared" si="10"/>
        <v>731881.4</v>
      </c>
    </row>
    <row r="31" spans="2:25" ht="35.1" customHeight="1">
      <c r="C31" s="54" t="s">
        <v>35</v>
      </c>
      <c r="D31" s="51" t="s">
        <v>42</v>
      </c>
      <c r="E31" s="52" t="s">
        <v>43</v>
      </c>
      <c r="F31" s="53">
        <f t="shared" si="9"/>
        <v>0</v>
      </c>
      <c r="G31" s="53">
        <f t="shared" si="9"/>
        <v>12915.61</v>
      </c>
      <c r="H31" s="53">
        <f t="shared" si="9"/>
        <v>0</v>
      </c>
      <c r="I31" s="53">
        <f t="shared" si="9"/>
        <v>0</v>
      </c>
      <c r="J31" s="53">
        <f t="shared" si="9"/>
        <v>0</v>
      </c>
      <c r="K31" s="53">
        <f t="shared" si="9"/>
        <v>47020.14</v>
      </c>
      <c r="L31" s="53">
        <f t="shared" si="9"/>
        <v>14620.7</v>
      </c>
      <c r="M31" s="53">
        <f t="shared" si="9"/>
        <v>0</v>
      </c>
      <c r="N31" s="53">
        <f t="shared" si="9"/>
        <v>80537.929999999993</v>
      </c>
      <c r="O31" s="53">
        <f t="shared" si="9"/>
        <v>0</v>
      </c>
      <c r="P31" s="53">
        <f t="shared" si="9"/>
        <v>0</v>
      </c>
      <c r="Q31" s="53">
        <f t="shared" si="9"/>
        <v>0</v>
      </c>
      <c r="R31" s="53">
        <f t="shared" si="9"/>
        <v>0</v>
      </c>
      <c r="S31" s="53">
        <f t="shared" si="9"/>
        <v>3057.98</v>
      </c>
      <c r="T31" s="53">
        <f t="shared" si="9"/>
        <v>0</v>
      </c>
      <c r="U31" s="53">
        <f t="shared" si="9"/>
        <v>5428.63</v>
      </c>
      <c r="V31" s="53">
        <f t="shared" si="9"/>
        <v>6729.74</v>
      </c>
      <c r="W31" s="53">
        <f t="shared" si="9"/>
        <v>0</v>
      </c>
      <c r="X31" s="53">
        <f t="shared" si="9"/>
        <v>90271.069999999992</v>
      </c>
      <c r="Y31" s="40">
        <f t="shared" si="10"/>
        <v>260581.8</v>
      </c>
    </row>
    <row r="32" spans="2:25" ht="35.1" customHeight="1">
      <c r="C32" s="54" t="s">
        <v>44</v>
      </c>
      <c r="D32" s="51" t="s">
        <v>45</v>
      </c>
      <c r="E32" s="55" t="s">
        <v>46</v>
      </c>
      <c r="F32" s="53">
        <f t="shared" si="9"/>
        <v>0</v>
      </c>
      <c r="G32" s="53">
        <f>+G118</f>
        <v>890459.72</v>
      </c>
      <c r="H32" s="53">
        <f t="shared" ref="H32:X32" si="11">+H118</f>
        <v>0</v>
      </c>
      <c r="I32" s="53">
        <f t="shared" si="11"/>
        <v>0</v>
      </c>
      <c r="J32" s="53">
        <f t="shared" si="11"/>
        <v>0</v>
      </c>
      <c r="K32" s="53">
        <f t="shared" si="11"/>
        <v>0</v>
      </c>
      <c r="L32" s="53">
        <f t="shared" si="11"/>
        <v>0</v>
      </c>
      <c r="M32" s="53">
        <f t="shared" si="11"/>
        <v>0</v>
      </c>
      <c r="N32" s="53">
        <f t="shared" si="11"/>
        <v>0</v>
      </c>
      <c r="O32" s="53">
        <f t="shared" si="11"/>
        <v>0</v>
      </c>
      <c r="P32" s="53">
        <f t="shared" si="11"/>
        <v>0</v>
      </c>
      <c r="Q32" s="53">
        <f t="shared" si="11"/>
        <v>0</v>
      </c>
      <c r="R32" s="53">
        <f t="shared" si="11"/>
        <v>0</v>
      </c>
      <c r="S32" s="53">
        <f t="shared" si="11"/>
        <v>0</v>
      </c>
      <c r="T32" s="53">
        <f t="shared" si="11"/>
        <v>0</v>
      </c>
      <c r="U32" s="53">
        <f t="shared" si="11"/>
        <v>0</v>
      </c>
      <c r="V32" s="53">
        <f t="shared" si="11"/>
        <v>0</v>
      </c>
      <c r="W32" s="53">
        <f t="shared" si="11"/>
        <v>0</v>
      </c>
      <c r="X32" s="53">
        <f t="shared" si="11"/>
        <v>0</v>
      </c>
      <c r="Y32" s="40">
        <f t="shared" si="10"/>
        <v>890459.72</v>
      </c>
    </row>
    <row r="33" spans="2:25" ht="35.1" customHeight="1">
      <c r="C33" s="50" t="s">
        <v>35</v>
      </c>
      <c r="D33" s="51" t="s">
        <v>47</v>
      </c>
      <c r="E33" s="52" t="s">
        <v>48</v>
      </c>
      <c r="F33" s="53">
        <f t="shared" ref="F33:X33" si="12">+F119+F185</f>
        <v>0</v>
      </c>
      <c r="G33" s="53">
        <f t="shared" si="12"/>
        <v>0</v>
      </c>
      <c r="H33" s="53">
        <f t="shared" si="12"/>
        <v>0</v>
      </c>
      <c r="I33" s="53">
        <f t="shared" si="12"/>
        <v>0</v>
      </c>
      <c r="J33" s="53">
        <f t="shared" si="12"/>
        <v>0</v>
      </c>
      <c r="K33" s="53">
        <f t="shared" si="12"/>
        <v>0</v>
      </c>
      <c r="L33" s="53">
        <f t="shared" si="12"/>
        <v>0</v>
      </c>
      <c r="M33" s="53">
        <f t="shared" si="12"/>
        <v>0</v>
      </c>
      <c r="N33" s="53">
        <f t="shared" si="12"/>
        <v>0</v>
      </c>
      <c r="O33" s="53">
        <f t="shared" si="12"/>
        <v>0</v>
      </c>
      <c r="P33" s="53">
        <f t="shared" si="12"/>
        <v>0</v>
      </c>
      <c r="Q33" s="53">
        <f t="shared" si="12"/>
        <v>0</v>
      </c>
      <c r="R33" s="53">
        <f t="shared" si="12"/>
        <v>0</v>
      </c>
      <c r="S33" s="53">
        <f t="shared" si="12"/>
        <v>0</v>
      </c>
      <c r="T33" s="53">
        <f t="shared" si="12"/>
        <v>0</v>
      </c>
      <c r="U33" s="53">
        <f t="shared" si="12"/>
        <v>0</v>
      </c>
      <c r="V33" s="53">
        <f t="shared" si="12"/>
        <v>0</v>
      </c>
      <c r="W33" s="53">
        <f t="shared" si="12"/>
        <v>0</v>
      </c>
      <c r="X33" s="53">
        <f t="shared" si="12"/>
        <v>0</v>
      </c>
      <c r="Y33" s="40">
        <f t="shared" si="10"/>
        <v>0</v>
      </c>
    </row>
    <row r="34" spans="2:25" ht="35.1" customHeight="1">
      <c r="C34" s="54" t="s">
        <v>35</v>
      </c>
      <c r="D34" s="51" t="s">
        <v>49</v>
      </c>
      <c r="E34" s="52" t="s">
        <v>50</v>
      </c>
      <c r="F34" s="53">
        <f>+F120</f>
        <v>0</v>
      </c>
      <c r="G34" s="53">
        <f t="shared" ref="G34:X34" si="13">+G120</f>
        <v>0</v>
      </c>
      <c r="H34" s="53">
        <f t="shared" si="13"/>
        <v>0</v>
      </c>
      <c r="I34" s="53">
        <f t="shared" si="13"/>
        <v>0</v>
      </c>
      <c r="J34" s="53">
        <f t="shared" si="13"/>
        <v>0</v>
      </c>
      <c r="K34" s="53">
        <f t="shared" si="13"/>
        <v>0</v>
      </c>
      <c r="L34" s="53">
        <f t="shared" si="13"/>
        <v>0</v>
      </c>
      <c r="M34" s="53">
        <f t="shared" si="13"/>
        <v>0</v>
      </c>
      <c r="N34" s="53">
        <f t="shared" si="13"/>
        <v>33767.08</v>
      </c>
      <c r="O34" s="53">
        <f t="shared" si="13"/>
        <v>0</v>
      </c>
      <c r="P34" s="53">
        <f t="shared" si="13"/>
        <v>0</v>
      </c>
      <c r="Q34" s="53">
        <f t="shared" si="13"/>
        <v>0</v>
      </c>
      <c r="R34" s="53">
        <f t="shared" si="13"/>
        <v>30406.48</v>
      </c>
      <c r="S34" s="53">
        <f t="shared" si="13"/>
        <v>0</v>
      </c>
      <c r="T34" s="53">
        <f t="shared" si="13"/>
        <v>0</v>
      </c>
      <c r="U34" s="53">
        <f t="shared" si="13"/>
        <v>0</v>
      </c>
      <c r="V34" s="53">
        <f t="shared" si="13"/>
        <v>0</v>
      </c>
      <c r="W34" s="53">
        <f t="shared" si="13"/>
        <v>0</v>
      </c>
      <c r="X34" s="53">
        <f t="shared" si="13"/>
        <v>0</v>
      </c>
      <c r="Y34" s="40">
        <f t="shared" si="10"/>
        <v>64173.56</v>
      </c>
    </row>
    <row r="35" spans="2:25" s="26" customFormat="1" ht="35.1" customHeight="1">
      <c r="B35" s="1" t="s">
        <v>1</v>
      </c>
      <c r="C35" s="46" t="s">
        <v>51</v>
      </c>
      <c r="D35" s="47"/>
      <c r="E35" s="47" t="s">
        <v>52</v>
      </c>
      <c r="F35" s="49">
        <f t="shared" ref="F35:Y35" si="14">SUM(F36:F39)</f>
        <v>0</v>
      </c>
      <c r="G35" s="49">
        <f t="shared" si="14"/>
        <v>0</v>
      </c>
      <c r="H35" s="49">
        <f t="shared" si="14"/>
        <v>-314152.82</v>
      </c>
      <c r="I35" s="49">
        <f t="shared" si="14"/>
        <v>1101.29</v>
      </c>
      <c r="J35" s="49">
        <f t="shared" si="14"/>
        <v>0</v>
      </c>
      <c r="K35" s="49">
        <f t="shared" si="14"/>
        <v>0</v>
      </c>
      <c r="L35" s="49">
        <f t="shared" si="14"/>
        <v>0</v>
      </c>
      <c r="M35" s="49">
        <f t="shared" si="14"/>
        <v>14401.52</v>
      </c>
      <c r="N35" s="49">
        <f t="shared" si="14"/>
        <v>0</v>
      </c>
      <c r="O35" s="49">
        <f t="shared" si="14"/>
        <v>69168.38</v>
      </c>
      <c r="P35" s="49">
        <f t="shared" si="14"/>
        <v>0</v>
      </c>
      <c r="Q35" s="49">
        <f t="shared" si="14"/>
        <v>0</v>
      </c>
      <c r="R35" s="49">
        <f t="shared" si="14"/>
        <v>43538.080000000009</v>
      </c>
      <c r="S35" s="49">
        <f t="shared" si="14"/>
        <v>0</v>
      </c>
      <c r="T35" s="49">
        <f t="shared" si="14"/>
        <v>0</v>
      </c>
      <c r="U35" s="49">
        <f t="shared" si="14"/>
        <v>3982.79</v>
      </c>
      <c r="V35" s="49">
        <f t="shared" si="14"/>
        <v>2110</v>
      </c>
      <c r="W35" s="49">
        <f t="shared" si="14"/>
        <v>0</v>
      </c>
      <c r="X35" s="49">
        <f t="shared" si="14"/>
        <v>2165888.6</v>
      </c>
      <c r="Y35" s="49">
        <f t="shared" si="14"/>
        <v>1986037.8399999999</v>
      </c>
    </row>
    <row r="36" spans="2:25" ht="35.1" customHeight="1">
      <c r="C36" s="54" t="s">
        <v>35</v>
      </c>
      <c r="D36" s="51" t="s">
        <v>53</v>
      </c>
      <c r="E36" s="52" t="s">
        <v>54</v>
      </c>
      <c r="F36" s="53">
        <f t="shared" ref="F36:X37" si="15">+F122+F187</f>
        <v>0</v>
      </c>
      <c r="G36" s="53">
        <f t="shared" si="15"/>
        <v>0</v>
      </c>
      <c r="H36" s="53">
        <f t="shared" si="15"/>
        <v>0</v>
      </c>
      <c r="I36" s="53">
        <f t="shared" si="15"/>
        <v>1101.29</v>
      </c>
      <c r="J36" s="53">
        <f t="shared" si="15"/>
        <v>0</v>
      </c>
      <c r="K36" s="53">
        <f t="shared" si="15"/>
        <v>0</v>
      </c>
      <c r="L36" s="53">
        <f t="shared" si="15"/>
        <v>0</v>
      </c>
      <c r="M36" s="53">
        <f t="shared" si="15"/>
        <v>14401.52</v>
      </c>
      <c r="N36" s="53">
        <f t="shared" si="15"/>
        <v>0</v>
      </c>
      <c r="O36" s="53">
        <f t="shared" si="15"/>
        <v>0</v>
      </c>
      <c r="P36" s="53">
        <f t="shared" si="15"/>
        <v>0</v>
      </c>
      <c r="Q36" s="53">
        <f t="shared" si="15"/>
        <v>0</v>
      </c>
      <c r="R36" s="53">
        <f t="shared" si="15"/>
        <v>0</v>
      </c>
      <c r="S36" s="53">
        <f t="shared" si="15"/>
        <v>0</v>
      </c>
      <c r="T36" s="53">
        <f t="shared" si="15"/>
        <v>0</v>
      </c>
      <c r="U36" s="53">
        <f t="shared" si="15"/>
        <v>3982.79</v>
      </c>
      <c r="V36" s="53">
        <f t="shared" si="15"/>
        <v>0</v>
      </c>
      <c r="W36" s="53">
        <f t="shared" si="15"/>
        <v>0</v>
      </c>
      <c r="X36" s="53">
        <f t="shared" si="15"/>
        <v>3021.89</v>
      </c>
      <c r="Y36" s="40">
        <f>SUM(G36:X36)</f>
        <v>22507.49</v>
      </c>
    </row>
    <row r="37" spans="2:25" ht="35.1" customHeight="1">
      <c r="C37" s="54" t="s">
        <v>35</v>
      </c>
      <c r="D37" s="51" t="s">
        <v>55</v>
      </c>
      <c r="E37" s="52" t="s">
        <v>56</v>
      </c>
      <c r="F37" s="53">
        <f t="shared" si="15"/>
        <v>0</v>
      </c>
      <c r="G37" s="53">
        <f t="shared" si="15"/>
        <v>0</v>
      </c>
      <c r="H37" s="53">
        <f t="shared" si="15"/>
        <v>-314152.82</v>
      </c>
      <c r="I37" s="53">
        <f t="shared" si="15"/>
        <v>0</v>
      </c>
      <c r="J37" s="53">
        <f t="shared" si="15"/>
        <v>0</v>
      </c>
      <c r="K37" s="53">
        <f t="shared" si="15"/>
        <v>0</v>
      </c>
      <c r="L37" s="53">
        <f t="shared" si="15"/>
        <v>0</v>
      </c>
      <c r="M37" s="53">
        <f t="shared" si="15"/>
        <v>0</v>
      </c>
      <c r="N37" s="53">
        <f t="shared" si="15"/>
        <v>0</v>
      </c>
      <c r="O37" s="53">
        <f t="shared" si="15"/>
        <v>69168.38</v>
      </c>
      <c r="P37" s="53">
        <f t="shared" si="15"/>
        <v>0</v>
      </c>
      <c r="Q37" s="53">
        <f t="shared" si="15"/>
        <v>0</v>
      </c>
      <c r="R37" s="53">
        <f t="shared" si="15"/>
        <v>42414.350000000006</v>
      </c>
      <c r="S37" s="53">
        <f t="shared" si="15"/>
        <v>0</v>
      </c>
      <c r="T37" s="53">
        <f t="shared" si="15"/>
        <v>0</v>
      </c>
      <c r="U37" s="53">
        <f t="shared" si="15"/>
        <v>0</v>
      </c>
      <c r="V37" s="53">
        <f t="shared" si="15"/>
        <v>2110</v>
      </c>
      <c r="W37" s="53">
        <f t="shared" si="15"/>
        <v>0</v>
      </c>
      <c r="X37" s="53">
        <f t="shared" si="15"/>
        <v>2162866.71</v>
      </c>
      <c r="Y37" s="40">
        <f>SUM(G37:X37)</f>
        <v>1962406.6199999999</v>
      </c>
    </row>
    <row r="38" spans="2:25" ht="35.1" customHeight="1">
      <c r="C38" s="54">
        <v>11</v>
      </c>
      <c r="D38" s="56" t="s">
        <v>57</v>
      </c>
      <c r="E38" s="52" t="s">
        <v>58</v>
      </c>
      <c r="F38" s="53">
        <f>+F124</f>
        <v>0</v>
      </c>
      <c r="G38" s="53">
        <f t="shared" ref="G38:X39" si="16">+G124</f>
        <v>0</v>
      </c>
      <c r="H38" s="53">
        <f t="shared" si="16"/>
        <v>0</v>
      </c>
      <c r="I38" s="53">
        <f t="shared" si="16"/>
        <v>0</v>
      </c>
      <c r="J38" s="53">
        <f t="shared" si="16"/>
        <v>0</v>
      </c>
      <c r="K38" s="53">
        <f t="shared" si="16"/>
        <v>0</v>
      </c>
      <c r="L38" s="53">
        <f t="shared" si="16"/>
        <v>0</v>
      </c>
      <c r="M38" s="53">
        <f t="shared" si="16"/>
        <v>0</v>
      </c>
      <c r="N38" s="53">
        <f t="shared" si="16"/>
        <v>0</v>
      </c>
      <c r="O38" s="53">
        <f t="shared" si="16"/>
        <v>0</v>
      </c>
      <c r="P38" s="53">
        <f t="shared" si="16"/>
        <v>0</v>
      </c>
      <c r="Q38" s="53">
        <f t="shared" si="16"/>
        <v>0</v>
      </c>
      <c r="R38" s="53">
        <f t="shared" si="16"/>
        <v>1123.73</v>
      </c>
      <c r="S38" s="53">
        <f t="shared" si="16"/>
        <v>0</v>
      </c>
      <c r="T38" s="53">
        <f t="shared" si="16"/>
        <v>0</v>
      </c>
      <c r="U38" s="53">
        <f t="shared" si="16"/>
        <v>0</v>
      </c>
      <c r="V38" s="53">
        <f t="shared" si="16"/>
        <v>0</v>
      </c>
      <c r="W38" s="53">
        <f t="shared" si="16"/>
        <v>0</v>
      </c>
      <c r="X38" s="53">
        <f t="shared" si="16"/>
        <v>0</v>
      </c>
      <c r="Y38" s="40">
        <f>SUM(G38:X38)</f>
        <v>1123.73</v>
      </c>
    </row>
    <row r="39" spans="2:25" ht="35.1" customHeight="1">
      <c r="C39" s="54">
        <v>11</v>
      </c>
      <c r="D39" s="56" t="s">
        <v>59</v>
      </c>
      <c r="E39" s="52" t="s">
        <v>60</v>
      </c>
      <c r="F39" s="53">
        <f>+F125</f>
        <v>0</v>
      </c>
      <c r="G39" s="53">
        <f t="shared" si="16"/>
        <v>0</v>
      </c>
      <c r="H39" s="53">
        <f t="shared" si="16"/>
        <v>0</v>
      </c>
      <c r="I39" s="53">
        <f t="shared" si="16"/>
        <v>0</v>
      </c>
      <c r="J39" s="53">
        <f t="shared" si="16"/>
        <v>0</v>
      </c>
      <c r="K39" s="53">
        <f t="shared" si="16"/>
        <v>0</v>
      </c>
      <c r="L39" s="53">
        <f t="shared" si="16"/>
        <v>0</v>
      </c>
      <c r="M39" s="53">
        <f t="shared" si="16"/>
        <v>0</v>
      </c>
      <c r="N39" s="53">
        <f t="shared" si="16"/>
        <v>0</v>
      </c>
      <c r="O39" s="53">
        <f t="shared" si="16"/>
        <v>0</v>
      </c>
      <c r="P39" s="53">
        <f t="shared" si="16"/>
        <v>0</v>
      </c>
      <c r="Q39" s="53">
        <f t="shared" si="16"/>
        <v>0</v>
      </c>
      <c r="R39" s="53">
        <f t="shared" si="16"/>
        <v>0</v>
      </c>
      <c r="S39" s="53">
        <f t="shared" si="16"/>
        <v>0</v>
      </c>
      <c r="T39" s="53">
        <f t="shared" si="16"/>
        <v>0</v>
      </c>
      <c r="U39" s="53">
        <f t="shared" si="16"/>
        <v>0</v>
      </c>
      <c r="V39" s="53">
        <f t="shared" si="16"/>
        <v>0</v>
      </c>
      <c r="W39" s="53">
        <f t="shared" si="16"/>
        <v>0</v>
      </c>
      <c r="X39" s="53">
        <f t="shared" si="16"/>
        <v>0</v>
      </c>
      <c r="Y39" s="40">
        <f>SUM(G39:X39)</f>
        <v>0</v>
      </c>
    </row>
    <row r="40" spans="2:25" s="26" customFormat="1" ht="35.1" customHeight="1">
      <c r="B40" s="1" t="s">
        <v>1</v>
      </c>
      <c r="C40" s="46" t="s">
        <v>61</v>
      </c>
      <c r="D40" s="47"/>
      <c r="E40" s="47" t="s">
        <v>62</v>
      </c>
      <c r="F40" s="49">
        <f t="shared" ref="F40:Y40" si="17">SUM(F41:F44)</f>
        <v>0</v>
      </c>
      <c r="G40" s="49">
        <f t="shared" si="17"/>
        <v>0</v>
      </c>
      <c r="H40" s="49">
        <f t="shared" si="17"/>
        <v>0</v>
      </c>
      <c r="I40" s="49">
        <f t="shared" si="17"/>
        <v>0</v>
      </c>
      <c r="J40" s="49">
        <f t="shared" si="17"/>
        <v>0</v>
      </c>
      <c r="K40" s="49">
        <f t="shared" si="17"/>
        <v>1143657.75</v>
      </c>
      <c r="L40" s="49">
        <f t="shared" si="17"/>
        <v>0</v>
      </c>
      <c r="M40" s="49">
        <f t="shared" si="17"/>
        <v>3497.7300000000005</v>
      </c>
      <c r="N40" s="49">
        <f t="shared" si="17"/>
        <v>0</v>
      </c>
      <c r="O40" s="49">
        <f t="shared" si="17"/>
        <v>0</v>
      </c>
      <c r="P40" s="49">
        <f t="shared" si="17"/>
        <v>0</v>
      </c>
      <c r="Q40" s="49">
        <f t="shared" si="17"/>
        <v>0</v>
      </c>
      <c r="R40" s="49">
        <f t="shared" si="17"/>
        <v>4934067.8499999996</v>
      </c>
      <c r="S40" s="49">
        <f t="shared" si="17"/>
        <v>0</v>
      </c>
      <c r="T40" s="49">
        <f t="shared" si="17"/>
        <v>0</v>
      </c>
      <c r="U40" s="49">
        <f t="shared" si="17"/>
        <v>0</v>
      </c>
      <c r="V40" s="49">
        <f t="shared" si="17"/>
        <v>0</v>
      </c>
      <c r="W40" s="49">
        <f t="shared" si="17"/>
        <v>0</v>
      </c>
      <c r="X40" s="49">
        <f t="shared" si="17"/>
        <v>0</v>
      </c>
      <c r="Y40" s="49">
        <f t="shared" si="17"/>
        <v>6081223.3300000001</v>
      </c>
    </row>
    <row r="41" spans="2:25" ht="35.1" customHeight="1">
      <c r="C41" s="54" t="s">
        <v>35</v>
      </c>
      <c r="D41" s="51" t="s">
        <v>63</v>
      </c>
      <c r="E41" s="52" t="s">
        <v>64</v>
      </c>
      <c r="F41" s="53">
        <f t="shared" ref="F41:X44" si="18">+F127+F190</f>
        <v>0</v>
      </c>
      <c r="G41" s="53">
        <f t="shared" si="18"/>
        <v>0</v>
      </c>
      <c r="H41" s="53">
        <f t="shared" si="18"/>
        <v>0</v>
      </c>
      <c r="I41" s="53">
        <f t="shared" si="18"/>
        <v>0</v>
      </c>
      <c r="J41" s="53">
        <f t="shared" si="18"/>
        <v>0</v>
      </c>
      <c r="K41" s="53">
        <f t="shared" si="18"/>
        <v>1143657.75</v>
      </c>
      <c r="L41" s="53">
        <f t="shared" si="18"/>
        <v>0</v>
      </c>
      <c r="M41" s="53">
        <f t="shared" si="18"/>
        <v>0</v>
      </c>
      <c r="N41" s="53">
        <f t="shared" si="18"/>
        <v>0</v>
      </c>
      <c r="O41" s="53">
        <f t="shared" si="18"/>
        <v>0</v>
      </c>
      <c r="P41" s="53">
        <f t="shared" si="18"/>
        <v>0</v>
      </c>
      <c r="Q41" s="53">
        <f t="shared" si="18"/>
        <v>0</v>
      </c>
      <c r="R41" s="53">
        <f t="shared" si="18"/>
        <v>0</v>
      </c>
      <c r="S41" s="53">
        <f t="shared" si="18"/>
        <v>0</v>
      </c>
      <c r="T41" s="53">
        <f t="shared" si="18"/>
        <v>0</v>
      </c>
      <c r="U41" s="53">
        <f t="shared" si="18"/>
        <v>0</v>
      </c>
      <c r="V41" s="53">
        <f t="shared" si="18"/>
        <v>0</v>
      </c>
      <c r="W41" s="53">
        <f t="shared" si="18"/>
        <v>0</v>
      </c>
      <c r="X41" s="53">
        <f t="shared" si="18"/>
        <v>0</v>
      </c>
      <c r="Y41" s="40">
        <f>SUM(G41:X41)</f>
        <v>1143657.75</v>
      </c>
    </row>
    <row r="42" spans="2:25" ht="35.1" customHeight="1">
      <c r="C42" s="54" t="s">
        <v>35</v>
      </c>
      <c r="D42" s="51" t="s">
        <v>65</v>
      </c>
      <c r="E42" s="52" t="s">
        <v>66</v>
      </c>
      <c r="F42" s="53">
        <f t="shared" si="18"/>
        <v>0</v>
      </c>
      <c r="G42" s="53">
        <f t="shared" si="18"/>
        <v>0</v>
      </c>
      <c r="H42" s="53">
        <f t="shared" si="18"/>
        <v>0</v>
      </c>
      <c r="I42" s="53">
        <f t="shared" si="18"/>
        <v>0</v>
      </c>
      <c r="J42" s="53">
        <f t="shared" si="18"/>
        <v>0</v>
      </c>
      <c r="K42" s="53">
        <f t="shared" si="18"/>
        <v>0</v>
      </c>
      <c r="L42" s="53">
        <f t="shared" si="18"/>
        <v>0</v>
      </c>
      <c r="M42" s="53">
        <f t="shared" si="18"/>
        <v>0</v>
      </c>
      <c r="N42" s="53">
        <f t="shared" si="18"/>
        <v>0</v>
      </c>
      <c r="O42" s="53">
        <f t="shared" si="18"/>
        <v>0</v>
      </c>
      <c r="P42" s="53">
        <f t="shared" si="18"/>
        <v>0</v>
      </c>
      <c r="Q42" s="53">
        <f t="shared" si="18"/>
        <v>0</v>
      </c>
      <c r="R42" s="53">
        <f t="shared" si="18"/>
        <v>1374307.06</v>
      </c>
      <c r="S42" s="53">
        <f t="shared" si="18"/>
        <v>0</v>
      </c>
      <c r="T42" s="53">
        <f t="shared" si="18"/>
        <v>0</v>
      </c>
      <c r="U42" s="53">
        <f t="shared" si="18"/>
        <v>0</v>
      </c>
      <c r="V42" s="53">
        <f t="shared" si="18"/>
        <v>0</v>
      </c>
      <c r="W42" s="53">
        <f t="shared" si="18"/>
        <v>0</v>
      </c>
      <c r="X42" s="53">
        <f t="shared" si="18"/>
        <v>0</v>
      </c>
      <c r="Y42" s="40">
        <f>SUM(G42:X42)</f>
        <v>1374307.06</v>
      </c>
    </row>
    <row r="43" spans="2:25" ht="35.1" customHeight="1">
      <c r="C43" s="54" t="s">
        <v>35</v>
      </c>
      <c r="D43" s="51" t="s">
        <v>67</v>
      </c>
      <c r="E43" s="52" t="s">
        <v>68</v>
      </c>
      <c r="F43" s="53">
        <f t="shared" si="18"/>
        <v>0</v>
      </c>
      <c r="G43" s="53">
        <f t="shared" si="18"/>
        <v>0</v>
      </c>
      <c r="H43" s="53">
        <f t="shared" si="18"/>
        <v>0</v>
      </c>
      <c r="I43" s="53">
        <f t="shared" si="18"/>
        <v>0</v>
      </c>
      <c r="J43" s="53">
        <f t="shared" si="18"/>
        <v>0</v>
      </c>
      <c r="K43" s="53">
        <f t="shared" si="18"/>
        <v>0</v>
      </c>
      <c r="L43" s="53">
        <f t="shared" si="18"/>
        <v>0</v>
      </c>
      <c r="M43" s="53">
        <f t="shared" si="18"/>
        <v>1165.9100000000001</v>
      </c>
      <c r="N43" s="53">
        <f t="shared" si="18"/>
        <v>0</v>
      </c>
      <c r="O43" s="53">
        <f t="shared" si="18"/>
        <v>0</v>
      </c>
      <c r="P43" s="53">
        <f t="shared" si="18"/>
        <v>0</v>
      </c>
      <c r="Q43" s="53">
        <f t="shared" si="18"/>
        <v>0</v>
      </c>
      <c r="R43" s="53">
        <f t="shared" si="18"/>
        <v>970144.14</v>
      </c>
      <c r="S43" s="53">
        <f t="shared" si="18"/>
        <v>0</v>
      </c>
      <c r="T43" s="53">
        <f t="shared" si="18"/>
        <v>0</v>
      </c>
      <c r="U43" s="53">
        <f t="shared" si="18"/>
        <v>0</v>
      </c>
      <c r="V43" s="53">
        <f t="shared" si="18"/>
        <v>0</v>
      </c>
      <c r="W43" s="53">
        <f t="shared" si="18"/>
        <v>0</v>
      </c>
      <c r="X43" s="53">
        <f t="shared" si="18"/>
        <v>0</v>
      </c>
      <c r="Y43" s="40">
        <f>SUM(G43:X43)</f>
        <v>971310.05</v>
      </c>
    </row>
    <row r="44" spans="2:25" ht="35.1" customHeight="1">
      <c r="C44" s="54" t="s">
        <v>35</v>
      </c>
      <c r="D44" s="51" t="s">
        <v>69</v>
      </c>
      <c r="E44" s="52" t="s">
        <v>70</v>
      </c>
      <c r="F44" s="53">
        <f t="shared" si="18"/>
        <v>0</v>
      </c>
      <c r="G44" s="53">
        <f t="shared" si="18"/>
        <v>0</v>
      </c>
      <c r="H44" s="53">
        <f t="shared" si="18"/>
        <v>0</v>
      </c>
      <c r="I44" s="53">
        <f t="shared" si="18"/>
        <v>0</v>
      </c>
      <c r="J44" s="53">
        <f t="shared" si="18"/>
        <v>0</v>
      </c>
      <c r="K44" s="53">
        <f t="shared" si="18"/>
        <v>0</v>
      </c>
      <c r="L44" s="53">
        <f t="shared" si="18"/>
        <v>0</v>
      </c>
      <c r="M44" s="53">
        <f t="shared" si="18"/>
        <v>2331.8200000000002</v>
      </c>
      <c r="N44" s="53">
        <f t="shared" si="18"/>
        <v>0</v>
      </c>
      <c r="O44" s="53">
        <f t="shared" si="18"/>
        <v>0</v>
      </c>
      <c r="P44" s="53">
        <f t="shared" si="18"/>
        <v>0</v>
      </c>
      <c r="Q44" s="53">
        <f t="shared" si="18"/>
        <v>0</v>
      </c>
      <c r="R44" s="53">
        <f t="shared" si="18"/>
        <v>2589616.65</v>
      </c>
      <c r="S44" s="53">
        <f t="shared" si="18"/>
        <v>0</v>
      </c>
      <c r="T44" s="53">
        <f t="shared" si="18"/>
        <v>0</v>
      </c>
      <c r="U44" s="53">
        <f t="shared" si="18"/>
        <v>0</v>
      </c>
      <c r="V44" s="53">
        <f t="shared" si="18"/>
        <v>0</v>
      </c>
      <c r="W44" s="53">
        <f t="shared" si="18"/>
        <v>0</v>
      </c>
      <c r="X44" s="53">
        <f t="shared" si="18"/>
        <v>0</v>
      </c>
      <c r="Y44" s="40">
        <f>SUM(G44:X44)</f>
        <v>2591948.4699999997</v>
      </c>
    </row>
    <row r="45" spans="2:25" s="26" customFormat="1" ht="35.1" customHeight="1">
      <c r="B45" s="1" t="s">
        <v>1</v>
      </c>
      <c r="C45" s="46" t="s">
        <v>71</v>
      </c>
      <c r="D45" s="47"/>
      <c r="E45" s="47" t="s">
        <v>72</v>
      </c>
      <c r="F45" s="49">
        <f t="shared" ref="F45:Y45" si="19">SUM(F46:F47)</f>
        <v>0</v>
      </c>
      <c r="G45" s="49">
        <f t="shared" si="19"/>
        <v>10389</v>
      </c>
      <c r="H45" s="49">
        <f t="shared" si="19"/>
        <v>0</v>
      </c>
      <c r="I45" s="49">
        <f t="shared" si="19"/>
        <v>9589</v>
      </c>
      <c r="J45" s="49">
        <f t="shared" si="19"/>
        <v>0</v>
      </c>
      <c r="K45" s="49">
        <f t="shared" si="19"/>
        <v>9189</v>
      </c>
      <c r="L45" s="49">
        <f t="shared" si="19"/>
        <v>0</v>
      </c>
      <c r="M45" s="49">
        <f t="shared" si="19"/>
        <v>0</v>
      </c>
      <c r="N45" s="49">
        <f t="shared" si="19"/>
        <v>0</v>
      </c>
      <c r="O45" s="49">
        <f t="shared" si="19"/>
        <v>0</v>
      </c>
      <c r="P45" s="49">
        <f t="shared" si="19"/>
        <v>355</v>
      </c>
      <c r="Q45" s="49">
        <f t="shared" si="19"/>
        <v>0</v>
      </c>
      <c r="R45" s="49">
        <f t="shared" si="19"/>
        <v>236.65</v>
      </c>
      <c r="S45" s="49">
        <f t="shared" si="19"/>
        <v>11370.34</v>
      </c>
      <c r="T45" s="49">
        <f t="shared" si="19"/>
        <v>0</v>
      </c>
      <c r="U45" s="49">
        <f t="shared" si="19"/>
        <v>12169</v>
      </c>
      <c r="V45" s="49">
        <f t="shared" si="19"/>
        <v>376.44</v>
      </c>
      <c r="W45" s="49">
        <f t="shared" si="19"/>
        <v>0</v>
      </c>
      <c r="X45" s="49">
        <f t="shared" si="19"/>
        <v>0</v>
      </c>
      <c r="Y45" s="49">
        <f t="shared" si="19"/>
        <v>53674.430000000008</v>
      </c>
    </row>
    <row r="46" spans="2:25" ht="35.1" customHeight="1">
      <c r="C46" s="54">
        <v>11</v>
      </c>
      <c r="D46" s="56" t="s">
        <v>73</v>
      </c>
      <c r="E46" s="57" t="s">
        <v>74</v>
      </c>
      <c r="F46" s="53">
        <f>+F132</f>
        <v>0</v>
      </c>
      <c r="G46" s="53">
        <f t="shared" ref="G46:X46" si="20">+G132</f>
        <v>10389</v>
      </c>
      <c r="H46" s="53">
        <f t="shared" si="20"/>
        <v>0</v>
      </c>
      <c r="I46" s="53">
        <f t="shared" si="20"/>
        <v>9589</v>
      </c>
      <c r="J46" s="53">
        <f t="shared" si="20"/>
        <v>0</v>
      </c>
      <c r="K46" s="53">
        <f t="shared" si="20"/>
        <v>9189</v>
      </c>
      <c r="L46" s="53">
        <f t="shared" si="20"/>
        <v>0</v>
      </c>
      <c r="M46" s="53">
        <f t="shared" si="20"/>
        <v>0</v>
      </c>
      <c r="N46" s="53">
        <f t="shared" si="20"/>
        <v>0</v>
      </c>
      <c r="O46" s="53">
        <f t="shared" si="20"/>
        <v>0</v>
      </c>
      <c r="P46" s="53">
        <f t="shared" si="20"/>
        <v>0</v>
      </c>
      <c r="Q46" s="53">
        <f t="shared" si="20"/>
        <v>0</v>
      </c>
      <c r="R46" s="53">
        <f t="shared" si="20"/>
        <v>236.65</v>
      </c>
      <c r="S46" s="53">
        <f t="shared" si="20"/>
        <v>11370.34</v>
      </c>
      <c r="T46" s="53">
        <f t="shared" si="20"/>
        <v>0</v>
      </c>
      <c r="U46" s="53">
        <f t="shared" si="20"/>
        <v>10033.26</v>
      </c>
      <c r="V46" s="53">
        <f t="shared" si="20"/>
        <v>0</v>
      </c>
      <c r="W46" s="53">
        <f t="shared" si="20"/>
        <v>0</v>
      </c>
      <c r="X46" s="53">
        <f t="shared" si="20"/>
        <v>0</v>
      </c>
      <c r="Y46" s="40">
        <f>SUM(G46:X46)</f>
        <v>50807.250000000007</v>
      </c>
    </row>
    <row r="47" spans="2:25" ht="35.1" customHeight="1">
      <c r="C47" s="54" t="s">
        <v>35</v>
      </c>
      <c r="D47" s="51" t="s">
        <v>75</v>
      </c>
      <c r="E47" s="57" t="s">
        <v>76</v>
      </c>
      <c r="F47" s="53">
        <f t="shared" ref="F47:X47" si="21">+F133+F195</f>
        <v>0</v>
      </c>
      <c r="G47" s="53">
        <f t="shared" si="21"/>
        <v>0</v>
      </c>
      <c r="H47" s="53">
        <f t="shared" si="21"/>
        <v>0</v>
      </c>
      <c r="I47" s="53">
        <f t="shared" si="21"/>
        <v>0</v>
      </c>
      <c r="J47" s="53">
        <f t="shared" si="21"/>
        <v>0</v>
      </c>
      <c r="K47" s="53">
        <f t="shared" si="21"/>
        <v>0</v>
      </c>
      <c r="L47" s="53">
        <f t="shared" si="21"/>
        <v>0</v>
      </c>
      <c r="M47" s="53">
        <f t="shared" si="21"/>
        <v>0</v>
      </c>
      <c r="N47" s="53">
        <f t="shared" si="21"/>
        <v>0</v>
      </c>
      <c r="O47" s="53">
        <f t="shared" si="21"/>
        <v>0</v>
      </c>
      <c r="P47" s="53">
        <f t="shared" si="21"/>
        <v>355</v>
      </c>
      <c r="Q47" s="53">
        <f t="shared" si="21"/>
        <v>0</v>
      </c>
      <c r="R47" s="53">
        <f t="shared" si="21"/>
        <v>0</v>
      </c>
      <c r="S47" s="53">
        <f t="shared" si="21"/>
        <v>0</v>
      </c>
      <c r="T47" s="53">
        <f t="shared" si="21"/>
        <v>0</v>
      </c>
      <c r="U47" s="53">
        <f t="shared" si="21"/>
        <v>2135.7399999999998</v>
      </c>
      <c r="V47" s="53">
        <f t="shared" si="21"/>
        <v>376.44</v>
      </c>
      <c r="W47" s="53">
        <f t="shared" si="21"/>
        <v>0</v>
      </c>
      <c r="X47" s="53">
        <f t="shared" si="21"/>
        <v>0</v>
      </c>
      <c r="Y47" s="40">
        <f>SUM(G47:X47)</f>
        <v>2867.18</v>
      </c>
    </row>
    <row r="48" spans="2:25" s="26" customFormat="1" ht="35.1" customHeight="1">
      <c r="B48" s="1" t="s">
        <v>1</v>
      </c>
      <c r="C48" s="22" t="s">
        <v>77</v>
      </c>
      <c r="D48" s="27" t="s">
        <v>78</v>
      </c>
      <c r="E48" s="28"/>
      <c r="F48" s="25">
        <f t="shared" ref="F48:Y48" si="22">SUM(F49:F55)</f>
        <v>0</v>
      </c>
      <c r="G48" s="25">
        <f t="shared" si="22"/>
        <v>772.04</v>
      </c>
      <c r="H48" s="25">
        <f t="shared" si="22"/>
        <v>0</v>
      </c>
      <c r="I48" s="25">
        <f t="shared" si="22"/>
        <v>2427.04</v>
      </c>
      <c r="J48" s="25">
        <f t="shared" si="22"/>
        <v>0</v>
      </c>
      <c r="K48" s="25">
        <f t="shared" si="22"/>
        <v>21360</v>
      </c>
      <c r="L48" s="25">
        <f t="shared" si="22"/>
        <v>0</v>
      </c>
      <c r="M48" s="25">
        <f t="shared" si="22"/>
        <v>2996.4</v>
      </c>
      <c r="N48" s="25">
        <f t="shared" si="22"/>
        <v>70794.52</v>
      </c>
      <c r="O48" s="25">
        <f t="shared" si="22"/>
        <v>7858.4</v>
      </c>
      <c r="P48" s="25">
        <f t="shared" si="22"/>
        <v>5871</v>
      </c>
      <c r="Q48" s="25">
        <f t="shared" si="22"/>
        <v>3973</v>
      </c>
      <c r="R48" s="25">
        <f t="shared" si="22"/>
        <v>0</v>
      </c>
      <c r="S48" s="25">
        <f t="shared" si="22"/>
        <v>11604.5</v>
      </c>
      <c r="T48" s="25">
        <f t="shared" si="22"/>
        <v>0</v>
      </c>
      <c r="U48" s="25">
        <f t="shared" si="22"/>
        <v>14012</v>
      </c>
      <c r="V48" s="25">
        <f t="shared" si="22"/>
        <v>0</v>
      </c>
      <c r="W48" s="25">
        <f t="shared" si="22"/>
        <v>0</v>
      </c>
      <c r="X48" s="25">
        <f t="shared" si="22"/>
        <v>13560.18</v>
      </c>
      <c r="Y48" s="25">
        <f t="shared" si="22"/>
        <v>155229.08000000002</v>
      </c>
    </row>
    <row r="49" spans="2:25" ht="35.1" customHeight="1">
      <c r="C49" s="54">
        <v>11</v>
      </c>
      <c r="D49" s="56" t="s">
        <v>79</v>
      </c>
      <c r="E49" s="52" t="s">
        <v>80</v>
      </c>
      <c r="F49" s="53">
        <f>+F135</f>
        <v>0</v>
      </c>
      <c r="G49" s="53">
        <f t="shared" ref="G49:X49" si="23">+G135</f>
        <v>0</v>
      </c>
      <c r="H49" s="53">
        <f t="shared" si="23"/>
        <v>0</v>
      </c>
      <c r="I49" s="53">
        <f t="shared" si="23"/>
        <v>377.04</v>
      </c>
      <c r="J49" s="53">
        <f t="shared" si="23"/>
        <v>0</v>
      </c>
      <c r="K49" s="53">
        <f t="shared" si="23"/>
        <v>17400</v>
      </c>
      <c r="L49" s="53">
        <f t="shared" si="23"/>
        <v>0</v>
      </c>
      <c r="M49" s="53">
        <f t="shared" si="23"/>
        <v>0</v>
      </c>
      <c r="N49" s="53">
        <f t="shared" si="23"/>
        <v>8564.48</v>
      </c>
      <c r="O49" s="53">
        <f t="shared" si="23"/>
        <v>6511.4</v>
      </c>
      <c r="P49" s="53">
        <f t="shared" si="23"/>
        <v>1598</v>
      </c>
      <c r="Q49" s="53">
        <f t="shared" si="23"/>
        <v>740</v>
      </c>
      <c r="R49" s="53">
        <f t="shared" si="23"/>
        <v>0</v>
      </c>
      <c r="S49" s="53">
        <f t="shared" si="23"/>
        <v>11604.5</v>
      </c>
      <c r="T49" s="53">
        <f t="shared" si="23"/>
        <v>0</v>
      </c>
      <c r="U49" s="53">
        <f t="shared" si="23"/>
        <v>11471</v>
      </c>
      <c r="V49" s="53">
        <f t="shared" si="23"/>
        <v>0</v>
      </c>
      <c r="W49" s="53">
        <f t="shared" si="23"/>
        <v>0</v>
      </c>
      <c r="X49" s="53">
        <f t="shared" si="23"/>
        <v>0</v>
      </c>
      <c r="Y49" s="40">
        <f t="shared" ref="Y49:Y55" si="24">SUM(G49:X49)</f>
        <v>58266.42</v>
      </c>
    </row>
    <row r="50" spans="2:25" ht="35.1" customHeight="1">
      <c r="C50" s="54" t="s">
        <v>35</v>
      </c>
      <c r="D50" s="51" t="s">
        <v>81</v>
      </c>
      <c r="E50" s="52" t="s">
        <v>82</v>
      </c>
      <c r="F50" s="53">
        <f t="shared" ref="F50:X50" si="25">+F136+F198</f>
        <v>0</v>
      </c>
      <c r="G50" s="53">
        <f t="shared" si="25"/>
        <v>0</v>
      </c>
      <c r="H50" s="53">
        <f t="shared" si="25"/>
        <v>0</v>
      </c>
      <c r="I50" s="53">
        <f t="shared" si="25"/>
        <v>2050</v>
      </c>
      <c r="J50" s="53">
        <f t="shared" si="25"/>
        <v>0</v>
      </c>
      <c r="K50" s="53">
        <f t="shared" si="25"/>
        <v>0</v>
      </c>
      <c r="L50" s="53">
        <f t="shared" si="25"/>
        <v>0</v>
      </c>
      <c r="M50" s="53">
        <f t="shared" si="25"/>
        <v>468.4</v>
      </c>
      <c r="N50" s="53">
        <f t="shared" si="25"/>
        <v>0</v>
      </c>
      <c r="O50" s="53">
        <f t="shared" si="25"/>
        <v>1182</v>
      </c>
      <c r="P50" s="53">
        <f t="shared" si="25"/>
        <v>0</v>
      </c>
      <c r="Q50" s="53">
        <f t="shared" si="25"/>
        <v>0</v>
      </c>
      <c r="R50" s="53">
        <f t="shared" si="25"/>
        <v>0</v>
      </c>
      <c r="S50" s="53">
        <f t="shared" si="25"/>
        <v>0</v>
      </c>
      <c r="T50" s="53">
        <f t="shared" si="25"/>
        <v>0</v>
      </c>
      <c r="U50" s="53">
        <f t="shared" si="25"/>
        <v>0</v>
      </c>
      <c r="V50" s="53">
        <f t="shared" si="25"/>
        <v>0</v>
      </c>
      <c r="W50" s="53">
        <f t="shared" si="25"/>
        <v>0</v>
      </c>
      <c r="X50" s="53">
        <f t="shared" si="25"/>
        <v>0</v>
      </c>
      <c r="Y50" s="40">
        <f t="shared" si="24"/>
        <v>3700.4</v>
      </c>
    </row>
    <row r="51" spans="2:25" ht="35.1" customHeight="1">
      <c r="C51" s="54">
        <v>11</v>
      </c>
      <c r="D51" s="56" t="s">
        <v>83</v>
      </c>
      <c r="E51" s="52" t="s">
        <v>84</v>
      </c>
      <c r="F51" s="53">
        <f>+F137</f>
        <v>0</v>
      </c>
      <c r="G51" s="53">
        <f t="shared" ref="G51:X51" si="26">+G137</f>
        <v>0</v>
      </c>
      <c r="H51" s="53">
        <f t="shared" si="26"/>
        <v>0</v>
      </c>
      <c r="I51" s="53">
        <f t="shared" si="26"/>
        <v>0</v>
      </c>
      <c r="J51" s="53">
        <f t="shared" si="26"/>
        <v>0</v>
      </c>
      <c r="K51" s="53">
        <f t="shared" si="26"/>
        <v>3960</v>
      </c>
      <c r="L51" s="53">
        <f t="shared" si="26"/>
        <v>0</v>
      </c>
      <c r="M51" s="53">
        <f t="shared" si="26"/>
        <v>0</v>
      </c>
      <c r="N51" s="53">
        <f t="shared" si="26"/>
        <v>3998.3</v>
      </c>
      <c r="O51" s="53">
        <f t="shared" si="26"/>
        <v>0</v>
      </c>
      <c r="P51" s="53">
        <f t="shared" si="26"/>
        <v>1138</v>
      </c>
      <c r="Q51" s="53">
        <f t="shared" si="26"/>
        <v>2080</v>
      </c>
      <c r="R51" s="53">
        <f t="shared" si="26"/>
        <v>0</v>
      </c>
      <c r="S51" s="53">
        <f t="shared" si="26"/>
        <v>0</v>
      </c>
      <c r="T51" s="53">
        <f t="shared" si="26"/>
        <v>0</v>
      </c>
      <c r="U51" s="53">
        <f t="shared" si="26"/>
        <v>1619</v>
      </c>
      <c r="V51" s="53">
        <f t="shared" si="26"/>
        <v>0</v>
      </c>
      <c r="W51" s="53">
        <f t="shared" si="26"/>
        <v>0</v>
      </c>
      <c r="X51" s="53">
        <f t="shared" si="26"/>
        <v>9037.24</v>
      </c>
      <c r="Y51" s="40">
        <f t="shared" si="24"/>
        <v>21832.54</v>
      </c>
    </row>
    <row r="52" spans="2:25" ht="35.1" customHeight="1">
      <c r="C52" s="54" t="s">
        <v>35</v>
      </c>
      <c r="D52" s="51" t="s">
        <v>85</v>
      </c>
      <c r="E52" s="52" t="s">
        <v>86</v>
      </c>
      <c r="F52" s="53">
        <f t="shared" ref="F52:X53" si="27">+F138+F199</f>
        <v>0</v>
      </c>
      <c r="G52" s="53">
        <f t="shared" si="27"/>
        <v>0</v>
      </c>
      <c r="H52" s="53">
        <f t="shared" si="27"/>
        <v>0</v>
      </c>
      <c r="I52" s="53">
        <f t="shared" si="27"/>
        <v>0</v>
      </c>
      <c r="J52" s="53">
        <f t="shared" si="27"/>
        <v>0</v>
      </c>
      <c r="K52" s="53">
        <f t="shared" si="27"/>
        <v>0</v>
      </c>
      <c r="L52" s="53">
        <f t="shared" si="27"/>
        <v>0</v>
      </c>
      <c r="M52" s="53">
        <f t="shared" si="27"/>
        <v>0</v>
      </c>
      <c r="N52" s="53">
        <f t="shared" si="27"/>
        <v>2673.5</v>
      </c>
      <c r="O52" s="53">
        <f t="shared" si="27"/>
        <v>0</v>
      </c>
      <c r="P52" s="53">
        <f t="shared" si="27"/>
        <v>0</v>
      </c>
      <c r="Q52" s="53">
        <f t="shared" si="27"/>
        <v>1153</v>
      </c>
      <c r="R52" s="53">
        <f t="shared" si="27"/>
        <v>0</v>
      </c>
      <c r="S52" s="53">
        <f t="shared" si="27"/>
        <v>0</v>
      </c>
      <c r="T52" s="53">
        <f t="shared" si="27"/>
        <v>0</v>
      </c>
      <c r="U52" s="53">
        <f t="shared" si="27"/>
        <v>922</v>
      </c>
      <c r="V52" s="53">
        <f t="shared" si="27"/>
        <v>0</v>
      </c>
      <c r="W52" s="53">
        <f t="shared" si="27"/>
        <v>0</v>
      </c>
      <c r="X52" s="53">
        <f t="shared" si="27"/>
        <v>0</v>
      </c>
      <c r="Y52" s="40">
        <f t="shared" si="24"/>
        <v>4748.5</v>
      </c>
    </row>
    <row r="53" spans="2:25" ht="35.1" customHeight="1">
      <c r="C53" s="54" t="s">
        <v>35</v>
      </c>
      <c r="D53" s="51" t="s">
        <v>87</v>
      </c>
      <c r="E53" s="52" t="s">
        <v>88</v>
      </c>
      <c r="F53" s="53">
        <f t="shared" si="27"/>
        <v>0</v>
      </c>
      <c r="G53" s="53">
        <f t="shared" si="27"/>
        <v>772.04</v>
      </c>
      <c r="H53" s="53">
        <f t="shared" si="27"/>
        <v>0</v>
      </c>
      <c r="I53" s="53">
        <f t="shared" si="27"/>
        <v>0</v>
      </c>
      <c r="J53" s="53">
        <f t="shared" si="27"/>
        <v>0</v>
      </c>
      <c r="K53" s="53">
        <f t="shared" si="27"/>
        <v>0</v>
      </c>
      <c r="L53" s="53">
        <f t="shared" si="27"/>
        <v>0</v>
      </c>
      <c r="M53" s="53">
        <f t="shared" si="27"/>
        <v>2528</v>
      </c>
      <c r="N53" s="53">
        <f t="shared" si="27"/>
        <v>1754.44</v>
      </c>
      <c r="O53" s="53">
        <f t="shared" si="27"/>
        <v>165</v>
      </c>
      <c r="P53" s="53">
        <f t="shared" si="27"/>
        <v>3135</v>
      </c>
      <c r="Q53" s="53">
        <f t="shared" si="27"/>
        <v>0</v>
      </c>
      <c r="R53" s="53">
        <f t="shared" si="27"/>
        <v>0</v>
      </c>
      <c r="S53" s="53">
        <f t="shared" si="27"/>
        <v>0</v>
      </c>
      <c r="T53" s="53">
        <f t="shared" si="27"/>
        <v>0</v>
      </c>
      <c r="U53" s="53">
        <f t="shared" si="27"/>
        <v>0</v>
      </c>
      <c r="V53" s="53">
        <f t="shared" si="27"/>
        <v>0</v>
      </c>
      <c r="W53" s="53">
        <f t="shared" si="27"/>
        <v>0</v>
      </c>
      <c r="X53" s="53">
        <f t="shared" si="27"/>
        <v>4522.9400000000005</v>
      </c>
      <c r="Y53" s="40">
        <f t="shared" si="24"/>
        <v>12877.42</v>
      </c>
    </row>
    <row r="54" spans="2:25" ht="35.1" customHeight="1">
      <c r="C54" s="54">
        <v>11</v>
      </c>
      <c r="D54" s="56" t="s">
        <v>89</v>
      </c>
      <c r="E54" s="52" t="s">
        <v>90</v>
      </c>
      <c r="F54" s="53">
        <f>+F140</f>
        <v>0</v>
      </c>
      <c r="G54" s="53">
        <f t="shared" ref="G54:X54" si="28">+G140</f>
        <v>0</v>
      </c>
      <c r="H54" s="53">
        <f t="shared" si="28"/>
        <v>0</v>
      </c>
      <c r="I54" s="53">
        <f t="shared" si="28"/>
        <v>0</v>
      </c>
      <c r="J54" s="53">
        <f t="shared" si="28"/>
        <v>0</v>
      </c>
      <c r="K54" s="53">
        <f t="shared" si="28"/>
        <v>0</v>
      </c>
      <c r="L54" s="53">
        <f t="shared" si="28"/>
        <v>0</v>
      </c>
      <c r="M54" s="53">
        <f t="shared" si="28"/>
        <v>0</v>
      </c>
      <c r="N54" s="53">
        <f t="shared" si="28"/>
        <v>0</v>
      </c>
      <c r="O54" s="53">
        <f t="shared" si="28"/>
        <v>0</v>
      </c>
      <c r="P54" s="53">
        <f t="shared" si="28"/>
        <v>0</v>
      </c>
      <c r="Q54" s="53">
        <f t="shared" si="28"/>
        <v>0</v>
      </c>
      <c r="R54" s="53">
        <f t="shared" si="28"/>
        <v>0</v>
      </c>
      <c r="S54" s="53">
        <f t="shared" si="28"/>
        <v>0</v>
      </c>
      <c r="T54" s="53">
        <f t="shared" si="28"/>
        <v>0</v>
      </c>
      <c r="U54" s="53">
        <f t="shared" si="28"/>
        <v>0</v>
      </c>
      <c r="V54" s="53">
        <f t="shared" si="28"/>
        <v>0</v>
      </c>
      <c r="W54" s="53">
        <f t="shared" si="28"/>
        <v>0</v>
      </c>
      <c r="X54" s="53">
        <f t="shared" si="28"/>
        <v>0</v>
      </c>
      <c r="Y54" s="40">
        <f t="shared" si="24"/>
        <v>0</v>
      </c>
    </row>
    <row r="55" spans="2:25" ht="35.1" customHeight="1">
      <c r="C55" s="54">
        <v>12</v>
      </c>
      <c r="D55" s="56" t="s">
        <v>91</v>
      </c>
      <c r="E55" s="52" t="s">
        <v>92</v>
      </c>
      <c r="F55" s="53">
        <f>+F197</f>
        <v>0</v>
      </c>
      <c r="G55" s="53">
        <f t="shared" ref="G55:X55" si="29">+G197</f>
        <v>0</v>
      </c>
      <c r="H55" s="53">
        <f t="shared" si="29"/>
        <v>0</v>
      </c>
      <c r="I55" s="53">
        <f t="shared" si="29"/>
        <v>0</v>
      </c>
      <c r="J55" s="53">
        <f t="shared" si="29"/>
        <v>0</v>
      </c>
      <c r="K55" s="53">
        <f t="shared" si="29"/>
        <v>0</v>
      </c>
      <c r="L55" s="53">
        <f t="shared" si="29"/>
        <v>0</v>
      </c>
      <c r="M55" s="53">
        <f t="shared" si="29"/>
        <v>0</v>
      </c>
      <c r="N55" s="53">
        <f t="shared" si="29"/>
        <v>53803.8</v>
      </c>
      <c r="O55" s="53">
        <f t="shared" si="29"/>
        <v>0</v>
      </c>
      <c r="P55" s="53">
        <f t="shared" si="29"/>
        <v>0</v>
      </c>
      <c r="Q55" s="53">
        <f t="shared" si="29"/>
        <v>0</v>
      </c>
      <c r="R55" s="53">
        <f t="shared" si="29"/>
        <v>0</v>
      </c>
      <c r="S55" s="53">
        <f t="shared" si="29"/>
        <v>0</v>
      </c>
      <c r="T55" s="53">
        <f t="shared" si="29"/>
        <v>0</v>
      </c>
      <c r="U55" s="53">
        <f t="shared" si="29"/>
        <v>0</v>
      </c>
      <c r="V55" s="53">
        <f t="shared" si="29"/>
        <v>0</v>
      </c>
      <c r="W55" s="53">
        <f t="shared" si="29"/>
        <v>0</v>
      </c>
      <c r="X55" s="53">
        <f t="shared" si="29"/>
        <v>0</v>
      </c>
      <c r="Y55" s="40">
        <f t="shared" si="24"/>
        <v>53803.8</v>
      </c>
    </row>
    <row r="56" spans="2:25" s="26" customFormat="1" ht="35.1" customHeight="1">
      <c r="B56" s="1" t="s">
        <v>1</v>
      </c>
      <c r="C56" s="22" t="s">
        <v>93</v>
      </c>
      <c r="D56" s="27" t="s">
        <v>94</v>
      </c>
      <c r="E56" s="28"/>
      <c r="F56" s="25">
        <f t="shared" ref="F56:Y56" si="30">SUM(F57:F81)</f>
        <v>0</v>
      </c>
      <c r="G56" s="25">
        <f t="shared" si="30"/>
        <v>52438.049999999996</v>
      </c>
      <c r="H56" s="25">
        <f t="shared" si="30"/>
        <v>118316.76000000001</v>
      </c>
      <c r="I56" s="25">
        <f t="shared" si="30"/>
        <v>143243.56000000003</v>
      </c>
      <c r="J56" s="25">
        <f t="shared" si="30"/>
        <v>22553.600000000002</v>
      </c>
      <c r="K56" s="25">
        <f t="shared" si="30"/>
        <v>426491.3</v>
      </c>
      <c r="L56" s="25">
        <f t="shared" si="30"/>
        <v>32573.739999999998</v>
      </c>
      <c r="M56" s="25">
        <f t="shared" si="30"/>
        <v>291569.33999999997</v>
      </c>
      <c r="N56" s="25">
        <f t="shared" si="30"/>
        <v>32822.160000000003</v>
      </c>
      <c r="O56" s="25">
        <f t="shared" si="30"/>
        <v>226607.32</v>
      </c>
      <c r="P56" s="25">
        <f t="shared" si="30"/>
        <v>205014.84</v>
      </c>
      <c r="Q56" s="25">
        <f t="shared" si="30"/>
        <v>48610.329999999994</v>
      </c>
      <c r="R56" s="25">
        <f t="shared" si="30"/>
        <v>49054.69</v>
      </c>
      <c r="S56" s="25">
        <f t="shared" si="30"/>
        <v>22159.920000000002</v>
      </c>
      <c r="T56" s="25">
        <f t="shared" si="30"/>
        <v>-9592.2300000000014</v>
      </c>
      <c r="U56" s="25">
        <f t="shared" si="30"/>
        <v>1281321.3400000001</v>
      </c>
      <c r="V56" s="25">
        <f t="shared" si="30"/>
        <v>93574.189999999988</v>
      </c>
      <c r="W56" s="25">
        <f t="shared" si="30"/>
        <v>62535.189999999995</v>
      </c>
      <c r="X56" s="25">
        <f t="shared" si="30"/>
        <v>1447615.0099999998</v>
      </c>
      <c r="Y56" s="25">
        <f t="shared" si="30"/>
        <v>4546909.1100000003</v>
      </c>
    </row>
    <row r="57" spans="2:25" ht="35.1" customHeight="1">
      <c r="C57" s="54">
        <v>11</v>
      </c>
      <c r="D57" s="56" t="s">
        <v>95</v>
      </c>
      <c r="E57" s="52" t="s">
        <v>96</v>
      </c>
      <c r="F57" s="53">
        <f>+F142</f>
        <v>0</v>
      </c>
      <c r="G57" s="53">
        <f t="shared" ref="G57:X57" si="31">+G142</f>
        <v>0</v>
      </c>
      <c r="H57" s="53">
        <f t="shared" si="31"/>
        <v>0</v>
      </c>
      <c r="I57" s="53">
        <f t="shared" si="31"/>
        <v>0</v>
      </c>
      <c r="J57" s="53">
        <f t="shared" si="31"/>
        <v>0</v>
      </c>
      <c r="K57" s="53">
        <f t="shared" si="31"/>
        <v>282106.98</v>
      </c>
      <c r="L57" s="53">
        <f t="shared" si="31"/>
        <v>0</v>
      </c>
      <c r="M57" s="53">
        <f t="shared" si="31"/>
        <v>0</v>
      </c>
      <c r="N57" s="53">
        <f t="shared" si="31"/>
        <v>0</v>
      </c>
      <c r="O57" s="53">
        <f t="shared" si="31"/>
        <v>0</v>
      </c>
      <c r="P57" s="53">
        <f t="shared" si="31"/>
        <v>0</v>
      </c>
      <c r="Q57" s="53">
        <f t="shared" si="31"/>
        <v>0</v>
      </c>
      <c r="R57" s="53">
        <f t="shared" si="31"/>
        <v>22466.02</v>
      </c>
      <c r="S57" s="53">
        <f t="shared" si="31"/>
        <v>0</v>
      </c>
      <c r="T57" s="53">
        <f t="shared" si="31"/>
        <v>0</v>
      </c>
      <c r="U57" s="53">
        <f t="shared" si="31"/>
        <v>0</v>
      </c>
      <c r="V57" s="53">
        <f t="shared" si="31"/>
        <v>49708.68</v>
      </c>
      <c r="W57" s="53">
        <f t="shared" si="31"/>
        <v>60000</v>
      </c>
      <c r="X57" s="53">
        <f t="shared" si="31"/>
        <v>0</v>
      </c>
      <c r="Y57" s="40">
        <f t="shared" ref="Y57:Y81" si="32">SUM(G57:X57)</f>
        <v>414281.68</v>
      </c>
    </row>
    <row r="58" spans="2:25" ht="35.1" customHeight="1">
      <c r="C58" s="54" t="s">
        <v>35</v>
      </c>
      <c r="D58" s="56" t="s">
        <v>97</v>
      </c>
      <c r="E58" s="52" t="s">
        <v>98</v>
      </c>
      <c r="F58" s="53">
        <f t="shared" ref="F58:X58" si="33">+F143+F202</f>
        <v>0</v>
      </c>
      <c r="G58" s="53">
        <f t="shared" si="33"/>
        <v>0</v>
      </c>
      <c r="H58" s="53">
        <f t="shared" si="33"/>
        <v>7500</v>
      </c>
      <c r="I58" s="53">
        <f t="shared" si="33"/>
        <v>551.87</v>
      </c>
      <c r="J58" s="53">
        <f t="shared" si="33"/>
        <v>0</v>
      </c>
      <c r="K58" s="53">
        <f t="shared" si="33"/>
        <v>0</v>
      </c>
      <c r="L58" s="53">
        <f t="shared" si="33"/>
        <v>0</v>
      </c>
      <c r="M58" s="53">
        <f t="shared" si="33"/>
        <v>266875.90999999997</v>
      </c>
      <c r="N58" s="53">
        <f t="shared" si="33"/>
        <v>29.04</v>
      </c>
      <c r="O58" s="53">
        <f t="shared" si="33"/>
        <v>0</v>
      </c>
      <c r="P58" s="53">
        <f t="shared" si="33"/>
        <v>0</v>
      </c>
      <c r="Q58" s="53">
        <f t="shared" si="33"/>
        <v>0</v>
      </c>
      <c r="R58" s="53">
        <f t="shared" si="33"/>
        <v>0</v>
      </c>
      <c r="S58" s="53">
        <f t="shared" si="33"/>
        <v>0</v>
      </c>
      <c r="T58" s="53">
        <f t="shared" si="33"/>
        <v>0</v>
      </c>
      <c r="U58" s="53">
        <f t="shared" si="33"/>
        <v>0</v>
      </c>
      <c r="V58" s="53">
        <f t="shared" si="33"/>
        <v>0</v>
      </c>
      <c r="W58" s="53">
        <f t="shared" si="33"/>
        <v>0</v>
      </c>
      <c r="X58" s="53">
        <f t="shared" si="33"/>
        <v>0</v>
      </c>
      <c r="Y58" s="40">
        <f t="shared" si="32"/>
        <v>274956.81999999995</v>
      </c>
    </row>
    <row r="59" spans="2:25" ht="35.1" customHeight="1">
      <c r="C59" s="54" t="s">
        <v>99</v>
      </c>
      <c r="D59" s="56" t="s">
        <v>100</v>
      </c>
      <c r="E59" s="52" t="s">
        <v>101</v>
      </c>
      <c r="F59" s="53">
        <f t="shared" ref="F59:X60" si="34">+F144+F203+F217</f>
        <v>0</v>
      </c>
      <c r="G59" s="53">
        <f t="shared" si="34"/>
        <v>196.87</v>
      </c>
      <c r="H59" s="53">
        <f t="shared" si="34"/>
        <v>3973.89</v>
      </c>
      <c r="I59" s="53">
        <f t="shared" si="34"/>
        <v>35961.19</v>
      </c>
      <c r="J59" s="53">
        <f t="shared" si="34"/>
        <v>18165.400000000001</v>
      </c>
      <c r="K59" s="53">
        <f t="shared" si="34"/>
        <v>0</v>
      </c>
      <c r="L59" s="53">
        <f t="shared" si="34"/>
        <v>0</v>
      </c>
      <c r="M59" s="53">
        <f t="shared" si="34"/>
        <v>0</v>
      </c>
      <c r="N59" s="53">
        <f t="shared" si="34"/>
        <v>0</v>
      </c>
      <c r="O59" s="53">
        <f t="shared" si="34"/>
        <v>0</v>
      </c>
      <c r="P59" s="53">
        <f t="shared" si="34"/>
        <v>0</v>
      </c>
      <c r="Q59" s="53">
        <f t="shared" si="34"/>
        <v>13475.48</v>
      </c>
      <c r="R59" s="53">
        <f t="shared" si="34"/>
        <v>15367</v>
      </c>
      <c r="S59" s="53">
        <f t="shared" si="34"/>
        <v>0</v>
      </c>
      <c r="T59" s="53">
        <f t="shared" si="34"/>
        <v>688.88</v>
      </c>
      <c r="U59" s="53">
        <f t="shared" si="34"/>
        <v>0</v>
      </c>
      <c r="V59" s="53">
        <f t="shared" si="34"/>
        <v>0</v>
      </c>
      <c r="W59" s="53">
        <f t="shared" si="34"/>
        <v>230.31</v>
      </c>
      <c r="X59" s="53">
        <f t="shared" si="34"/>
        <v>0</v>
      </c>
      <c r="Y59" s="40">
        <f t="shared" si="32"/>
        <v>88059.02</v>
      </c>
    </row>
    <row r="60" spans="2:25" ht="35.1" customHeight="1">
      <c r="C60" s="54" t="s">
        <v>99</v>
      </c>
      <c r="D60" s="56" t="s">
        <v>102</v>
      </c>
      <c r="E60" s="52" t="s">
        <v>103</v>
      </c>
      <c r="F60" s="53">
        <f t="shared" si="34"/>
        <v>0</v>
      </c>
      <c r="G60" s="53">
        <f t="shared" si="34"/>
        <v>0</v>
      </c>
      <c r="H60" s="53">
        <f t="shared" si="34"/>
        <v>12626.71</v>
      </c>
      <c r="I60" s="53">
        <f t="shared" si="34"/>
        <v>105095.36</v>
      </c>
      <c r="J60" s="53">
        <f t="shared" si="34"/>
        <v>0</v>
      </c>
      <c r="K60" s="53">
        <f t="shared" si="34"/>
        <v>0</v>
      </c>
      <c r="L60" s="53">
        <f t="shared" si="34"/>
        <v>0</v>
      </c>
      <c r="M60" s="53">
        <f t="shared" si="34"/>
        <v>0</v>
      </c>
      <c r="N60" s="53">
        <f t="shared" si="34"/>
        <v>29303.119999999999</v>
      </c>
      <c r="O60" s="53">
        <f t="shared" si="34"/>
        <v>21169.06</v>
      </c>
      <c r="P60" s="53">
        <f t="shared" si="34"/>
        <v>0</v>
      </c>
      <c r="Q60" s="53">
        <f t="shared" si="34"/>
        <v>0</v>
      </c>
      <c r="R60" s="53">
        <f t="shared" si="34"/>
        <v>0</v>
      </c>
      <c r="S60" s="53">
        <f t="shared" si="34"/>
        <v>0</v>
      </c>
      <c r="T60" s="53">
        <f t="shared" si="34"/>
        <v>0</v>
      </c>
      <c r="U60" s="53">
        <f t="shared" si="34"/>
        <v>0</v>
      </c>
      <c r="V60" s="53">
        <f t="shared" si="34"/>
        <v>30357.89</v>
      </c>
      <c r="W60" s="53">
        <f t="shared" si="34"/>
        <v>0</v>
      </c>
      <c r="X60" s="53">
        <f t="shared" si="34"/>
        <v>0</v>
      </c>
      <c r="Y60" s="40">
        <f t="shared" si="32"/>
        <v>198552.14</v>
      </c>
    </row>
    <row r="61" spans="2:25" ht="35.1" customHeight="1">
      <c r="C61" s="54" t="s">
        <v>35</v>
      </c>
      <c r="D61" s="56" t="s">
        <v>104</v>
      </c>
      <c r="E61" s="52" t="s">
        <v>105</v>
      </c>
      <c r="F61" s="53">
        <f t="shared" ref="F61:X61" si="35">+F146+F205</f>
        <v>0</v>
      </c>
      <c r="G61" s="53">
        <f t="shared" si="35"/>
        <v>14806.23</v>
      </c>
      <c r="H61" s="53">
        <f t="shared" si="35"/>
        <v>0</v>
      </c>
      <c r="I61" s="53">
        <f t="shared" si="35"/>
        <v>125.14</v>
      </c>
      <c r="J61" s="53">
        <f t="shared" si="35"/>
        <v>154.55000000000001</v>
      </c>
      <c r="K61" s="53">
        <f t="shared" si="35"/>
        <v>0</v>
      </c>
      <c r="L61" s="53">
        <f t="shared" si="35"/>
        <v>21297.09</v>
      </c>
      <c r="M61" s="53">
        <f t="shared" si="35"/>
        <v>10742.98</v>
      </c>
      <c r="N61" s="53">
        <f t="shared" si="35"/>
        <v>3213.8700000000003</v>
      </c>
      <c r="O61" s="53">
        <f t="shared" si="35"/>
        <v>2069.54</v>
      </c>
      <c r="P61" s="53">
        <f t="shared" si="35"/>
        <v>0</v>
      </c>
      <c r="Q61" s="53">
        <f t="shared" si="35"/>
        <v>20912.25</v>
      </c>
      <c r="R61" s="53">
        <f t="shared" si="35"/>
        <v>0</v>
      </c>
      <c r="S61" s="53">
        <f t="shared" si="35"/>
        <v>18294.23</v>
      </c>
      <c r="T61" s="53">
        <f t="shared" si="35"/>
        <v>0</v>
      </c>
      <c r="U61" s="53">
        <f t="shared" si="35"/>
        <v>0</v>
      </c>
      <c r="V61" s="53">
        <f t="shared" si="35"/>
        <v>0</v>
      </c>
      <c r="W61" s="53">
        <f t="shared" si="35"/>
        <v>0</v>
      </c>
      <c r="X61" s="53">
        <f t="shared" si="35"/>
        <v>44.29</v>
      </c>
      <c r="Y61" s="40">
        <f t="shared" si="32"/>
        <v>91660.169999999984</v>
      </c>
    </row>
    <row r="62" spans="2:25" ht="35.1" customHeight="1">
      <c r="C62" s="54">
        <v>11</v>
      </c>
      <c r="D62" s="56" t="s">
        <v>106</v>
      </c>
      <c r="E62" s="52" t="s">
        <v>107</v>
      </c>
      <c r="F62" s="53">
        <f>+F147</f>
        <v>0</v>
      </c>
      <c r="G62" s="53">
        <f t="shared" ref="G62:X72" si="36">+G147</f>
        <v>0</v>
      </c>
      <c r="H62" s="53">
        <f t="shared" si="36"/>
        <v>92725.62</v>
      </c>
      <c r="I62" s="53">
        <f t="shared" si="36"/>
        <v>0</v>
      </c>
      <c r="J62" s="53">
        <f t="shared" si="36"/>
        <v>0</v>
      </c>
      <c r="K62" s="53">
        <f t="shared" si="36"/>
        <v>142651.62</v>
      </c>
      <c r="L62" s="53">
        <f t="shared" si="36"/>
        <v>0</v>
      </c>
      <c r="M62" s="53">
        <f t="shared" si="36"/>
        <v>0</v>
      </c>
      <c r="N62" s="53">
        <f t="shared" si="36"/>
        <v>0</v>
      </c>
      <c r="O62" s="53">
        <f t="shared" si="36"/>
        <v>0</v>
      </c>
      <c r="P62" s="53">
        <f t="shared" si="36"/>
        <v>204340.44</v>
      </c>
      <c r="Q62" s="53">
        <f t="shared" si="36"/>
        <v>0</v>
      </c>
      <c r="R62" s="53">
        <f t="shared" si="36"/>
        <v>0</v>
      </c>
      <c r="S62" s="53">
        <f t="shared" si="36"/>
        <v>0</v>
      </c>
      <c r="T62" s="53">
        <f t="shared" si="36"/>
        <v>0</v>
      </c>
      <c r="U62" s="53">
        <f t="shared" si="36"/>
        <v>174229.02</v>
      </c>
      <c r="V62" s="53">
        <f t="shared" si="36"/>
        <v>0</v>
      </c>
      <c r="W62" s="53">
        <f t="shared" si="36"/>
        <v>0</v>
      </c>
      <c r="X62" s="53">
        <f t="shared" si="36"/>
        <v>14500</v>
      </c>
      <c r="Y62" s="40">
        <f t="shared" si="32"/>
        <v>628446.69999999995</v>
      </c>
    </row>
    <row r="63" spans="2:25" ht="35.1" customHeight="1">
      <c r="C63" s="54">
        <v>11</v>
      </c>
      <c r="D63" s="56" t="s">
        <v>108</v>
      </c>
      <c r="E63" s="52" t="s">
        <v>109</v>
      </c>
      <c r="F63" s="53">
        <f>+F148</f>
        <v>0</v>
      </c>
      <c r="G63" s="53">
        <f t="shared" si="36"/>
        <v>0</v>
      </c>
      <c r="H63" s="53">
        <f t="shared" si="36"/>
        <v>686.27</v>
      </c>
      <c r="I63" s="53">
        <f t="shared" si="36"/>
        <v>0</v>
      </c>
      <c r="J63" s="53">
        <f t="shared" si="36"/>
        <v>3026.62</v>
      </c>
      <c r="K63" s="53">
        <f t="shared" si="36"/>
        <v>0</v>
      </c>
      <c r="L63" s="53">
        <f t="shared" si="36"/>
        <v>0</v>
      </c>
      <c r="M63" s="53">
        <f t="shared" si="36"/>
        <v>0</v>
      </c>
      <c r="N63" s="53">
        <f t="shared" si="36"/>
        <v>0</v>
      </c>
      <c r="O63" s="53">
        <f t="shared" si="36"/>
        <v>0</v>
      </c>
      <c r="P63" s="53">
        <f t="shared" si="36"/>
        <v>0</v>
      </c>
      <c r="Q63" s="53">
        <f t="shared" si="36"/>
        <v>0</v>
      </c>
      <c r="R63" s="53">
        <f t="shared" si="36"/>
        <v>6805.71</v>
      </c>
      <c r="S63" s="53">
        <f t="shared" si="36"/>
        <v>2382.29</v>
      </c>
      <c r="T63" s="53">
        <f t="shared" si="36"/>
        <v>0</v>
      </c>
      <c r="U63" s="53">
        <f t="shared" si="36"/>
        <v>0</v>
      </c>
      <c r="V63" s="53">
        <f t="shared" si="36"/>
        <v>12748.87</v>
      </c>
      <c r="W63" s="53">
        <f t="shared" si="36"/>
        <v>0</v>
      </c>
      <c r="X63" s="53">
        <f t="shared" si="36"/>
        <v>250956.79999999999</v>
      </c>
      <c r="Y63" s="40">
        <f t="shared" si="32"/>
        <v>276606.56</v>
      </c>
    </row>
    <row r="64" spans="2:25" ht="35.1" customHeight="1">
      <c r="C64" s="54">
        <v>11</v>
      </c>
      <c r="D64" s="56" t="s">
        <v>110</v>
      </c>
      <c r="E64" s="52" t="s">
        <v>111</v>
      </c>
      <c r="F64" s="53">
        <f t="shared" ref="F64:F72" si="37">+F149</f>
        <v>0</v>
      </c>
      <c r="G64" s="53">
        <f t="shared" si="36"/>
        <v>0</v>
      </c>
      <c r="H64" s="53">
        <f t="shared" si="36"/>
        <v>0</v>
      </c>
      <c r="I64" s="53">
        <f t="shared" si="36"/>
        <v>0</v>
      </c>
      <c r="J64" s="53">
        <f t="shared" si="36"/>
        <v>0</v>
      </c>
      <c r="K64" s="53">
        <f t="shared" si="36"/>
        <v>0</v>
      </c>
      <c r="L64" s="53">
        <f t="shared" si="36"/>
        <v>0</v>
      </c>
      <c r="M64" s="53">
        <f t="shared" si="36"/>
        <v>0</v>
      </c>
      <c r="N64" s="53">
        <f t="shared" si="36"/>
        <v>0</v>
      </c>
      <c r="O64" s="53">
        <f t="shared" si="36"/>
        <v>0</v>
      </c>
      <c r="P64" s="53">
        <f t="shared" si="36"/>
        <v>0</v>
      </c>
      <c r="Q64" s="53">
        <f t="shared" si="36"/>
        <v>0</v>
      </c>
      <c r="R64" s="53">
        <f t="shared" si="36"/>
        <v>0</v>
      </c>
      <c r="S64" s="53">
        <f t="shared" si="36"/>
        <v>0</v>
      </c>
      <c r="T64" s="53">
        <f t="shared" si="36"/>
        <v>0</v>
      </c>
      <c r="U64" s="53">
        <f t="shared" si="36"/>
        <v>0</v>
      </c>
      <c r="V64" s="53">
        <f t="shared" si="36"/>
        <v>0</v>
      </c>
      <c r="W64" s="53">
        <f t="shared" si="36"/>
        <v>0</v>
      </c>
      <c r="X64" s="53">
        <f t="shared" si="36"/>
        <v>0</v>
      </c>
      <c r="Y64" s="40">
        <f t="shared" si="32"/>
        <v>0</v>
      </c>
    </row>
    <row r="65" spans="3:25" ht="35.1" customHeight="1">
      <c r="C65" s="54">
        <v>11</v>
      </c>
      <c r="D65" s="56" t="s">
        <v>112</v>
      </c>
      <c r="E65" s="52" t="s">
        <v>113</v>
      </c>
      <c r="F65" s="53">
        <f t="shared" si="37"/>
        <v>0</v>
      </c>
      <c r="G65" s="53">
        <f t="shared" si="36"/>
        <v>0</v>
      </c>
      <c r="H65" s="53">
        <f t="shared" si="36"/>
        <v>0</v>
      </c>
      <c r="I65" s="53">
        <f t="shared" si="36"/>
        <v>0</v>
      </c>
      <c r="J65" s="53">
        <f t="shared" si="36"/>
        <v>47.4</v>
      </c>
      <c r="K65" s="53">
        <f t="shared" si="36"/>
        <v>1715.7</v>
      </c>
      <c r="L65" s="53">
        <f t="shared" si="36"/>
        <v>470</v>
      </c>
      <c r="M65" s="53">
        <f t="shared" si="36"/>
        <v>0</v>
      </c>
      <c r="N65" s="53">
        <f t="shared" si="36"/>
        <v>0</v>
      </c>
      <c r="O65" s="53">
        <f t="shared" si="36"/>
        <v>7476</v>
      </c>
      <c r="P65" s="53">
        <f t="shared" si="36"/>
        <v>0</v>
      </c>
      <c r="Q65" s="53">
        <f t="shared" si="36"/>
        <v>2736</v>
      </c>
      <c r="R65" s="53">
        <f t="shared" si="36"/>
        <v>153.87</v>
      </c>
      <c r="S65" s="53">
        <f t="shared" si="36"/>
        <v>0</v>
      </c>
      <c r="T65" s="53">
        <f t="shared" si="36"/>
        <v>0</v>
      </c>
      <c r="U65" s="53">
        <f t="shared" si="36"/>
        <v>0</v>
      </c>
      <c r="V65" s="53">
        <f t="shared" si="36"/>
        <v>0</v>
      </c>
      <c r="W65" s="53">
        <f t="shared" si="36"/>
        <v>0</v>
      </c>
      <c r="X65" s="53">
        <f t="shared" si="36"/>
        <v>0</v>
      </c>
      <c r="Y65" s="40">
        <f t="shared" si="32"/>
        <v>12598.970000000001</v>
      </c>
    </row>
    <row r="66" spans="3:25" ht="35.1" customHeight="1">
      <c r="C66" s="54">
        <v>11</v>
      </c>
      <c r="D66" s="56" t="s">
        <v>114</v>
      </c>
      <c r="E66" s="52" t="s">
        <v>115</v>
      </c>
      <c r="F66" s="53">
        <f t="shared" si="37"/>
        <v>0</v>
      </c>
      <c r="G66" s="53">
        <f t="shared" si="36"/>
        <v>30073</v>
      </c>
      <c r="H66" s="53">
        <f t="shared" si="36"/>
        <v>0</v>
      </c>
      <c r="I66" s="53">
        <f t="shared" si="36"/>
        <v>0</v>
      </c>
      <c r="J66" s="53">
        <f t="shared" si="36"/>
        <v>0</v>
      </c>
      <c r="K66" s="53">
        <f t="shared" si="36"/>
        <v>0</v>
      </c>
      <c r="L66" s="53">
        <f t="shared" si="36"/>
        <v>0</v>
      </c>
      <c r="M66" s="53">
        <f t="shared" si="36"/>
        <v>0</v>
      </c>
      <c r="N66" s="53">
        <f t="shared" si="36"/>
        <v>0</v>
      </c>
      <c r="O66" s="53">
        <f t="shared" si="36"/>
        <v>0</v>
      </c>
      <c r="P66" s="53">
        <f t="shared" si="36"/>
        <v>0</v>
      </c>
      <c r="Q66" s="53">
        <f t="shared" si="36"/>
        <v>0</v>
      </c>
      <c r="R66" s="53">
        <f t="shared" si="36"/>
        <v>0</v>
      </c>
      <c r="S66" s="53">
        <f t="shared" si="36"/>
        <v>0</v>
      </c>
      <c r="T66" s="53">
        <f t="shared" si="36"/>
        <v>0</v>
      </c>
      <c r="U66" s="53">
        <f t="shared" si="36"/>
        <v>0</v>
      </c>
      <c r="V66" s="53">
        <f t="shared" si="36"/>
        <v>0</v>
      </c>
      <c r="W66" s="53">
        <f t="shared" si="36"/>
        <v>0</v>
      </c>
      <c r="X66" s="53">
        <f t="shared" si="36"/>
        <v>0</v>
      </c>
      <c r="Y66" s="40">
        <f t="shared" si="32"/>
        <v>30073</v>
      </c>
    </row>
    <row r="67" spans="3:25" ht="35.1" customHeight="1">
      <c r="C67" s="54">
        <v>11</v>
      </c>
      <c r="D67" s="58" t="s">
        <v>116</v>
      </c>
      <c r="E67" s="52" t="s">
        <v>117</v>
      </c>
      <c r="F67" s="53">
        <f t="shared" si="37"/>
        <v>0</v>
      </c>
      <c r="G67" s="53">
        <f t="shared" si="36"/>
        <v>0</v>
      </c>
      <c r="H67" s="53">
        <f t="shared" si="36"/>
        <v>0</v>
      </c>
      <c r="I67" s="53">
        <f t="shared" si="36"/>
        <v>0</v>
      </c>
      <c r="J67" s="53">
        <f t="shared" si="36"/>
        <v>0</v>
      </c>
      <c r="K67" s="53">
        <f t="shared" si="36"/>
        <v>0</v>
      </c>
      <c r="L67" s="53">
        <f t="shared" si="36"/>
        <v>0</v>
      </c>
      <c r="M67" s="53">
        <f t="shared" si="36"/>
        <v>0</v>
      </c>
      <c r="N67" s="53">
        <f t="shared" si="36"/>
        <v>0</v>
      </c>
      <c r="O67" s="53">
        <f t="shared" si="36"/>
        <v>3302.98</v>
      </c>
      <c r="P67" s="53">
        <f t="shared" si="36"/>
        <v>0</v>
      </c>
      <c r="Q67" s="53">
        <f t="shared" si="36"/>
        <v>0</v>
      </c>
      <c r="R67" s="53">
        <f t="shared" si="36"/>
        <v>4236.59</v>
      </c>
      <c r="S67" s="53">
        <f t="shared" si="36"/>
        <v>0</v>
      </c>
      <c r="T67" s="53">
        <f t="shared" si="36"/>
        <v>0</v>
      </c>
      <c r="U67" s="53">
        <f t="shared" si="36"/>
        <v>0</v>
      </c>
      <c r="V67" s="53">
        <f t="shared" si="36"/>
        <v>163.28</v>
      </c>
      <c r="W67" s="53">
        <f t="shared" si="36"/>
        <v>540</v>
      </c>
      <c r="X67" s="53">
        <f t="shared" si="36"/>
        <v>540</v>
      </c>
      <c r="Y67" s="40">
        <f t="shared" si="32"/>
        <v>8782.8499999999985</v>
      </c>
    </row>
    <row r="68" spans="3:25" ht="35.1" customHeight="1">
      <c r="C68" s="54">
        <v>11</v>
      </c>
      <c r="D68" s="56" t="s">
        <v>118</v>
      </c>
      <c r="E68" s="52" t="s">
        <v>119</v>
      </c>
      <c r="F68" s="53">
        <f t="shared" si="37"/>
        <v>0</v>
      </c>
      <c r="G68" s="53">
        <f t="shared" si="36"/>
        <v>6561.95</v>
      </c>
      <c r="H68" s="53">
        <f t="shared" si="36"/>
        <v>-117.98</v>
      </c>
      <c r="I68" s="53">
        <f t="shared" si="36"/>
        <v>0</v>
      </c>
      <c r="J68" s="53">
        <f t="shared" si="36"/>
        <v>117.98</v>
      </c>
      <c r="K68" s="53">
        <f t="shared" si="36"/>
        <v>0</v>
      </c>
      <c r="L68" s="53">
        <f t="shared" si="36"/>
        <v>0</v>
      </c>
      <c r="M68" s="53">
        <f t="shared" si="36"/>
        <v>600.9</v>
      </c>
      <c r="N68" s="53">
        <f t="shared" si="36"/>
        <v>0</v>
      </c>
      <c r="O68" s="53">
        <f t="shared" si="36"/>
        <v>0</v>
      </c>
      <c r="P68" s="53">
        <f t="shared" si="36"/>
        <v>0</v>
      </c>
      <c r="Q68" s="53">
        <f t="shared" si="36"/>
        <v>0</v>
      </c>
      <c r="R68" s="53">
        <f t="shared" si="36"/>
        <v>0</v>
      </c>
      <c r="S68" s="53">
        <f t="shared" si="36"/>
        <v>0</v>
      </c>
      <c r="T68" s="53">
        <f t="shared" si="36"/>
        <v>0</v>
      </c>
      <c r="U68" s="53">
        <f t="shared" si="36"/>
        <v>416.02</v>
      </c>
      <c r="V68" s="53">
        <f t="shared" si="36"/>
        <v>350.9</v>
      </c>
      <c r="W68" s="53">
        <f t="shared" si="36"/>
        <v>0</v>
      </c>
      <c r="X68" s="53">
        <f t="shared" si="36"/>
        <v>0</v>
      </c>
      <c r="Y68" s="40">
        <f t="shared" si="32"/>
        <v>7929.7699999999986</v>
      </c>
    </row>
    <row r="69" spans="3:25" ht="35.1" customHeight="1">
      <c r="C69" s="54">
        <v>11</v>
      </c>
      <c r="D69" s="58" t="s">
        <v>120</v>
      </c>
      <c r="E69" s="52" t="s">
        <v>121</v>
      </c>
      <c r="F69" s="53">
        <f t="shared" si="37"/>
        <v>0</v>
      </c>
      <c r="G69" s="53">
        <f t="shared" si="36"/>
        <v>800</v>
      </c>
      <c r="H69" s="53">
        <f t="shared" si="36"/>
        <v>800</v>
      </c>
      <c r="I69" s="53">
        <f t="shared" si="36"/>
        <v>1510</v>
      </c>
      <c r="J69" s="53">
        <f t="shared" si="36"/>
        <v>949</v>
      </c>
      <c r="K69" s="53">
        <f t="shared" si="36"/>
        <v>0</v>
      </c>
      <c r="L69" s="53">
        <f t="shared" si="36"/>
        <v>866.6</v>
      </c>
      <c r="M69" s="53">
        <f t="shared" si="36"/>
        <v>1800</v>
      </c>
      <c r="N69" s="53">
        <f t="shared" si="36"/>
        <v>91.5</v>
      </c>
      <c r="O69" s="53">
        <f t="shared" si="36"/>
        <v>1642.61</v>
      </c>
      <c r="P69" s="53">
        <f t="shared" si="36"/>
        <v>658</v>
      </c>
      <c r="Q69" s="53">
        <f t="shared" si="36"/>
        <v>435</v>
      </c>
      <c r="R69" s="53">
        <f t="shared" si="36"/>
        <v>0</v>
      </c>
      <c r="S69" s="53">
        <f t="shared" si="36"/>
        <v>1449</v>
      </c>
      <c r="T69" s="53">
        <f t="shared" si="36"/>
        <v>1304.5899999999999</v>
      </c>
      <c r="U69" s="53">
        <f t="shared" si="36"/>
        <v>1200</v>
      </c>
      <c r="V69" s="53">
        <f t="shared" si="36"/>
        <v>41.7</v>
      </c>
      <c r="W69" s="53">
        <f t="shared" si="36"/>
        <v>258.05</v>
      </c>
      <c r="X69" s="53">
        <f t="shared" si="36"/>
        <v>0</v>
      </c>
      <c r="Y69" s="40">
        <f t="shared" si="32"/>
        <v>13806.050000000001</v>
      </c>
    </row>
    <row r="70" spans="3:25" ht="35.1" customHeight="1">
      <c r="C70" s="54">
        <v>11</v>
      </c>
      <c r="D70" s="58" t="s">
        <v>122</v>
      </c>
      <c r="E70" s="52" t="s">
        <v>123</v>
      </c>
      <c r="F70" s="53">
        <f t="shared" si="37"/>
        <v>0</v>
      </c>
      <c r="G70" s="53">
        <f t="shared" si="36"/>
        <v>0</v>
      </c>
      <c r="H70" s="53">
        <f t="shared" si="36"/>
        <v>0</v>
      </c>
      <c r="I70" s="53">
        <f t="shared" si="36"/>
        <v>0</v>
      </c>
      <c r="J70" s="53">
        <f t="shared" si="36"/>
        <v>0</v>
      </c>
      <c r="K70" s="53">
        <f t="shared" si="36"/>
        <v>0</v>
      </c>
      <c r="L70" s="53">
        <f t="shared" si="36"/>
        <v>0</v>
      </c>
      <c r="M70" s="53">
        <f t="shared" si="36"/>
        <v>0</v>
      </c>
      <c r="N70" s="53">
        <f t="shared" si="36"/>
        <v>0</v>
      </c>
      <c r="O70" s="53">
        <f t="shared" si="36"/>
        <v>0</v>
      </c>
      <c r="P70" s="53">
        <f t="shared" si="36"/>
        <v>0</v>
      </c>
      <c r="Q70" s="53">
        <f t="shared" si="36"/>
        <v>0</v>
      </c>
      <c r="R70" s="53">
        <f t="shared" si="36"/>
        <v>0</v>
      </c>
      <c r="S70" s="53">
        <f t="shared" si="36"/>
        <v>0</v>
      </c>
      <c r="T70" s="53">
        <f t="shared" si="36"/>
        <v>10884.25</v>
      </c>
      <c r="U70" s="53">
        <f t="shared" si="36"/>
        <v>0</v>
      </c>
      <c r="V70" s="53">
        <f t="shared" si="36"/>
        <v>0</v>
      </c>
      <c r="W70" s="53">
        <f t="shared" si="36"/>
        <v>0</v>
      </c>
      <c r="X70" s="53">
        <f t="shared" si="36"/>
        <v>0</v>
      </c>
      <c r="Y70" s="40">
        <f t="shared" si="32"/>
        <v>10884.25</v>
      </c>
    </row>
    <row r="71" spans="3:25" ht="35.1" customHeight="1">
      <c r="C71" s="54">
        <v>11</v>
      </c>
      <c r="D71" s="58" t="s">
        <v>124</v>
      </c>
      <c r="E71" s="52" t="s">
        <v>125</v>
      </c>
      <c r="F71" s="53">
        <f t="shared" si="37"/>
        <v>0</v>
      </c>
      <c r="G71" s="53">
        <f t="shared" si="36"/>
        <v>0</v>
      </c>
      <c r="H71" s="53">
        <f t="shared" si="36"/>
        <v>0</v>
      </c>
      <c r="I71" s="53">
        <f t="shared" si="36"/>
        <v>0</v>
      </c>
      <c r="J71" s="53">
        <f t="shared" si="36"/>
        <v>0</v>
      </c>
      <c r="K71" s="53">
        <f t="shared" si="36"/>
        <v>0</v>
      </c>
      <c r="L71" s="53">
        <f t="shared" si="36"/>
        <v>9900</v>
      </c>
      <c r="M71" s="53">
        <f t="shared" si="36"/>
        <v>11500</v>
      </c>
      <c r="N71" s="53">
        <f t="shared" si="36"/>
        <v>0</v>
      </c>
      <c r="O71" s="53">
        <f t="shared" si="36"/>
        <v>0</v>
      </c>
      <c r="P71" s="53">
        <f t="shared" si="36"/>
        <v>0</v>
      </c>
      <c r="Q71" s="53">
        <f t="shared" si="36"/>
        <v>11000</v>
      </c>
      <c r="R71" s="53">
        <f t="shared" si="36"/>
        <v>0</v>
      </c>
      <c r="S71" s="53">
        <f t="shared" si="36"/>
        <v>0</v>
      </c>
      <c r="T71" s="53">
        <f t="shared" si="36"/>
        <v>-22500</v>
      </c>
      <c r="U71" s="53">
        <f t="shared" si="36"/>
        <v>1779.11</v>
      </c>
      <c r="V71" s="53">
        <f t="shared" si="36"/>
        <v>0</v>
      </c>
      <c r="W71" s="53">
        <f t="shared" si="36"/>
        <v>1481.13</v>
      </c>
      <c r="X71" s="53">
        <f t="shared" si="36"/>
        <v>0</v>
      </c>
      <c r="Y71" s="40">
        <f t="shared" si="32"/>
        <v>13160.240000000002</v>
      </c>
    </row>
    <row r="72" spans="3:25" ht="35.1" customHeight="1">
      <c r="C72" s="54">
        <v>11</v>
      </c>
      <c r="D72" s="56" t="s">
        <v>126</v>
      </c>
      <c r="E72" s="52" t="s">
        <v>127</v>
      </c>
      <c r="F72" s="53">
        <f t="shared" si="37"/>
        <v>0</v>
      </c>
      <c r="G72" s="53">
        <f t="shared" si="36"/>
        <v>0</v>
      </c>
      <c r="H72" s="53">
        <f t="shared" si="36"/>
        <v>0</v>
      </c>
      <c r="I72" s="53">
        <f t="shared" si="36"/>
        <v>0</v>
      </c>
      <c r="J72" s="53">
        <f t="shared" si="36"/>
        <v>0</v>
      </c>
      <c r="K72" s="53">
        <f t="shared" si="36"/>
        <v>0</v>
      </c>
      <c r="L72" s="53">
        <f t="shared" si="36"/>
        <v>0</v>
      </c>
      <c r="M72" s="53">
        <f t="shared" si="36"/>
        <v>0</v>
      </c>
      <c r="N72" s="53">
        <f t="shared" si="36"/>
        <v>0</v>
      </c>
      <c r="O72" s="53">
        <f t="shared" si="36"/>
        <v>0</v>
      </c>
      <c r="P72" s="53">
        <f t="shared" si="36"/>
        <v>0</v>
      </c>
      <c r="Q72" s="53">
        <f t="shared" si="36"/>
        <v>0</v>
      </c>
      <c r="R72" s="53">
        <f t="shared" si="36"/>
        <v>0</v>
      </c>
      <c r="S72" s="53">
        <f t="shared" si="36"/>
        <v>0</v>
      </c>
      <c r="T72" s="53">
        <f t="shared" si="36"/>
        <v>0</v>
      </c>
      <c r="U72" s="53">
        <f t="shared" si="36"/>
        <v>0</v>
      </c>
      <c r="V72" s="53">
        <f t="shared" si="36"/>
        <v>0</v>
      </c>
      <c r="W72" s="53">
        <f t="shared" si="36"/>
        <v>0</v>
      </c>
      <c r="X72" s="53">
        <f t="shared" si="36"/>
        <v>0</v>
      </c>
      <c r="Y72" s="40">
        <f t="shared" si="32"/>
        <v>0</v>
      </c>
    </row>
    <row r="73" spans="3:25" ht="35.1" customHeight="1">
      <c r="C73" s="54" t="s">
        <v>128</v>
      </c>
      <c r="D73" s="56" t="s">
        <v>129</v>
      </c>
      <c r="E73" s="52" t="s">
        <v>130</v>
      </c>
      <c r="F73" s="53">
        <f>+F158+F226</f>
        <v>0</v>
      </c>
      <c r="G73" s="53">
        <f>+G158+G226</f>
        <v>0</v>
      </c>
      <c r="H73" s="53">
        <f t="shared" ref="H73:X74" si="38">+H158+H226</f>
        <v>0</v>
      </c>
      <c r="I73" s="53">
        <f t="shared" si="38"/>
        <v>0</v>
      </c>
      <c r="J73" s="53">
        <f t="shared" si="38"/>
        <v>0</v>
      </c>
      <c r="K73" s="53">
        <f t="shared" si="38"/>
        <v>0</v>
      </c>
      <c r="L73" s="53">
        <f t="shared" si="38"/>
        <v>0</v>
      </c>
      <c r="M73" s="53">
        <f t="shared" si="38"/>
        <v>0</v>
      </c>
      <c r="N73" s="53">
        <f t="shared" si="38"/>
        <v>0</v>
      </c>
      <c r="O73" s="53">
        <f t="shared" si="38"/>
        <v>190907.88</v>
      </c>
      <c r="P73" s="53">
        <f t="shared" si="38"/>
        <v>0</v>
      </c>
      <c r="Q73" s="53">
        <f t="shared" si="38"/>
        <v>0</v>
      </c>
      <c r="R73" s="53">
        <f t="shared" si="38"/>
        <v>0</v>
      </c>
      <c r="S73" s="53">
        <f t="shared" si="38"/>
        <v>0</v>
      </c>
      <c r="T73" s="53">
        <f t="shared" si="38"/>
        <v>0</v>
      </c>
      <c r="U73" s="53">
        <f t="shared" si="38"/>
        <v>0</v>
      </c>
      <c r="V73" s="53">
        <f t="shared" si="38"/>
        <v>0</v>
      </c>
      <c r="W73" s="53">
        <f t="shared" si="38"/>
        <v>0</v>
      </c>
      <c r="X73" s="53">
        <f t="shared" si="38"/>
        <v>0</v>
      </c>
      <c r="Y73" s="40">
        <f t="shared" si="32"/>
        <v>190907.88</v>
      </c>
    </row>
    <row r="74" spans="3:25" ht="35.1" customHeight="1">
      <c r="C74" s="54" t="s">
        <v>128</v>
      </c>
      <c r="D74" s="56" t="s">
        <v>131</v>
      </c>
      <c r="E74" s="52" t="s">
        <v>132</v>
      </c>
      <c r="F74" s="53">
        <f t="shared" ref="F74:U81" si="39">+F159</f>
        <v>0</v>
      </c>
      <c r="G74" s="53">
        <f>+G159+G227</f>
        <v>0</v>
      </c>
      <c r="H74" s="53">
        <f t="shared" si="38"/>
        <v>0</v>
      </c>
      <c r="I74" s="53">
        <f t="shared" si="38"/>
        <v>0</v>
      </c>
      <c r="J74" s="53">
        <f t="shared" si="38"/>
        <v>0</v>
      </c>
      <c r="K74" s="53">
        <f t="shared" si="38"/>
        <v>0</v>
      </c>
      <c r="L74" s="53">
        <f t="shared" si="38"/>
        <v>0</v>
      </c>
      <c r="M74" s="53">
        <f t="shared" si="38"/>
        <v>0</v>
      </c>
      <c r="N74" s="53">
        <f t="shared" si="38"/>
        <v>104.13</v>
      </c>
      <c r="O74" s="53">
        <f t="shared" si="38"/>
        <v>0</v>
      </c>
      <c r="P74" s="53">
        <f t="shared" si="38"/>
        <v>0</v>
      </c>
      <c r="Q74" s="53">
        <f t="shared" si="38"/>
        <v>0</v>
      </c>
      <c r="R74" s="53">
        <f t="shared" si="38"/>
        <v>0</v>
      </c>
      <c r="S74" s="53">
        <f t="shared" si="38"/>
        <v>0</v>
      </c>
      <c r="T74" s="53">
        <f t="shared" si="38"/>
        <v>0</v>
      </c>
      <c r="U74" s="53">
        <f t="shared" si="38"/>
        <v>0</v>
      </c>
      <c r="V74" s="53">
        <f t="shared" si="38"/>
        <v>158.97</v>
      </c>
      <c r="W74" s="53">
        <f t="shared" si="38"/>
        <v>0</v>
      </c>
      <c r="X74" s="53">
        <f t="shared" si="38"/>
        <v>0</v>
      </c>
      <c r="Y74" s="40">
        <f t="shared" si="32"/>
        <v>263.10000000000002</v>
      </c>
    </row>
    <row r="75" spans="3:25" ht="35.1" customHeight="1">
      <c r="C75" s="54">
        <v>11</v>
      </c>
      <c r="D75" s="56" t="s">
        <v>133</v>
      </c>
      <c r="E75" s="52" t="s">
        <v>134</v>
      </c>
      <c r="F75" s="53">
        <f t="shared" si="39"/>
        <v>0</v>
      </c>
      <c r="G75" s="53">
        <f t="shared" si="39"/>
        <v>0</v>
      </c>
      <c r="H75" s="53">
        <f t="shared" si="39"/>
        <v>0</v>
      </c>
      <c r="I75" s="53">
        <f t="shared" si="39"/>
        <v>0</v>
      </c>
      <c r="J75" s="53">
        <f t="shared" si="39"/>
        <v>0</v>
      </c>
      <c r="K75" s="53">
        <f t="shared" si="39"/>
        <v>0</v>
      </c>
      <c r="L75" s="53">
        <f t="shared" si="39"/>
        <v>0</v>
      </c>
      <c r="M75" s="53">
        <f t="shared" si="39"/>
        <v>0</v>
      </c>
      <c r="N75" s="53">
        <f t="shared" si="39"/>
        <v>0</v>
      </c>
      <c r="O75" s="53">
        <f t="shared" si="39"/>
        <v>0</v>
      </c>
      <c r="P75" s="53">
        <f t="shared" si="39"/>
        <v>0</v>
      </c>
      <c r="Q75" s="53">
        <f t="shared" si="39"/>
        <v>0</v>
      </c>
      <c r="R75" s="53">
        <f t="shared" si="39"/>
        <v>0</v>
      </c>
      <c r="S75" s="53">
        <f t="shared" si="39"/>
        <v>0</v>
      </c>
      <c r="T75" s="53">
        <f t="shared" si="39"/>
        <v>0</v>
      </c>
      <c r="U75" s="53">
        <f t="shared" si="39"/>
        <v>907122.86</v>
      </c>
      <c r="V75" s="53">
        <f t="shared" ref="V75:AL81" si="40">+V160</f>
        <v>0</v>
      </c>
      <c r="W75" s="53">
        <f t="shared" si="40"/>
        <v>0</v>
      </c>
      <c r="X75" s="53">
        <f t="shared" si="40"/>
        <v>0</v>
      </c>
      <c r="Y75" s="40">
        <f t="shared" si="32"/>
        <v>907122.86</v>
      </c>
    </row>
    <row r="76" spans="3:25" ht="35.1" customHeight="1">
      <c r="C76" s="54">
        <v>11</v>
      </c>
      <c r="D76" s="56" t="s">
        <v>135</v>
      </c>
      <c r="E76" s="52" t="s">
        <v>136</v>
      </c>
      <c r="F76" s="53">
        <f t="shared" si="39"/>
        <v>0</v>
      </c>
      <c r="G76" s="53">
        <f t="shared" si="39"/>
        <v>0</v>
      </c>
      <c r="H76" s="53">
        <f t="shared" si="39"/>
        <v>0</v>
      </c>
      <c r="I76" s="53">
        <f t="shared" si="39"/>
        <v>0</v>
      </c>
      <c r="J76" s="53">
        <f t="shared" si="39"/>
        <v>0</v>
      </c>
      <c r="K76" s="53">
        <f t="shared" si="39"/>
        <v>0</v>
      </c>
      <c r="L76" s="53">
        <f t="shared" si="39"/>
        <v>0</v>
      </c>
      <c r="M76" s="53">
        <f t="shared" si="39"/>
        <v>0</v>
      </c>
      <c r="N76" s="53">
        <f t="shared" si="39"/>
        <v>0</v>
      </c>
      <c r="O76" s="53">
        <f t="shared" si="39"/>
        <v>0</v>
      </c>
      <c r="P76" s="53">
        <f t="shared" si="39"/>
        <v>0</v>
      </c>
      <c r="Q76" s="53">
        <f t="shared" si="39"/>
        <v>0</v>
      </c>
      <c r="R76" s="53">
        <f t="shared" si="39"/>
        <v>0</v>
      </c>
      <c r="S76" s="53">
        <f t="shared" si="39"/>
        <v>0</v>
      </c>
      <c r="T76" s="53">
        <f t="shared" si="39"/>
        <v>0</v>
      </c>
      <c r="U76" s="53">
        <f t="shared" si="39"/>
        <v>196543.28</v>
      </c>
      <c r="V76" s="53">
        <f t="shared" si="40"/>
        <v>0</v>
      </c>
      <c r="W76" s="53">
        <f t="shared" si="40"/>
        <v>0</v>
      </c>
      <c r="X76" s="53">
        <f t="shared" si="40"/>
        <v>0</v>
      </c>
      <c r="Y76" s="40">
        <f t="shared" si="32"/>
        <v>196543.28</v>
      </c>
    </row>
    <row r="77" spans="3:25" ht="35.1" customHeight="1">
      <c r="C77" s="54">
        <v>11</v>
      </c>
      <c r="D77" s="56" t="s">
        <v>137</v>
      </c>
      <c r="E77" s="52" t="s">
        <v>138</v>
      </c>
      <c r="F77" s="53">
        <f t="shared" si="39"/>
        <v>0</v>
      </c>
      <c r="G77" s="53">
        <f t="shared" si="39"/>
        <v>0</v>
      </c>
      <c r="H77" s="53">
        <f t="shared" si="39"/>
        <v>0</v>
      </c>
      <c r="I77" s="53">
        <f t="shared" si="39"/>
        <v>0</v>
      </c>
      <c r="J77" s="53">
        <f t="shared" si="39"/>
        <v>0</v>
      </c>
      <c r="K77" s="53">
        <f t="shared" si="39"/>
        <v>0</v>
      </c>
      <c r="L77" s="53">
        <f t="shared" si="39"/>
        <v>0</v>
      </c>
      <c r="M77" s="53">
        <f t="shared" si="39"/>
        <v>0</v>
      </c>
      <c r="N77" s="53">
        <f t="shared" si="39"/>
        <v>0</v>
      </c>
      <c r="O77" s="53">
        <f t="shared" si="39"/>
        <v>0</v>
      </c>
      <c r="P77" s="53">
        <f t="shared" si="39"/>
        <v>0</v>
      </c>
      <c r="Q77" s="53">
        <f t="shared" si="39"/>
        <v>0</v>
      </c>
      <c r="R77" s="53">
        <f t="shared" si="39"/>
        <v>0</v>
      </c>
      <c r="S77" s="53">
        <f t="shared" si="39"/>
        <v>0</v>
      </c>
      <c r="T77" s="53">
        <f t="shared" si="39"/>
        <v>0</v>
      </c>
      <c r="U77" s="53">
        <f t="shared" si="39"/>
        <v>0</v>
      </c>
      <c r="V77" s="53">
        <f t="shared" si="40"/>
        <v>0</v>
      </c>
      <c r="W77" s="53">
        <f t="shared" si="40"/>
        <v>0</v>
      </c>
      <c r="X77" s="53">
        <f t="shared" si="40"/>
        <v>619310.98</v>
      </c>
      <c r="Y77" s="40">
        <f t="shared" si="32"/>
        <v>619310.98</v>
      </c>
    </row>
    <row r="78" spans="3:25" ht="35.1" customHeight="1">
      <c r="C78" s="54">
        <v>11</v>
      </c>
      <c r="D78" s="56" t="s">
        <v>139</v>
      </c>
      <c r="E78" s="52" t="s">
        <v>140</v>
      </c>
      <c r="F78" s="53">
        <f t="shared" si="39"/>
        <v>0</v>
      </c>
      <c r="G78" s="53">
        <f t="shared" si="39"/>
        <v>0</v>
      </c>
      <c r="H78" s="53">
        <f t="shared" si="39"/>
        <v>0</v>
      </c>
      <c r="I78" s="53">
        <f t="shared" si="39"/>
        <v>0</v>
      </c>
      <c r="J78" s="53">
        <f t="shared" si="39"/>
        <v>0</v>
      </c>
      <c r="K78" s="53">
        <f t="shared" si="39"/>
        <v>0</v>
      </c>
      <c r="L78" s="53">
        <f t="shared" si="39"/>
        <v>0</v>
      </c>
      <c r="M78" s="53">
        <f t="shared" si="39"/>
        <v>0</v>
      </c>
      <c r="N78" s="53">
        <f t="shared" si="39"/>
        <v>0</v>
      </c>
      <c r="O78" s="53">
        <f t="shared" si="39"/>
        <v>0</v>
      </c>
      <c r="P78" s="53">
        <f t="shared" si="39"/>
        <v>0</v>
      </c>
      <c r="Q78" s="53">
        <f t="shared" si="39"/>
        <v>0</v>
      </c>
      <c r="R78" s="53">
        <f t="shared" si="39"/>
        <v>0</v>
      </c>
      <c r="S78" s="53">
        <f t="shared" si="39"/>
        <v>0</v>
      </c>
      <c r="T78" s="53">
        <f t="shared" si="39"/>
        <v>0</v>
      </c>
      <c r="U78" s="53">
        <f t="shared" si="39"/>
        <v>0</v>
      </c>
      <c r="V78" s="53">
        <f t="shared" si="40"/>
        <v>0</v>
      </c>
      <c r="W78" s="53">
        <f t="shared" si="40"/>
        <v>0</v>
      </c>
      <c r="X78" s="53">
        <f t="shared" si="40"/>
        <v>0</v>
      </c>
      <c r="Y78" s="40">
        <f t="shared" si="32"/>
        <v>0</v>
      </c>
    </row>
    <row r="79" spans="3:25" ht="35.1" customHeight="1">
      <c r="C79" s="54">
        <v>11</v>
      </c>
      <c r="D79" s="56" t="s">
        <v>141</v>
      </c>
      <c r="E79" s="52" t="s">
        <v>142</v>
      </c>
      <c r="F79" s="53">
        <f t="shared" si="39"/>
        <v>0</v>
      </c>
      <c r="G79" s="53">
        <f t="shared" si="39"/>
        <v>0</v>
      </c>
      <c r="H79" s="53">
        <f t="shared" si="39"/>
        <v>0</v>
      </c>
      <c r="I79" s="53">
        <f t="shared" si="39"/>
        <v>0</v>
      </c>
      <c r="J79" s="53">
        <f t="shared" si="39"/>
        <v>0</v>
      </c>
      <c r="K79" s="53">
        <f t="shared" si="39"/>
        <v>0</v>
      </c>
      <c r="L79" s="53">
        <f t="shared" si="39"/>
        <v>0</v>
      </c>
      <c r="M79" s="53">
        <f t="shared" si="39"/>
        <v>0</v>
      </c>
      <c r="N79" s="53">
        <f t="shared" si="39"/>
        <v>0</v>
      </c>
      <c r="O79" s="53">
        <f t="shared" si="39"/>
        <v>0</v>
      </c>
      <c r="P79" s="53">
        <f t="shared" si="39"/>
        <v>0</v>
      </c>
      <c r="Q79" s="53">
        <f t="shared" si="39"/>
        <v>0</v>
      </c>
      <c r="R79" s="53">
        <f t="shared" si="39"/>
        <v>0</v>
      </c>
      <c r="S79" s="53">
        <f t="shared" si="39"/>
        <v>0</v>
      </c>
      <c r="T79" s="53">
        <f t="shared" si="39"/>
        <v>0</v>
      </c>
      <c r="U79" s="53">
        <f t="shared" si="39"/>
        <v>0</v>
      </c>
      <c r="V79" s="53">
        <f t="shared" si="40"/>
        <v>0</v>
      </c>
      <c r="W79" s="53">
        <f t="shared" si="40"/>
        <v>0</v>
      </c>
      <c r="X79" s="53">
        <f t="shared" si="40"/>
        <v>471829.5</v>
      </c>
      <c r="Y79" s="40">
        <f t="shared" si="32"/>
        <v>471829.5</v>
      </c>
    </row>
    <row r="80" spans="3:25" ht="35.1" customHeight="1">
      <c r="C80" s="54">
        <v>11</v>
      </c>
      <c r="D80" s="56" t="s">
        <v>143</v>
      </c>
      <c r="E80" s="52" t="s">
        <v>144</v>
      </c>
      <c r="F80" s="53">
        <f t="shared" si="39"/>
        <v>0</v>
      </c>
      <c r="G80" s="53">
        <f t="shared" si="39"/>
        <v>0</v>
      </c>
      <c r="H80" s="53">
        <f t="shared" si="39"/>
        <v>0</v>
      </c>
      <c r="I80" s="53">
        <f t="shared" si="39"/>
        <v>0</v>
      </c>
      <c r="J80" s="53">
        <f t="shared" si="39"/>
        <v>0</v>
      </c>
      <c r="K80" s="53">
        <f t="shared" si="39"/>
        <v>0</v>
      </c>
      <c r="L80" s="53">
        <f t="shared" si="39"/>
        <v>0</v>
      </c>
      <c r="M80" s="53">
        <f t="shared" si="39"/>
        <v>0</v>
      </c>
      <c r="N80" s="53">
        <f t="shared" si="39"/>
        <v>0</v>
      </c>
      <c r="O80" s="53">
        <f t="shared" si="39"/>
        <v>0</v>
      </c>
      <c r="P80" s="53">
        <f t="shared" si="39"/>
        <v>0</v>
      </c>
      <c r="Q80" s="53">
        <f t="shared" si="39"/>
        <v>0</v>
      </c>
      <c r="R80" s="53">
        <f t="shared" si="39"/>
        <v>0</v>
      </c>
      <c r="S80" s="53">
        <f t="shared" si="39"/>
        <v>0</v>
      </c>
      <c r="T80" s="53">
        <f t="shared" si="39"/>
        <v>0</v>
      </c>
      <c r="U80" s="53">
        <f t="shared" si="39"/>
        <v>0</v>
      </c>
      <c r="V80" s="53">
        <f t="shared" si="40"/>
        <v>0</v>
      </c>
      <c r="W80" s="53">
        <f t="shared" si="40"/>
        <v>0</v>
      </c>
      <c r="X80" s="53">
        <f t="shared" si="40"/>
        <v>90399.44</v>
      </c>
      <c r="Y80" s="40">
        <f t="shared" si="32"/>
        <v>90399.44</v>
      </c>
    </row>
    <row r="81" spans="2:25" ht="35.1" customHeight="1">
      <c r="C81" s="54">
        <v>11</v>
      </c>
      <c r="D81" s="56" t="s">
        <v>145</v>
      </c>
      <c r="E81" s="52" t="s">
        <v>146</v>
      </c>
      <c r="F81" s="53">
        <f t="shared" si="39"/>
        <v>0</v>
      </c>
      <c r="G81" s="53">
        <f t="shared" si="39"/>
        <v>0</v>
      </c>
      <c r="H81" s="53">
        <f t="shared" si="39"/>
        <v>122.25</v>
      </c>
      <c r="I81" s="53">
        <f t="shared" si="39"/>
        <v>0</v>
      </c>
      <c r="J81" s="53">
        <f t="shared" si="39"/>
        <v>92.65</v>
      </c>
      <c r="K81" s="53">
        <f t="shared" si="39"/>
        <v>17</v>
      </c>
      <c r="L81" s="53">
        <f t="shared" si="39"/>
        <v>40.049999999999997</v>
      </c>
      <c r="M81" s="53">
        <f t="shared" si="39"/>
        <v>49.55</v>
      </c>
      <c r="N81" s="53">
        <f t="shared" si="39"/>
        <v>80.5</v>
      </c>
      <c r="O81" s="53">
        <f t="shared" si="39"/>
        <v>39.25</v>
      </c>
      <c r="P81" s="53">
        <f t="shared" si="39"/>
        <v>16.399999999999999</v>
      </c>
      <c r="Q81" s="53">
        <f t="shared" si="39"/>
        <v>51.6</v>
      </c>
      <c r="R81" s="53">
        <f t="shared" si="39"/>
        <v>25.5</v>
      </c>
      <c r="S81" s="53">
        <f t="shared" si="39"/>
        <v>34.4</v>
      </c>
      <c r="T81" s="53">
        <f t="shared" si="39"/>
        <v>30.05</v>
      </c>
      <c r="U81" s="53">
        <f t="shared" si="39"/>
        <v>31.05</v>
      </c>
      <c r="V81" s="53">
        <f t="shared" si="40"/>
        <v>43.9</v>
      </c>
      <c r="W81" s="53">
        <f t="shared" si="40"/>
        <v>25.7</v>
      </c>
      <c r="X81" s="53">
        <f t="shared" si="40"/>
        <v>34</v>
      </c>
      <c r="Y81" s="40">
        <f t="shared" si="32"/>
        <v>733.84999999999991</v>
      </c>
    </row>
    <row r="82" spans="2:25" s="26" customFormat="1" ht="35.1" customHeight="1">
      <c r="B82" s="1" t="s">
        <v>1</v>
      </c>
      <c r="C82" s="22" t="s">
        <v>147</v>
      </c>
      <c r="D82" s="27" t="s">
        <v>148</v>
      </c>
      <c r="E82" s="28"/>
      <c r="F82" s="25">
        <f t="shared" ref="F82:Y82" si="41">SUM(F83:F95)</f>
        <v>0</v>
      </c>
      <c r="G82" s="25">
        <f t="shared" si="41"/>
        <v>178363.8</v>
      </c>
      <c r="H82" s="25">
        <f t="shared" ref="H82:X82" si="42">SUM(H83:H95)</f>
        <v>130887.61</v>
      </c>
      <c r="I82" s="25">
        <f t="shared" si="42"/>
        <v>1402956.0899999999</v>
      </c>
      <c r="J82" s="25">
        <f t="shared" si="42"/>
        <v>32993.9</v>
      </c>
      <c r="K82" s="25">
        <f t="shared" si="42"/>
        <v>724158.64</v>
      </c>
      <c r="L82" s="25">
        <f t="shared" si="42"/>
        <v>579</v>
      </c>
      <c r="M82" s="25">
        <f t="shared" si="42"/>
        <v>55356.880000000005</v>
      </c>
      <c r="N82" s="25">
        <f t="shared" si="42"/>
        <v>24073.88</v>
      </c>
      <c r="O82" s="25">
        <f t="shared" si="42"/>
        <v>22176.71</v>
      </c>
      <c r="P82" s="25">
        <f t="shared" si="42"/>
        <v>0</v>
      </c>
      <c r="Q82" s="25">
        <f t="shared" si="42"/>
        <v>187359.27</v>
      </c>
      <c r="R82" s="25">
        <f t="shared" si="42"/>
        <v>218509.57</v>
      </c>
      <c r="S82" s="25">
        <f t="shared" si="42"/>
        <v>149766.1</v>
      </c>
      <c r="T82" s="25">
        <f t="shared" si="42"/>
        <v>0</v>
      </c>
      <c r="U82" s="25">
        <f t="shared" si="42"/>
        <v>1672.52</v>
      </c>
      <c r="V82" s="25">
        <f t="shared" si="42"/>
        <v>5028</v>
      </c>
      <c r="W82" s="25">
        <f t="shared" si="42"/>
        <v>2572.15</v>
      </c>
      <c r="X82" s="25">
        <f t="shared" si="42"/>
        <v>3935</v>
      </c>
      <c r="Y82" s="25">
        <f t="shared" si="41"/>
        <v>3140389.12</v>
      </c>
    </row>
    <row r="83" spans="2:25" ht="35.1" customHeight="1">
      <c r="C83" s="54" t="s">
        <v>35</v>
      </c>
      <c r="D83" s="56" t="s">
        <v>149</v>
      </c>
      <c r="E83" s="52" t="s">
        <v>150</v>
      </c>
      <c r="F83" s="53">
        <f>+F168+F207</f>
        <v>0</v>
      </c>
      <c r="G83" s="53">
        <f t="shared" ref="G83:X86" si="43">+G168+G207</f>
        <v>176807.53</v>
      </c>
      <c r="H83" s="53">
        <f t="shared" si="43"/>
        <v>0</v>
      </c>
      <c r="I83" s="53">
        <f t="shared" si="43"/>
        <v>22023.599999999999</v>
      </c>
      <c r="J83" s="53">
        <f t="shared" si="43"/>
        <v>0</v>
      </c>
      <c r="K83" s="53">
        <f t="shared" si="43"/>
        <v>24826.55</v>
      </c>
      <c r="L83" s="53">
        <f t="shared" si="43"/>
        <v>0</v>
      </c>
      <c r="M83" s="53">
        <f t="shared" si="43"/>
        <v>54508.08</v>
      </c>
      <c r="N83" s="53">
        <f t="shared" si="43"/>
        <v>396.87</v>
      </c>
      <c r="O83" s="53">
        <f t="shared" si="43"/>
        <v>4659.3100000000004</v>
      </c>
      <c r="P83" s="53">
        <f t="shared" si="43"/>
        <v>0</v>
      </c>
      <c r="Q83" s="53">
        <f t="shared" si="43"/>
        <v>6719.28</v>
      </c>
      <c r="R83" s="53">
        <f t="shared" si="43"/>
        <v>7923.6900000000005</v>
      </c>
      <c r="S83" s="53">
        <f t="shared" si="43"/>
        <v>61517.99</v>
      </c>
      <c r="T83" s="53">
        <f t="shared" si="43"/>
        <v>0</v>
      </c>
      <c r="U83" s="53">
        <f t="shared" si="43"/>
        <v>0</v>
      </c>
      <c r="V83" s="53">
        <f t="shared" si="43"/>
        <v>0</v>
      </c>
      <c r="W83" s="53">
        <f t="shared" si="43"/>
        <v>0</v>
      </c>
      <c r="X83" s="53">
        <f t="shared" si="43"/>
        <v>0</v>
      </c>
      <c r="Y83" s="40">
        <f t="shared" ref="Y83:Y95" si="44">SUM(G83:X83)</f>
        <v>359382.9</v>
      </c>
    </row>
    <row r="84" spans="2:25" ht="35.1" customHeight="1">
      <c r="C84" s="54" t="s">
        <v>35</v>
      </c>
      <c r="D84" s="56" t="s">
        <v>151</v>
      </c>
      <c r="E84" s="52" t="s">
        <v>152</v>
      </c>
      <c r="F84" s="53">
        <f>+F169+F208</f>
        <v>0</v>
      </c>
      <c r="G84" s="53">
        <f t="shared" si="43"/>
        <v>0</v>
      </c>
      <c r="H84" s="53">
        <f t="shared" si="43"/>
        <v>0</v>
      </c>
      <c r="I84" s="53">
        <f t="shared" si="43"/>
        <v>0</v>
      </c>
      <c r="J84" s="53">
        <f t="shared" si="43"/>
        <v>0</v>
      </c>
      <c r="K84" s="53">
        <f t="shared" si="43"/>
        <v>524221.31</v>
      </c>
      <c r="L84" s="53">
        <f t="shared" si="43"/>
        <v>0</v>
      </c>
      <c r="M84" s="53">
        <f t="shared" si="43"/>
        <v>0</v>
      </c>
      <c r="N84" s="53">
        <f t="shared" si="43"/>
        <v>12878.98</v>
      </c>
      <c r="O84" s="53">
        <f t="shared" si="43"/>
        <v>0</v>
      </c>
      <c r="P84" s="53">
        <f t="shared" si="43"/>
        <v>0</v>
      </c>
      <c r="Q84" s="53">
        <f t="shared" si="43"/>
        <v>0</v>
      </c>
      <c r="R84" s="53">
        <f t="shared" si="43"/>
        <v>105883.14</v>
      </c>
      <c r="S84" s="53">
        <f t="shared" si="43"/>
        <v>0</v>
      </c>
      <c r="T84" s="53">
        <f t="shared" si="43"/>
        <v>0</v>
      </c>
      <c r="U84" s="53">
        <f t="shared" si="43"/>
        <v>0</v>
      </c>
      <c r="V84" s="53">
        <f t="shared" si="43"/>
        <v>0</v>
      </c>
      <c r="W84" s="53">
        <f t="shared" si="43"/>
        <v>0</v>
      </c>
      <c r="X84" s="53">
        <f t="shared" si="43"/>
        <v>0</v>
      </c>
      <c r="Y84" s="40">
        <f t="shared" si="44"/>
        <v>642983.43000000005</v>
      </c>
    </row>
    <row r="85" spans="2:25" ht="35.1" customHeight="1">
      <c r="C85" s="54" t="s">
        <v>35</v>
      </c>
      <c r="D85" s="56" t="s">
        <v>153</v>
      </c>
      <c r="E85" s="52" t="s">
        <v>154</v>
      </c>
      <c r="F85" s="53">
        <f>+F170+F209</f>
        <v>0</v>
      </c>
      <c r="G85" s="53">
        <f t="shared" si="43"/>
        <v>0</v>
      </c>
      <c r="H85" s="53">
        <f t="shared" si="43"/>
        <v>0</v>
      </c>
      <c r="I85" s="53">
        <f t="shared" si="43"/>
        <v>0</v>
      </c>
      <c r="J85" s="53">
        <f t="shared" si="43"/>
        <v>0</v>
      </c>
      <c r="K85" s="53">
        <f t="shared" si="43"/>
        <v>21580.639999999999</v>
      </c>
      <c r="L85" s="53">
        <f t="shared" si="43"/>
        <v>0</v>
      </c>
      <c r="M85" s="53">
        <f t="shared" si="43"/>
        <v>0</v>
      </c>
      <c r="N85" s="53">
        <f t="shared" si="43"/>
        <v>847.65</v>
      </c>
      <c r="O85" s="53">
        <f t="shared" si="43"/>
        <v>12241.58</v>
      </c>
      <c r="P85" s="53">
        <f t="shared" si="43"/>
        <v>0</v>
      </c>
      <c r="Q85" s="53">
        <f t="shared" si="43"/>
        <v>0</v>
      </c>
      <c r="R85" s="53">
        <f t="shared" si="43"/>
        <v>0</v>
      </c>
      <c r="S85" s="53">
        <f t="shared" si="43"/>
        <v>0</v>
      </c>
      <c r="T85" s="53">
        <f t="shared" si="43"/>
        <v>0</v>
      </c>
      <c r="U85" s="53">
        <f t="shared" si="43"/>
        <v>0</v>
      </c>
      <c r="V85" s="53">
        <f t="shared" si="43"/>
        <v>5028</v>
      </c>
      <c r="W85" s="53">
        <f t="shared" si="43"/>
        <v>2572.15</v>
      </c>
      <c r="X85" s="53">
        <f t="shared" si="43"/>
        <v>0</v>
      </c>
      <c r="Y85" s="40">
        <f t="shared" si="44"/>
        <v>42270.020000000004</v>
      </c>
    </row>
    <row r="86" spans="2:25" ht="35.1" customHeight="1">
      <c r="C86" s="54" t="s">
        <v>35</v>
      </c>
      <c r="D86" s="56" t="s">
        <v>155</v>
      </c>
      <c r="E86" s="52" t="s">
        <v>156</v>
      </c>
      <c r="F86" s="53">
        <f>+F171</f>
        <v>0</v>
      </c>
      <c r="G86" s="53">
        <f>+G171+G210</f>
        <v>1556.27</v>
      </c>
      <c r="H86" s="53">
        <f t="shared" si="43"/>
        <v>0</v>
      </c>
      <c r="I86" s="53">
        <f t="shared" si="43"/>
        <v>0</v>
      </c>
      <c r="J86" s="53">
        <f t="shared" si="43"/>
        <v>0</v>
      </c>
      <c r="K86" s="53">
        <f t="shared" si="43"/>
        <v>0</v>
      </c>
      <c r="L86" s="53">
        <f t="shared" si="43"/>
        <v>0</v>
      </c>
      <c r="M86" s="53">
        <f t="shared" si="43"/>
        <v>0</v>
      </c>
      <c r="N86" s="53">
        <f t="shared" si="43"/>
        <v>0</v>
      </c>
      <c r="O86" s="53">
        <f t="shared" si="43"/>
        <v>0</v>
      </c>
      <c r="P86" s="53">
        <f t="shared" si="43"/>
        <v>0</v>
      </c>
      <c r="Q86" s="53">
        <f t="shared" si="43"/>
        <v>0</v>
      </c>
      <c r="R86" s="53">
        <f t="shared" si="43"/>
        <v>1818.67</v>
      </c>
      <c r="S86" s="53">
        <f t="shared" si="43"/>
        <v>0</v>
      </c>
      <c r="T86" s="53">
        <f t="shared" si="43"/>
        <v>0</v>
      </c>
      <c r="U86" s="53">
        <f t="shared" si="43"/>
        <v>0</v>
      </c>
      <c r="V86" s="53">
        <f t="shared" si="43"/>
        <v>0</v>
      </c>
      <c r="W86" s="53">
        <f t="shared" si="43"/>
        <v>0</v>
      </c>
      <c r="X86" s="53">
        <f t="shared" si="43"/>
        <v>0</v>
      </c>
      <c r="Y86" s="40">
        <f t="shared" si="44"/>
        <v>3374.94</v>
      </c>
    </row>
    <row r="87" spans="2:25" ht="35.1" customHeight="1">
      <c r="C87" s="54">
        <v>11</v>
      </c>
      <c r="D87" s="56" t="s">
        <v>157</v>
      </c>
      <c r="E87" s="52" t="s">
        <v>158</v>
      </c>
      <c r="F87" s="53">
        <f>+F172</f>
        <v>0</v>
      </c>
      <c r="G87" s="53">
        <f t="shared" ref="G87:X87" si="45">+G172</f>
        <v>0</v>
      </c>
      <c r="H87" s="53">
        <f t="shared" si="45"/>
        <v>0</v>
      </c>
      <c r="I87" s="53">
        <f t="shared" si="45"/>
        <v>0</v>
      </c>
      <c r="J87" s="53">
        <f t="shared" si="45"/>
        <v>0</v>
      </c>
      <c r="K87" s="53">
        <f t="shared" si="45"/>
        <v>0</v>
      </c>
      <c r="L87" s="53">
        <f t="shared" si="45"/>
        <v>0</v>
      </c>
      <c r="M87" s="53">
        <f t="shared" si="45"/>
        <v>0</v>
      </c>
      <c r="N87" s="53">
        <f t="shared" si="45"/>
        <v>0</v>
      </c>
      <c r="O87" s="53">
        <f t="shared" si="45"/>
        <v>0</v>
      </c>
      <c r="P87" s="53">
        <f t="shared" si="45"/>
        <v>0</v>
      </c>
      <c r="Q87" s="53">
        <f t="shared" si="45"/>
        <v>0</v>
      </c>
      <c r="R87" s="53">
        <f t="shared" si="45"/>
        <v>0</v>
      </c>
      <c r="S87" s="53">
        <f t="shared" si="45"/>
        <v>0</v>
      </c>
      <c r="T87" s="53">
        <f t="shared" si="45"/>
        <v>0</v>
      </c>
      <c r="U87" s="53">
        <f t="shared" si="45"/>
        <v>0</v>
      </c>
      <c r="V87" s="53">
        <f t="shared" si="45"/>
        <v>0</v>
      </c>
      <c r="W87" s="53">
        <f t="shared" si="45"/>
        <v>0</v>
      </c>
      <c r="X87" s="53">
        <f t="shared" si="45"/>
        <v>0</v>
      </c>
      <c r="Y87" s="40">
        <f t="shared" si="44"/>
        <v>0</v>
      </c>
    </row>
    <row r="88" spans="2:25" ht="35.1" customHeight="1">
      <c r="C88" s="54" t="s">
        <v>35</v>
      </c>
      <c r="D88" s="56" t="s">
        <v>159</v>
      </c>
      <c r="E88" s="52" t="s">
        <v>160</v>
      </c>
      <c r="F88" s="53">
        <f>+F173+F211</f>
        <v>0</v>
      </c>
      <c r="G88" s="53">
        <f t="shared" ref="G88:X89" si="46">+G173+G211</f>
        <v>0</v>
      </c>
      <c r="H88" s="53">
        <f t="shared" si="46"/>
        <v>0</v>
      </c>
      <c r="I88" s="53">
        <f t="shared" si="46"/>
        <v>18503.82</v>
      </c>
      <c r="J88" s="53">
        <f t="shared" si="46"/>
        <v>0</v>
      </c>
      <c r="K88" s="53">
        <f t="shared" si="46"/>
        <v>0</v>
      </c>
      <c r="L88" s="53">
        <f t="shared" si="46"/>
        <v>0</v>
      </c>
      <c r="M88" s="53">
        <f t="shared" si="46"/>
        <v>848.8</v>
      </c>
      <c r="N88" s="53">
        <f t="shared" si="46"/>
        <v>190</v>
      </c>
      <c r="O88" s="53">
        <f t="shared" si="46"/>
        <v>1725.8600000000001</v>
      </c>
      <c r="P88" s="53">
        <f t="shared" si="46"/>
        <v>0</v>
      </c>
      <c r="Q88" s="53">
        <f t="shared" si="46"/>
        <v>0</v>
      </c>
      <c r="R88" s="53">
        <f t="shared" si="46"/>
        <v>0</v>
      </c>
      <c r="S88" s="53">
        <f t="shared" si="46"/>
        <v>0</v>
      </c>
      <c r="T88" s="53">
        <f t="shared" si="46"/>
        <v>0</v>
      </c>
      <c r="U88" s="53">
        <f t="shared" si="46"/>
        <v>257.52</v>
      </c>
      <c r="V88" s="53">
        <f t="shared" si="46"/>
        <v>0</v>
      </c>
      <c r="W88" s="53">
        <f t="shared" si="46"/>
        <v>0</v>
      </c>
      <c r="X88" s="53">
        <f t="shared" si="46"/>
        <v>3935</v>
      </c>
      <c r="Y88" s="40">
        <f t="shared" si="44"/>
        <v>25461</v>
      </c>
    </row>
    <row r="89" spans="2:25" ht="35.1" customHeight="1">
      <c r="C89" s="54" t="s">
        <v>35</v>
      </c>
      <c r="D89" s="56" t="s">
        <v>161</v>
      </c>
      <c r="E89" s="52" t="s">
        <v>162</v>
      </c>
      <c r="F89" s="53">
        <f>+F174+F212</f>
        <v>0</v>
      </c>
      <c r="G89" s="53">
        <f t="shared" si="46"/>
        <v>0</v>
      </c>
      <c r="H89" s="53">
        <f t="shared" si="46"/>
        <v>0</v>
      </c>
      <c r="I89" s="53">
        <f t="shared" si="46"/>
        <v>0</v>
      </c>
      <c r="J89" s="53">
        <f t="shared" si="46"/>
        <v>0</v>
      </c>
      <c r="K89" s="53">
        <f t="shared" si="46"/>
        <v>1020</v>
      </c>
      <c r="L89" s="53">
        <f t="shared" si="46"/>
        <v>579</v>
      </c>
      <c r="M89" s="53">
        <f t="shared" si="46"/>
        <v>0</v>
      </c>
      <c r="N89" s="53">
        <f t="shared" si="46"/>
        <v>21</v>
      </c>
      <c r="O89" s="53">
        <f t="shared" si="46"/>
        <v>0</v>
      </c>
      <c r="P89" s="53">
        <f t="shared" si="46"/>
        <v>0</v>
      </c>
      <c r="Q89" s="53">
        <f t="shared" si="46"/>
        <v>0</v>
      </c>
      <c r="R89" s="53">
        <f t="shared" si="46"/>
        <v>0</v>
      </c>
      <c r="S89" s="53">
        <f t="shared" si="46"/>
        <v>0</v>
      </c>
      <c r="T89" s="53">
        <f t="shared" si="46"/>
        <v>0</v>
      </c>
      <c r="U89" s="53">
        <f t="shared" si="46"/>
        <v>0</v>
      </c>
      <c r="V89" s="53">
        <f t="shared" si="46"/>
        <v>0</v>
      </c>
      <c r="W89" s="53">
        <f t="shared" si="46"/>
        <v>0</v>
      </c>
      <c r="X89" s="53">
        <f t="shared" si="46"/>
        <v>0</v>
      </c>
      <c r="Y89" s="40">
        <f t="shared" si="44"/>
        <v>1620</v>
      </c>
    </row>
    <row r="90" spans="2:25" ht="35.1" customHeight="1">
      <c r="C90" s="54" t="s">
        <v>163</v>
      </c>
      <c r="D90" s="56" t="s">
        <v>164</v>
      </c>
      <c r="E90" s="52" t="s">
        <v>165</v>
      </c>
      <c r="F90" s="53">
        <f>+F175+F222</f>
        <v>0</v>
      </c>
      <c r="G90" s="53">
        <f t="shared" ref="G90:X90" si="47">+G175+G222</f>
        <v>0</v>
      </c>
      <c r="H90" s="53">
        <f t="shared" si="47"/>
        <v>1924.32</v>
      </c>
      <c r="I90" s="53">
        <f t="shared" si="47"/>
        <v>0</v>
      </c>
      <c r="J90" s="53">
        <f t="shared" si="47"/>
        <v>0</v>
      </c>
      <c r="K90" s="53">
        <f t="shared" si="47"/>
        <v>0</v>
      </c>
      <c r="L90" s="53">
        <f t="shared" si="47"/>
        <v>0</v>
      </c>
      <c r="M90" s="53">
        <f t="shared" si="47"/>
        <v>0</v>
      </c>
      <c r="N90" s="53">
        <f t="shared" si="47"/>
        <v>101.28</v>
      </c>
      <c r="O90" s="53">
        <f t="shared" si="47"/>
        <v>0</v>
      </c>
      <c r="P90" s="53">
        <f t="shared" si="47"/>
        <v>0</v>
      </c>
      <c r="Q90" s="53">
        <f t="shared" si="47"/>
        <v>0</v>
      </c>
      <c r="R90" s="53">
        <f t="shared" si="47"/>
        <v>0</v>
      </c>
      <c r="S90" s="53">
        <f t="shared" si="47"/>
        <v>88248.11</v>
      </c>
      <c r="T90" s="53">
        <f t="shared" si="47"/>
        <v>0</v>
      </c>
      <c r="U90" s="53">
        <f t="shared" si="47"/>
        <v>0</v>
      </c>
      <c r="V90" s="53">
        <f t="shared" si="47"/>
        <v>0</v>
      </c>
      <c r="W90" s="53">
        <f t="shared" si="47"/>
        <v>0</v>
      </c>
      <c r="X90" s="53">
        <f t="shared" si="47"/>
        <v>0</v>
      </c>
      <c r="Y90" s="40">
        <f t="shared" si="44"/>
        <v>90273.71</v>
      </c>
    </row>
    <row r="91" spans="2:25" ht="35.1" customHeight="1">
      <c r="C91" s="54" t="s">
        <v>35</v>
      </c>
      <c r="D91" s="56" t="s">
        <v>166</v>
      </c>
      <c r="E91" s="52" t="s">
        <v>167</v>
      </c>
      <c r="F91" s="53">
        <f>+F176+F213</f>
        <v>0</v>
      </c>
      <c r="G91" s="53">
        <f t="shared" ref="G91:X92" si="48">+G176+G213</f>
        <v>0</v>
      </c>
      <c r="H91" s="53">
        <f t="shared" si="48"/>
        <v>0</v>
      </c>
      <c r="I91" s="53">
        <f t="shared" si="48"/>
        <v>0</v>
      </c>
      <c r="J91" s="53">
        <f t="shared" si="48"/>
        <v>0</v>
      </c>
      <c r="K91" s="53">
        <f t="shared" si="48"/>
        <v>0</v>
      </c>
      <c r="L91" s="53">
        <f t="shared" si="48"/>
        <v>0</v>
      </c>
      <c r="M91" s="53">
        <f t="shared" si="48"/>
        <v>0</v>
      </c>
      <c r="N91" s="53">
        <f t="shared" si="48"/>
        <v>4438.1000000000004</v>
      </c>
      <c r="O91" s="53">
        <f t="shared" si="48"/>
        <v>0</v>
      </c>
      <c r="P91" s="53">
        <f t="shared" si="48"/>
        <v>0</v>
      </c>
      <c r="Q91" s="53">
        <f t="shared" si="48"/>
        <v>180519.99</v>
      </c>
      <c r="R91" s="53">
        <f t="shared" si="48"/>
        <v>37529.760000000002</v>
      </c>
      <c r="S91" s="53">
        <f t="shared" si="48"/>
        <v>0</v>
      </c>
      <c r="T91" s="53">
        <f t="shared" si="48"/>
        <v>0</v>
      </c>
      <c r="U91" s="53">
        <f t="shared" si="48"/>
        <v>0</v>
      </c>
      <c r="V91" s="53">
        <f t="shared" si="48"/>
        <v>0</v>
      </c>
      <c r="W91" s="53">
        <f t="shared" si="48"/>
        <v>0</v>
      </c>
      <c r="X91" s="53">
        <f t="shared" si="48"/>
        <v>0</v>
      </c>
      <c r="Y91" s="40">
        <f t="shared" si="44"/>
        <v>222487.85</v>
      </c>
    </row>
    <row r="92" spans="2:25" ht="35.1" customHeight="1">
      <c r="C92" s="54" t="s">
        <v>35</v>
      </c>
      <c r="D92" s="56" t="s">
        <v>168</v>
      </c>
      <c r="E92" s="52" t="s">
        <v>169</v>
      </c>
      <c r="F92" s="53">
        <f>+F177+F214</f>
        <v>0</v>
      </c>
      <c r="G92" s="53">
        <f t="shared" si="48"/>
        <v>0</v>
      </c>
      <c r="H92" s="53">
        <f t="shared" si="48"/>
        <v>0</v>
      </c>
      <c r="I92" s="53">
        <f t="shared" si="48"/>
        <v>0</v>
      </c>
      <c r="J92" s="53">
        <f t="shared" si="48"/>
        <v>32993.9</v>
      </c>
      <c r="K92" s="53">
        <f t="shared" si="48"/>
        <v>0</v>
      </c>
      <c r="L92" s="53">
        <f t="shared" si="48"/>
        <v>0</v>
      </c>
      <c r="M92" s="53">
        <f t="shared" si="48"/>
        <v>0</v>
      </c>
      <c r="N92" s="53">
        <f t="shared" si="48"/>
        <v>5200</v>
      </c>
      <c r="O92" s="53">
        <f t="shared" si="48"/>
        <v>3549.96</v>
      </c>
      <c r="P92" s="53">
        <f t="shared" si="48"/>
        <v>0</v>
      </c>
      <c r="Q92" s="53">
        <f t="shared" si="48"/>
        <v>120</v>
      </c>
      <c r="R92" s="53">
        <f t="shared" si="48"/>
        <v>0</v>
      </c>
      <c r="S92" s="53">
        <f t="shared" si="48"/>
        <v>0</v>
      </c>
      <c r="T92" s="53">
        <f t="shared" si="48"/>
        <v>0</v>
      </c>
      <c r="U92" s="53">
        <f t="shared" si="48"/>
        <v>1415</v>
      </c>
      <c r="V92" s="53">
        <f t="shared" si="48"/>
        <v>0</v>
      </c>
      <c r="W92" s="53">
        <f t="shared" si="48"/>
        <v>0</v>
      </c>
      <c r="X92" s="53">
        <f t="shared" si="48"/>
        <v>0</v>
      </c>
      <c r="Y92" s="40">
        <f t="shared" si="44"/>
        <v>43278.86</v>
      </c>
    </row>
    <row r="93" spans="2:25" ht="35.1" customHeight="1">
      <c r="C93" s="54">
        <v>14</v>
      </c>
      <c r="D93" s="56" t="s">
        <v>170</v>
      </c>
      <c r="E93" s="52" t="s">
        <v>171</v>
      </c>
      <c r="F93" s="53">
        <f>+F220</f>
        <v>0</v>
      </c>
      <c r="G93" s="53">
        <f t="shared" ref="G93:X94" si="49">+G220</f>
        <v>0</v>
      </c>
      <c r="H93" s="53">
        <f t="shared" si="49"/>
        <v>0</v>
      </c>
      <c r="I93" s="53">
        <f t="shared" si="49"/>
        <v>0</v>
      </c>
      <c r="J93" s="53">
        <f t="shared" si="49"/>
        <v>0</v>
      </c>
      <c r="K93" s="53">
        <f t="shared" si="49"/>
        <v>0</v>
      </c>
      <c r="L93" s="53">
        <f t="shared" si="49"/>
        <v>0</v>
      </c>
      <c r="M93" s="53">
        <f t="shared" si="49"/>
        <v>0</v>
      </c>
      <c r="N93" s="53">
        <f t="shared" si="49"/>
        <v>0</v>
      </c>
      <c r="O93" s="53">
        <f t="shared" si="49"/>
        <v>0</v>
      </c>
      <c r="P93" s="53">
        <f t="shared" si="49"/>
        <v>0</v>
      </c>
      <c r="Q93" s="53">
        <f t="shared" si="49"/>
        <v>0</v>
      </c>
      <c r="R93" s="53">
        <f t="shared" si="49"/>
        <v>0</v>
      </c>
      <c r="S93" s="53">
        <f t="shared" si="49"/>
        <v>0</v>
      </c>
      <c r="T93" s="53">
        <f t="shared" si="49"/>
        <v>0</v>
      </c>
      <c r="U93" s="53">
        <f t="shared" si="49"/>
        <v>0</v>
      </c>
      <c r="V93" s="53">
        <f t="shared" si="49"/>
        <v>0</v>
      </c>
      <c r="W93" s="53">
        <f t="shared" si="49"/>
        <v>0</v>
      </c>
      <c r="X93" s="53">
        <f t="shared" si="49"/>
        <v>0</v>
      </c>
      <c r="Y93" s="40">
        <f t="shared" si="44"/>
        <v>0</v>
      </c>
    </row>
    <row r="94" spans="2:25" ht="35.1" customHeight="1">
      <c r="C94" s="54">
        <v>14</v>
      </c>
      <c r="D94" s="56" t="s">
        <v>172</v>
      </c>
      <c r="E94" s="52" t="s">
        <v>173</v>
      </c>
      <c r="F94" s="53">
        <f>+F221</f>
        <v>0</v>
      </c>
      <c r="G94" s="53">
        <f t="shared" si="49"/>
        <v>0</v>
      </c>
      <c r="H94" s="53">
        <f t="shared" si="49"/>
        <v>0</v>
      </c>
      <c r="I94" s="53">
        <f t="shared" si="49"/>
        <v>0</v>
      </c>
      <c r="J94" s="53">
        <f t="shared" si="49"/>
        <v>0</v>
      </c>
      <c r="K94" s="53">
        <f t="shared" si="49"/>
        <v>0</v>
      </c>
      <c r="L94" s="53">
        <f t="shared" si="49"/>
        <v>0</v>
      </c>
      <c r="M94" s="53">
        <f t="shared" si="49"/>
        <v>0</v>
      </c>
      <c r="N94" s="53">
        <f t="shared" si="49"/>
        <v>0</v>
      </c>
      <c r="O94" s="53">
        <f t="shared" si="49"/>
        <v>0</v>
      </c>
      <c r="P94" s="53">
        <f t="shared" si="49"/>
        <v>0</v>
      </c>
      <c r="Q94" s="53">
        <f t="shared" si="49"/>
        <v>0</v>
      </c>
      <c r="R94" s="53">
        <f t="shared" si="49"/>
        <v>0</v>
      </c>
      <c r="S94" s="53">
        <f t="shared" si="49"/>
        <v>0</v>
      </c>
      <c r="T94" s="53">
        <f t="shared" si="49"/>
        <v>0</v>
      </c>
      <c r="U94" s="53">
        <f t="shared" si="49"/>
        <v>0</v>
      </c>
      <c r="V94" s="53">
        <f t="shared" si="49"/>
        <v>0</v>
      </c>
      <c r="W94" s="53">
        <f t="shared" si="49"/>
        <v>0</v>
      </c>
      <c r="X94" s="53">
        <f t="shared" si="49"/>
        <v>0</v>
      </c>
      <c r="Y94" s="40">
        <f t="shared" si="44"/>
        <v>0</v>
      </c>
    </row>
    <row r="95" spans="2:25" ht="35.1" customHeight="1">
      <c r="C95" s="54">
        <v>14</v>
      </c>
      <c r="D95" s="56" t="s">
        <v>174</v>
      </c>
      <c r="E95" s="52" t="s">
        <v>175</v>
      </c>
      <c r="F95" s="53">
        <f>+F223</f>
        <v>0</v>
      </c>
      <c r="G95" s="53">
        <f t="shared" ref="G95:X95" si="50">+G223</f>
        <v>0</v>
      </c>
      <c r="H95" s="53">
        <f t="shared" si="50"/>
        <v>128963.29</v>
      </c>
      <c r="I95" s="53">
        <f t="shared" si="50"/>
        <v>1362428.67</v>
      </c>
      <c r="J95" s="53">
        <f t="shared" si="50"/>
        <v>0</v>
      </c>
      <c r="K95" s="53">
        <f t="shared" si="50"/>
        <v>152510.14000000001</v>
      </c>
      <c r="L95" s="53">
        <f t="shared" si="50"/>
        <v>0</v>
      </c>
      <c r="M95" s="53">
        <f t="shared" si="50"/>
        <v>0</v>
      </c>
      <c r="N95" s="53">
        <f t="shared" si="50"/>
        <v>0</v>
      </c>
      <c r="O95" s="53">
        <f t="shared" si="50"/>
        <v>0</v>
      </c>
      <c r="P95" s="53">
        <f t="shared" si="50"/>
        <v>0</v>
      </c>
      <c r="Q95" s="53">
        <f t="shared" si="50"/>
        <v>0</v>
      </c>
      <c r="R95" s="53">
        <f t="shared" si="50"/>
        <v>65354.31</v>
      </c>
      <c r="S95" s="53">
        <f t="shared" si="50"/>
        <v>0</v>
      </c>
      <c r="T95" s="53">
        <f t="shared" si="50"/>
        <v>0</v>
      </c>
      <c r="U95" s="53">
        <f t="shared" si="50"/>
        <v>0</v>
      </c>
      <c r="V95" s="53">
        <f t="shared" si="50"/>
        <v>0</v>
      </c>
      <c r="W95" s="53">
        <f t="shared" si="50"/>
        <v>0</v>
      </c>
      <c r="X95" s="53">
        <f t="shared" si="50"/>
        <v>0</v>
      </c>
      <c r="Y95" s="40">
        <f t="shared" si="44"/>
        <v>1709256.4100000001</v>
      </c>
    </row>
    <row r="96" spans="2:25" s="26" customFormat="1" ht="35.1" customHeight="1">
      <c r="B96" s="1" t="s">
        <v>1</v>
      </c>
      <c r="C96" s="22" t="s">
        <v>176</v>
      </c>
      <c r="D96" s="27" t="s">
        <v>177</v>
      </c>
      <c r="E96" s="28"/>
      <c r="F96" s="25">
        <f>SUM(F97:F101)</f>
        <v>0</v>
      </c>
      <c r="G96" s="25">
        <f>SUM(G97:G99)</f>
        <v>0</v>
      </c>
      <c r="H96" s="25">
        <f t="shared" ref="H96:Y96" si="51">SUM(H97:H99)</f>
        <v>0</v>
      </c>
      <c r="I96" s="25">
        <f t="shared" si="51"/>
        <v>0</v>
      </c>
      <c r="J96" s="25">
        <f t="shared" si="51"/>
        <v>0</v>
      </c>
      <c r="K96" s="25">
        <f t="shared" si="51"/>
        <v>0</v>
      </c>
      <c r="L96" s="25">
        <f t="shared" si="51"/>
        <v>0</v>
      </c>
      <c r="M96" s="25">
        <f t="shared" si="51"/>
        <v>0</v>
      </c>
      <c r="N96" s="25">
        <f t="shared" si="51"/>
        <v>0</v>
      </c>
      <c r="O96" s="25">
        <f t="shared" si="51"/>
        <v>0</v>
      </c>
      <c r="P96" s="25">
        <f t="shared" si="51"/>
        <v>0</v>
      </c>
      <c r="Q96" s="25">
        <f t="shared" si="51"/>
        <v>0</v>
      </c>
      <c r="R96" s="25">
        <f t="shared" si="51"/>
        <v>0</v>
      </c>
      <c r="S96" s="25">
        <f t="shared" si="51"/>
        <v>0</v>
      </c>
      <c r="T96" s="25">
        <f t="shared" si="51"/>
        <v>0</v>
      </c>
      <c r="U96" s="25">
        <f t="shared" si="51"/>
        <v>0</v>
      </c>
      <c r="V96" s="25">
        <f t="shared" si="51"/>
        <v>6670</v>
      </c>
      <c r="W96" s="25">
        <f t="shared" si="51"/>
        <v>0</v>
      </c>
      <c r="X96" s="25">
        <f t="shared" si="51"/>
        <v>0</v>
      </c>
      <c r="Y96" s="25">
        <f t="shared" si="51"/>
        <v>6670</v>
      </c>
    </row>
    <row r="97" spans="1:26" ht="35.1" customHeight="1">
      <c r="C97" s="54" t="s">
        <v>178</v>
      </c>
      <c r="D97" s="56" t="s">
        <v>179</v>
      </c>
      <c r="E97" s="52" t="s">
        <v>180</v>
      </c>
      <c r="F97" s="53">
        <f>+F229</f>
        <v>0</v>
      </c>
      <c r="G97" s="53">
        <f t="shared" ref="G97:X99" si="52">+G229</f>
        <v>0</v>
      </c>
      <c r="H97" s="53">
        <f t="shared" si="52"/>
        <v>0</v>
      </c>
      <c r="I97" s="53">
        <f t="shared" si="52"/>
        <v>0</v>
      </c>
      <c r="J97" s="53">
        <f t="shared" si="52"/>
        <v>0</v>
      </c>
      <c r="K97" s="53">
        <f t="shared" si="52"/>
        <v>0</v>
      </c>
      <c r="L97" s="53">
        <f t="shared" si="52"/>
        <v>0</v>
      </c>
      <c r="M97" s="53">
        <f t="shared" si="52"/>
        <v>0</v>
      </c>
      <c r="N97" s="53">
        <f t="shared" si="52"/>
        <v>0</v>
      </c>
      <c r="O97" s="53">
        <f t="shared" si="52"/>
        <v>0</v>
      </c>
      <c r="P97" s="53">
        <f t="shared" si="52"/>
        <v>0</v>
      </c>
      <c r="Q97" s="53">
        <f t="shared" si="52"/>
        <v>0</v>
      </c>
      <c r="R97" s="53">
        <f t="shared" si="52"/>
        <v>0</v>
      </c>
      <c r="S97" s="53">
        <f t="shared" si="52"/>
        <v>0</v>
      </c>
      <c r="T97" s="53">
        <f t="shared" si="52"/>
        <v>0</v>
      </c>
      <c r="U97" s="53">
        <f t="shared" si="52"/>
        <v>0</v>
      </c>
      <c r="V97" s="53">
        <f t="shared" si="52"/>
        <v>0</v>
      </c>
      <c r="W97" s="53">
        <f t="shared" si="52"/>
        <v>0</v>
      </c>
      <c r="X97" s="53">
        <f t="shared" si="52"/>
        <v>0</v>
      </c>
      <c r="Y97" s="40">
        <f>SUM(G97:X97)</f>
        <v>0</v>
      </c>
    </row>
    <row r="98" spans="1:26" ht="35.1" customHeight="1">
      <c r="C98" s="54" t="s">
        <v>178</v>
      </c>
      <c r="D98" s="56" t="s">
        <v>181</v>
      </c>
      <c r="E98" s="52" t="s">
        <v>182</v>
      </c>
      <c r="F98" s="53">
        <f>+F230</f>
        <v>0</v>
      </c>
      <c r="G98" s="53">
        <f t="shared" si="52"/>
        <v>0</v>
      </c>
      <c r="H98" s="53">
        <f t="shared" si="52"/>
        <v>0</v>
      </c>
      <c r="I98" s="53">
        <f t="shared" si="52"/>
        <v>0</v>
      </c>
      <c r="J98" s="53">
        <f t="shared" si="52"/>
        <v>0</v>
      </c>
      <c r="K98" s="53">
        <f t="shared" si="52"/>
        <v>0</v>
      </c>
      <c r="L98" s="53">
        <f t="shared" si="52"/>
        <v>0</v>
      </c>
      <c r="M98" s="53">
        <f t="shared" si="52"/>
        <v>0</v>
      </c>
      <c r="N98" s="53">
        <f t="shared" si="52"/>
        <v>0</v>
      </c>
      <c r="O98" s="53">
        <f t="shared" si="52"/>
        <v>0</v>
      </c>
      <c r="P98" s="53">
        <f t="shared" si="52"/>
        <v>0</v>
      </c>
      <c r="Q98" s="53">
        <f t="shared" si="52"/>
        <v>0</v>
      </c>
      <c r="R98" s="53">
        <f t="shared" si="52"/>
        <v>0</v>
      </c>
      <c r="S98" s="53">
        <f t="shared" si="52"/>
        <v>0</v>
      </c>
      <c r="T98" s="53">
        <f t="shared" si="52"/>
        <v>0</v>
      </c>
      <c r="U98" s="53">
        <f t="shared" si="52"/>
        <v>0</v>
      </c>
      <c r="V98" s="53">
        <f t="shared" si="52"/>
        <v>6670</v>
      </c>
      <c r="W98" s="53">
        <f t="shared" si="52"/>
        <v>0</v>
      </c>
      <c r="X98" s="53">
        <f t="shared" si="52"/>
        <v>0</v>
      </c>
      <c r="Y98" s="40">
        <f>SUM(G98:X98)</f>
        <v>6670</v>
      </c>
    </row>
    <row r="99" spans="1:26" ht="35.1" customHeight="1">
      <c r="C99" s="54" t="s">
        <v>178</v>
      </c>
      <c r="D99" s="56" t="s">
        <v>183</v>
      </c>
      <c r="E99" s="52" t="s">
        <v>184</v>
      </c>
      <c r="F99" s="53">
        <f>+F231</f>
        <v>0</v>
      </c>
      <c r="G99" s="53">
        <f t="shared" si="52"/>
        <v>0</v>
      </c>
      <c r="H99" s="53">
        <f t="shared" si="52"/>
        <v>0</v>
      </c>
      <c r="I99" s="53">
        <f t="shared" si="52"/>
        <v>0</v>
      </c>
      <c r="J99" s="53">
        <f t="shared" si="52"/>
        <v>0</v>
      </c>
      <c r="K99" s="53">
        <f t="shared" si="52"/>
        <v>0</v>
      </c>
      <c r="L99" s="53">
        <f t="shared" si="52"/>
        <v>0</v>
      </c>
      <c r="M99" s="53">
        <f t="shared" si="52"/>
        <v>0</v>
      </c>
      <c r="N99" s="53">
        <f t="shared" si="52"/>
        <v>0</v>
      </c>
      <c r="O99" s="53">
        <f t="shared" si="52"/>
        <v>0</v>
      </c>
      <c r="P99" s="53">
        <f t="shared" si="52"/>
        <v>0</v>
      </c>
      <c r="Q99" s="53">
        <f t="shared" si="52"/>
        <v>0</v>
      </c>
      <c r="R99" s="53">
        <f t="shared" si="52"/>
        <v>0</v>
      </c>
      <c r="S99" s="53">
        <f t="shared" si="52"/>
        <v>0</v>
      </c>
      <c r="T99" s="53">
        <f t="shared" si="52"/>
        <v>0</v>
      </c>
      <c r="U99" s="53">
        <f t="shared" si="52"/>
        <v>0</v>
      </c>
      <c r="V99" s="53">
        <f t="shared" si="52"/>
        <v>0</v>
      </c>
      <c r="W99" s="53">
        <f t="shared" si="52"/>
        <v>0</v>
      </c>
      <c r="X99" s="53">
        <f t="shared" si="52"/>
        <v>0</v>
      </c>
      <c r="Y99" s="40">
        <f>SUM(G99:X99)</f>
        <v>0</v>
      </c>
    </row>
    <row r="100" spans="1:26" s="26" customFormat="1" ht="35.1" customHeight="1">
      <c r="B100" s="1" t="s">
        <v>1</v>
      </c>
      <c r="C100" s="22" t="s">
        <v>185</v>
      </c>
      <c r="D100" s="59" t="s">
        <v>186</v>
      </c>
      <c r="E100" s="60"/>
      <c r="F100" s="25">
        <f>+F101</f>
        <v>0</v>
      </c>
      <c r="G100" s="25">
        <f>+G101</f>
        <v>0</v>
      </c>
      <c r="H100" s="25">
        <f t="shared" ref="H100:Y100" si="53">+H101</f>
        <v>0</v>
      </c>
      <c r="I100" s="25">
        <f t="shared" si="53"/>
        <v>0</v>
      </c>
      <c r="J100" s="25">
        <f t="shared" si="53"/>
        <v>0</v>
      </c>
      <c r="K100" s="25">
        <f t="shared" si="53"/>
        <v>0</v>
      </c>
      <c r="L100" s="25">
        <f t="shared" si="53"/>
        <v>0</v>
      </c>
      <c r="M100" s="25">
        <f t="shared" si="53"/>
        <v>0</v>
      </c>
      <c r="N100" s="25">
        <f t="shared" si="53"/>
        <v>0</v>
      </c>
      <c r="O100" s="25">
        <f t="shared" si="53"/>
        <v>0</v>
      </c>
      <c r="P100" s="25">
        <f t="shared" si="53"/>
        <v>0</v>
      </c>
      <c r="Q100" s="25">
        <f t="shared" si="53"/>
        <v>0</v>
      </c>
      <c r="R100" s="25">
        <f t="shared" si="53"/>
        <v>0</v>
      </c>
      <c r="S100" s="25">
        <f t="shared" si="53"/>
        <v>0</v>
      </c>
      <c r="T100" s="25">
        <f t="shared" si="53"/>
        <v>0</v>
      </c>
      <c r="U100" s="25">
        <f t="shared" si="53"/>
        <v>0</v>
      </c>
      <c r="V100" s="25">
        <f t="shared" si="53"/>
        <v>0</v>
      </c>
      <c r="W100" s="25">
        <f t="shared" si="53"/>
        <v>0</v>
      </c>
      <c r="X100" s="25">
        <f t="shared" si="53"/>
        <v>0</v>
      </c>
      <c r="Y100" s="25">
        <f t="shared" si="53"/>
        <v>0</v>
      </c>
    </row>
    <row r="101" spans="1:26" ht="35.1" customHeight="1">
      <c r="C101" s="54" t="s">
        <v>178</v>
      </c>
      <c r="D101" s="56" t="s">
        <v>187</v>
      </c>
      <c r="E101" s="52" t="s">
        <v>188</v>
      </c>
      <c r="F101" s="53">
        <f>+F233</f>
        <v>0</v>
      </c>
      <c r="G101" s="53">
        <f>+G233</f>
        <v>0</v>
      </c>
      <c r="H101" s="53">
        <f t="shared" ref="H101:X101" si="54">+H233</f>
        <v>0</v>
      </c>
      <c r="I101" s="53">
        <f t="shared" si="54"/>
        <v>0</v>
      </c>
      <c r="J101" s="53">
        <f t="shared" si="54"/>
        <v>0</v>
      </c>
      <c r="K101" s="53">
        <f t="shared" si="54"/>
        <v>0</v>
      </c>
      <c r="L101" s="53">
        <f t="shared" si="54"/>
        <v>0</v>
      </c>
      <c r="M101" s="53">
        <f t="shared" si="54"/>
        <v>0</v>
      </c>
      <c r="N101" s="53">
        <f t="shared" si="54"/>
        <v>0</v>
      </c>
      <c r="O101" s="53">
        <f t="shared" si="54"/>
        <v>0</v>
      </c>
      <c r="P101" s="53">
        <f t="shared" si="54"/>
        <v>0</v>
      </c>
      <c r="Q101" s="53">
        <f t="shared" si="54"/>
        <v>0</v>
      </c>
      <c r="R101" s="53">
        <f t="shared" si="54"/>
        <v>0</v>
      </c>
      <c r="S101" s="53">
        <f t="shared" si="54"/>
        <v>0</v>
      </c>
      <c r="T101" s="53">
        <f t="shared" si="54"/>
        <v>0</v>
      </c>
      <c r="U101" s="53">
        <f t="shared" si="54"/>
        <v>0</v>
      </c>
      <c r="V101" s="53">
        <f t="shared" si="54"/>
        <v>0</v>
      </c>
      <c r="W101" s="53">
        <f t="shared" si="54"/>
        <v>0</v>
      </c>
      <c r="X101" s="53">
        <f t="shared" si="54"/>
        <v>0</v>
      </c>
      <c r="Y101" s="40">
        <f>SUM(G101:X101)</f>
        <v>0</v>
      </c>
    </row>
    <row r="102" spans="1:26" s="26" customFormat="1" ht="35.1" customHeight="1">
      <c r="B102" s="1" t="s">
        <v>1</v>
      </c>
      <c r="C102" s="31" t="s">
        <v>189</v>
      </c>
      <c r="D102" s="61" t="s">
        <v>190</v>
      </c>
      <c r="E102" s="62"/>
      <c r="F102" s="35"/>
      <c r="G102" s="35">
        <f t="shared" ref="G102:Y102" si="55">+G6-G25</f>
        <v>-1207646.06</v>
      </c>
      <c r="H102" s="35">
        <f t="shared" si="55"/>
        <v>2327081.36</v>
      </c>
      <c r="I102" s="35">
        <f t="shared" si="55"/>
        <v>-1567373.8099999998</v>
      </c>
      <c r="J102" s="35">
        <f t="shared" si="55"/>
        <v>-35423.070000000007</v>
      </c>
      <c r="K102" s="35">
        <f t="shared" si="55"/>
        <v>-1954353.46</v>
      </c>
      <c r="L102" s="35">
        <f t="shared" si="55"/>
        <v>-140129.46</v>
      </c>
      <c r="M102" s="35">
        <f t="shared" si="55"/>
        <v>-360904.36</v>
      </c>
      <c r="N102" s="35">
        <f t="shared" si="55"/>
        <v>-4105964.1199999996</v>
      </c>
      <c r="O102" s="35">
        <f t="shared" si="55"/>
        <v>-312325.12000000005</v>
      </c>
      <c r="P102" s="35">
        <f t="shared" si="55"/>
        <v>1680778.1500000001</v>
      </c>
      <c r="Q102" s="35">
        <f t="shared" si="55"/>
        <v>-175724.05999999997</v>
      </c>
      <c r="R102" s="35">
        <f t="shared" si="55"/>
        <v>-5248357.9400000004</v>
      </c>
      <c r="S102" s="35">
        <f t="shared" si="55"/>
        <v>-189983.11000000004</v>
      </c>
      <c r="T102" s="35">
        <f t="shared" si="55"/>
        <v>36332.51</v>
      </c>
      <c r="U102" s="35">
        <f t="shared" si="55"/>
        <v>276966.14999999967</v>
      </c>
      <c r="V102" s="35">
        <f t="shared" si="55"/>
        <v>-145983.74</v>
      </c>
      <c r="W102" s="35">
        <f t="shared" si="55"/>
        <v>-4895373.3600000013</v>
      </c>
      <c r="X102" s="35">
        <f t="shared" si="55"/>
        <v>-4249569.63</v>
      </c>
      <c r="Y102" s="35">
        <f t="shared" si="55"/>
        <v>-20267953.129999999</v>
      </c>
    </row>
    <row r="103" spans="1:26" s="26" customFormat="1" ht="35.1" customHeight="1">
      <c r="B103" s="1" t="s">
        <v>1</v>
      </c>
      <c r="C103" s="31" t="s">
        <v>191</v>
      </c>
      <c r="D103" s="61" t="s">
        <v>192</v>
      </c>
      <c r="E103" s="62"/>
      <c r="F103" s="35">
        <f>SUM(F104:F105)</f>
        <v>0</v>
      </c>
      <c r="G103" s="35">
        <f t="shared" ref="G103:Y103" si="56">SUM(G104:G105)</f>
        <v>0</v>
      </c>
      <c r="H103" s="35">
        <f t="shared" si="56"/>
        <v>8810822.4600000009</v>
      </c>
      <c r="I103" s="35">
        <f t="shared" si="56"/>
        <v>0</v>
      </c>
      <c r="J103" s="35">
        <f t="shared" si="56"/>
        <v>0</v>
      </c>
      <c r="K103" s="35">
        <f t="shared" si="56"/>
        <v>0</v>
      </c>
      <c r="L103" s="35">
        <f t="shared" si="56"/>
        <v>0</v>
      </c>
      <c r="M103" s="35">
        <f t="shared" si="56"/>
        <v>0</v>
      </c>
      <c r="N103" s="35">
        <f t="shared" si="56"/>
        <v>0</v>
      </c>
      <c r="O103" s="35">
        <f t="shared" si="56"/>
        <v>0</v>
      </c>
      <c r="P103" s="35">
        <f t="shared" si="56"/>
        <v>0</v>
      </c>
      <c r="Q103" s="35">
        <f t="shared" si="56"/>
        <v>6500000</v>
      </c>
      <c r="R103" s="35">
        <f t="shared" si="56"/>
        <v>0</v>
      </c>
      <c r="S103" s="35">
        <f t="shared" si="56"/>
        <v>0</v>
      </c>
      <c r="T103" s="35">
        <f t="shared" si="56"/>
        <v>0</v>
      </c>
      <c r="U103" s="35">
        <f t="shared" si="56"/>
        <v>0</v>
      </c>
      <c r="V103" s="35">
        <f t="shared" si="56"/>
        <v>6500000</v>
      </c>
      <c r="W103" s="35">
        <f t="shared" si="56"/>
        <v>0</v>
      </c>
      <c r="X103" s="35">
        <f t="shared" si="56"/>
        <v>0</v>
      </c>
      <c r="Y103" s="35">
        <f t="shared" si="56"/>
        <v>21810822.460000001</v>
      </c>
    </row>
    <row r="104" spans="1:26" ht="35.1" customHeight="1">
      <c r="B104" s="1" t="s">
        <v>1</v>
      </c>
      <c r="C104" s="36" t="s">
        <v>193</v>
      </c>
      <c r="D104" s="63"/>
      <c r="E104" s="55" t="s">
        <v>194</v>
      </c>
      <c r="F104" s="64"/>
      <c r="G104" s="65">
        <v>0</v>
      </c>
      <c r="H104" s="65">
        <v>8810822.4600000009</v>
      </c>
      <c r="I104" s="65">
        <v>0</v>
      </c>
      <c r="J104" s="65">
        <v>0</v>
      </c>
      <c r="K104" s="65">
        <v>0</v>
      </c>
      <c r="L104" s="65">
        <v>0</v>
      </c>
      <c r="M104" s="65">
        <v>0</v>
      </c>
      <c r="N104" s="65">
        <v>0</v>
      </c>
      <c r="O104" s="65">
        <v>0</v>
      </c>
      <c r="P104" s="65">
        <v>0</v>
      </c>
      <c r="Q104" s="65">
        <v>6500000</v>
      </c>
      <c r="R104" s="65">
        <v>0</v>
      </c>
      <c r="S104" s="65">
        <v>0</v>
      </c>
      <c r="T104" s="65">
        <v>0</v>
      </c>
      <c r="U104" s="65">
        <v>0</v>
      </c>
      <c r="V104" s="65">
        <v>6500000</v>
      </c>
      <c r="W104" s="65">
        <v>0</v>
      </c>
      <c r="X104" s="65">
        <v>0</v>
      </c>
      <c r="Y104" s="40">
        <f>SUM(G104:X104)</f>
        <v>21810822.460000001</v>
      </c>
    </row>
    <row r="105" spans="1:26" ht="35.1" customHeight="1">
      <c r="B105" s="1" t="s">
        <v>1</v>
      </c>
      <c r="C105" s="36" t="s">
        <v>195</v>
      </c>
      <c r="D105" s="63"/>
      <c r="E105" s="55" t="s">
        <v>196</v>
      </c>
      <c r="F105" s="64"/>
      <c r="G105" s="65">
        <v>0</v>
      </c>
      <c r="H105" s="65">
        <v>0</v>
      </c>
      <c r="I105" s="65">
        <v>0</v>
      </c>
      <c r="J105" s="65">
        <v>0</v>
      </c>
      <c r="K105" s="65">
        <v>0</v>
      </c>
      <c r="L105" s="65">
        <v>0</v>
      </c>
      <c r="M105" s="65">
        <v>0</v>
      </c>
      <c r="N105" s="65">
        <v>0</v>
      </c>
      <c r="O105" s="65">
        <v>0</v>
      </c>
      <c r="P105" s="65">
        <v>0</v>
      </c>
      <c r="Q105" s="65">
        <v>0</v>
      </c>
      <c r="R105" s="65">
        <v>0</v>
      </c>
      <c r="S105" s="65">
        <v>0</v>
      </c>
      <c r="T105" s="65">
        <v>0</v>
      </c>
      <c r="U105" s="65">
        <v>0</v>
      </c>
      <c r="V105" s="65">
        <v>0</v>
      </c>
      <c r="W105" s="65">
        <v>0</v>
      </c>
      <c r="X105" s="65">
        <v>0</v>
      </c>
      <c r="Y105" s="40">
        <f>SUM(G105:X105)</f>
        <v>0</v>
      </c>
    </row>
    <row r="106" spans="1:26" s="26" customFormat="1" ht="35.1" customHeight="1">
      <c r="B106" s="1" t="s">
        <v>1</v>
      </c>
      <c r="C106" s="66" t="s">
        <v>197</v>
      </c>
      <c r="D106" s="67" t="s">
        <v>198</v>
      </c>
      <c r="E106" s="68"/>
      <c r="F106" s="69">
        <v>0</v>
      </c>
      <c r="G106" s="69">
        <v>0</v>
      </c>
      <c r="H106" s="69">
        <v>0</v>
      </c>
      <c r="I106" s="69">
        <v>0</v>
      </c>
      <c r="J106" s="69">
        <v>0</v>
      </c>
      <c r="K106" s="69">
        <v>0</v>
      </c>
      <c r="L106" s="69">
        <v>0</v>
      </c>
      <c r="M106" s="69">
        <v>0</v>
      </c>
      <c r="N106" s="69">
        <v>0</v>
      </c>
      <c r="O106" s="69">
        <v>0</v>
      </c>
      <c r="P106" s="69">
        <v>0</v>
      </c>
      <c r="Q106" s="69">
        <v>0</v>
      </c>
      <c r="R106" s="69">
        <v>0</v>
      </c>
      <c r="S106" s="69">
        <v>0</v>
      </c>
      <c r="T106" s="69">
        <v>0</v>
      </c>
      <c r="U106" s="69">
        <v>0</v>
      </c>
      <c r="V106" s="69">
        <v>0</v>
      </c>
      <c r="W106" s="69">
        <v>0</v>
      </c>
      <c r="X106" s="69">
        <v>0</v>
      </c>
      <c r="Y106" s="69">
        <f>SUM(G106:X106)</f>
        <v>0</v>
      </c>
    </row>
    <row r="107" spans="1:26" s="26" customFormat="1" ht="35.1" customHeight="1">
      <c r="B107" s="1" t="s">
        <v>1</v>
      </c>
      <c r="C107" s="66" t="s">
        <v>199</v>
      </c>
      <c r="D107" s="67" t="s">
        <v>200</v>
      </c>
      <c r="E107" s="68"/>
      <c r="F107" s="69">
        <v>0</v>
      </c>
      <c r="G107" s="69">
        <v>0</v>
      </c>
      <c r="H107" s="69">
        <v>0</v>
      </c>
      <c r="I107" s="69">
        <v>0</v>
      </c>
      <c r="J107" s="69">
        <v>0</v>
      </c>
      <c r="K107" s="69">
        <v>0</v>
      </c>
      <c r="L107" s="69">
        <v>0</v>
      </c>
      <c r="M107" s="69">
        <v>0</v>
      </c>
      <c r="N107" s="69">
        <v>0</v>
      </c>
      <c r="O107" s="69">
        <v>0</v>
      </c>
      <c r="P107" s="69">
        <v>0</v>
      </c>
      <c r="Q107" s="69">
        <v>0</v>
      </c>
      <c r="R107" s="69">
        <v>0</v>
      </c>
      <c r="S107" s="69">
        <v>0</v>
      </c>
      <c r="T107" s="69">
        <v>0</v>
      </c>
      <c r="U107" s="69">
        <v>0</v>
      </c>
      <c r="V107" s="69">
        <v>0</v>
      </c>
      <c r="W107" s="69">
        <v>0</v>
      </c>
      <c r="X107" s="69">
        <v>0</v>
      </c>
      <c r="Y107" s="69">
        <f>SUM(G107:X107)</f>
        <v>0</v>
      </c>
    </row>
    <row r="108" spans="1:26" s="26" customFormat="1" ht="35.1" customHeight="1">
      <c r="A108" s="70"/>
      <c r="B108" s="71" t="s">
        <v>1</v>
      </c>
      <c r="C108" s="22" t="s">
        <v>201</v>
      </c>
      <c r="D108" s="23" t="s">
        <v>202</v>
      </c>
      <c r="E108" s="72"/>
      <c r="F108" s="25">
        <v>3575348.9860000648</v>
      </c>
      <c r="G108" s="25">
        <f t="shared" ref="G108:Y108" si="57">+G5+G102+G103+G106+G107</f>
        <v>2367702.9260000647</v>
      </c>
      <c r="H108" s="25">
        <f t="shared" si="57"/>
        <v>13505606.746000066</v>
      </c>
      <c r="I108" s="25">
        <f t="shared" si="57"/>
        <v>11938232.936000066</v>
      </c>
      <c r="J108" s="25">
        <f t="shared" si="57"/>
        <v>11902809.866000066</v>
      </c>
      <c r="K108" s="25">
        <f t="shared" si="57"/>
        <v>9948456.4060000665</v>
      </c>
      <c r="L108" s="25">
        <f t="shared" si="57"/>
        <v>9808326.9460000657</v>
      </c>
      <c r="M108" s="25">
        <f t="shared" si="57"/>
        <v>9447422.5860000663</v>
      </c>
      <c r="N108" s="25">
        <f t="shared" si="57"/>
        <v>5341458.4660000671</v>
      </c>
      <c r="O108" s="25">
        <f t="shared" si="57"/>
        <v>5029133.346000067</v>
      </c>
      <c r="P108" s="25">
        <f t="shared" si="57"/>
        <v>6709911.4960000673</v>
      </c>
      <c r="Q108" s="25">
        <f t="shared" si="57"/>
        <v>13034187.436000068</v>
      </c>
      <c r="R108" s="25">
        <f t="shared" si="57"/>
        <v>7785829.4960000673</v>
      </c>
      <c r="S108" s="25">
        <f t="shared" si="57"/>
        <v>7595846.386000067</v>
      </c>
      <c r="T108" s="25">
        <f t="shared" si="57"/>
        <v>7632178.8960000668</v>
      </c>
      <c r="U108" s="25">
        <f t="shared" si="57"/>
        <v>7909145.0460000662</v>
      </c>
      <c r="V108" s="25">
        <f t="shared" si="57"/>
        <v>14263161.306000065</v>
      </c>
      <c r="W108" s="25">
        <f t="shared" si="57"/>
        <v>9367787.9460000638</v>
      </c>
      <c r="X108" s="25">
        <f t="shared" si="57"/>
        <v>5118218.3160000639</v>
      </c>
      <c r="Y108" s="25">
        <f t="shared" si="57"/>
        <v>5118218.3160000667</v>
      </c>
    </row>
    <row r="109" spans="1:26" s="1" customFormat="1" ht="35.1" customHeight="1">
      <c r="C109" s="18"/>
      <c r="D109" s="18"/>
      <c r="E109" s="18"/>
      <c r="F109" s="73"/>
      <c r="G109" s="73"/>
      <c r="H109" s="73"/>
      <c r="I109" s="73"/>
      <c r="J109" s="73"/>
      <c r="K109" s="73"/>
      <c r="L109" s="73"/>
      <c r="M109" s="73"/>
      <c r="N109" s="73"/>
      <c r="O109" s="73"/>
      <c r="P109" s="73"/>
      <c r="Q109" s="73"/>
      <c r="R109" s="73"/>
      <c r="S109" s="73"/>
      <c r="T109" s="73"/>
      <c r="U109" s="73"/>
      <c r="V109" s="73"/>
      <c r="W109" s="73"/>
      <c r="X109" s="73"/>
      <c r="Y109" s="74"/>
    </row>
    <row r="110" spans="1:26" s="77" customFormat="1" ht="35.1" customHeight="1">
      <c r="A110" s="75" t="s">
        <v>7</v>
      </c>
      <c r="B110" s="75"/>
      <c r="C110" s="42" t="s">
        <v>29</v>
      </c>
      <c r="D110" s="43" t="s">
        <v>203</v>
      </c>
      <c r="E110" s="44"/>
      <c r="F110" s="45">
        <f t="shared" ref="F110:Y110" si="58">+F111+F178+F215+F224</f>
        <v>0</v>
      </c>
      <c r="G110" s="45">
        <f t="shared" si="58"/>
        <v>1220374.05</v>
      </c>
      <c r="H110" s="45">
        <f t="shared" si="58"/>
        <v>-64341.14</v>
      </c>
      <c r="I110" s="45">
        <f t="shared" si="58"/>
        <v>1584156.2999999998</v>
      </c>
      <c r="J110" s="45">
        <f t="shared" si="58"/>
        <v>55437.3</v>
      </c>
      <c r="K110" s="45">
        <f t="shared" si="58"/>
        <v>3279963.0900000003</v>
      </c>
      <c r="L110" s="45">
        <f t="shared" si="58"/>
        <v>148697.62</v>
      </c>
      <c r="M110" s="45">
        <f t="shared" si="58"/>
        <v>380131.67999999993</v>
      </c>
      <c r="N110" s="45">
        <f t="shared" si="58"/>
        <v>4725289.8899999997</v>
      </c>
      <c r="O110" s="45">
        <f t="shared" si="58"/>
        <v>339563.78</v>
      </c>
      <c r="P110" s="45">
        <f t="shared" si="58"/>
        <v>211240.84</v>
      </c>
      <c r="Q110" s="45">
        <f t="shared" si="58"/>
        <v>239942.6</v>
      </c>
      <c r="R110" s="45">
        <f t="shared" si="58"/>
        <v>5275813.3199999994</v>
      </c>
      <c r="S110" s="45">
        <f t="shared" si="58"/>
        <v>238225.03</v>
      </c>
      <c r="T110" s="45">
        <f t="shared" si="58"/>
        <v>-7466.9800000000005</v>
      </c>
      <c r="U110" s="45">
        <f t="shared" si="58"/>
        <v>1330574.7200000002</v>
      </c>
      <c r="V110" s="45">
        <f t="shared" si="58"/>
        <v>155519.65000000002</v>
      </c>
      <c r="W110" s="45">
        <f t="shared" si="58"/>
        <v>4911286.16</v>
      </c>
      <c r="X110" s="45">
        <f t="shared" si="58"/>
        <v>4212910.83</v>
      </c>
      <c r="Y110" s="45">
        <f t="shared" si="58"/>
        <v>28237318.740000002</v>
      </c>
      <c r="Z110" s="76"/>
    </row>
    <row r="111" spans="1:26" s="77" customFormat="1" ht="35.1" customHeight="1">
      <c r="A111" s="75" t="s">
        <v>29</v>
      </c>
      <c r="B111" s="75"/>
      <c r="C111" s="78" t="s">
        <v>204</v>
      </c>
      <c r="D111" s="79"/>
      <c r="E111" s="80"/>
      <c r="F111" s="81">
        <f t="shared" ref="F111:Y111" si="59">+F112+F134+F141+F167</f>
        <v>0</v>
      </c>
      <c r="G111" s="81">
        <f t="shared" si="59"/>
        <v>1121230.01</v>
      </c>
      <c r="H111" s="81">
        <f t="shared" si="59"/>
        <v>98797.36</v>
      </c>
      <c r="I111" s="81">
        <f t="shared" si="59"/>
        <v>141432.60999999999</v>
      </c>
      <c r="J111" s="81">
        <f t="shared" si="59"/>
        <v>55547.5</v>
      </c>
      <c r="K111" s="81">
        <f t="shared" si="59"/>
        <v>1538195.03</v>
      </c>
      <c r="L111" s="81">
        <f t="shared" si="59"/>
        <v>72579.179999999993</v>
      </c>
      <c r="M111" s="81">
        <f t="shared" si="59"/>
        <v>33716.47</v>
      </c>
      <c r="N111" s="81">
        <f t="shared" si="59"/>
        <v>1436327.7100000002</v>
      </c>
      <c r="O111" s="81">
        <f t="shared" si="59"/>
        <v>118851.70999999999</v>
      </c>
      <c r="P111" s="81">
        <f t="shared" si="59"/>
        <v>210885.84</v>
      </c>
      <c r="Q111" s="81">
        <f t="shared" si="59"/>
        <v>117914.57</v>
      </c>
      <c r="R111" s="81">
        <f t="shared" si="59"/>
        <v>1683134.83</v>
      </c>
      <c r="S111" s="81">
        <f t="shared" si="59"/>
        <v>107879.57999999999</v>
      </c>
      <c r="T111" s="81">
        <f t="shared" si="59"/>
        <v>-10281.11</v>
      </c>
      <c r="U111" s="81">
        <f t="shared" si="59"/>
        <v>1306625.4100000001</v>
      </c>
      <c r="V111" s="81">
        <f t="shared" si="59"/>
        <v>86376.3</v>
      </c>
      <c r="W111" s="81">
        <f t="shared" si="59"/>
        <v>1220941.45</v>
      </c>
      <c r="X111" s="81">
        <f t="shared" si="59"/>
        <v>2228059.0699999998</v>
      </c>
      <c r="Y111" s="81">
        <f t="shared" si="59"/>
        <v>11568213.52</v>
      </c>
      <c r="Z111" s="76"/>
    </row>
    <row r="112" spans="1:26" s="77" customFormat="1" ht="35.1" customHeight="1">
      <c r="A112" s="75" t="s">
        <v>205</v>
      </c>
      <c r="B112" s="75"/>
      <c r="C112" s="46" t="s">
        <v>31</v>
      </c>
      <c r="D112" s="82" t="s">
        <v>32</v>
      </c>
      <c r="E112" s="83"/>
      <c r="F112" s="49">
        <f t="shared" ref="F112" si="60">+F113+F121+F126+F131</f>
        <v>0</v>
      </c>
      <c r="G112" s="49">
        <f>+G113+G121+G126+G131</f>
        <v>905711.03</v>
      </c>
      <c r="H112" s="49">
        <f t="shared" ref="H112:Y112" si="61">+H113+H121+H126+H131</f>
        <v>607.30999999999995</v>
      </c>
      <c r="I112" s="49">
        <f t="shared" si="61"/>
        <v>13236.18</v>
      </c>
      <c r="J112" s="49">
        <f t="shared" si="61"/>
        <v>0</v>
      </c>
      <c r="K112" s="49">
        <f t="shared" si="61"/>
        <v>557781.92000000004</v>
      </c>
      <c r="L112" s="49">
        <f t="shared" si="61"/>
        <v>39426.44</v>
      </c>
      <c r="M112" s="49">
        <f t="shared" si="61"/>
        <v>16503.189999999999</v>
      </c>
      <c r="N112" s="49">
        <f t="shared" si="61"/>
        <v>1397727.9300000002</v>
      </c>
      <c r="O112" s="49">
        <f t="shared" si="61"/>
        <v>62468.72</v>
      </c>
      <c r="P112" s="49">
        <f t="shared" si="61"/>
        <v>0</v>
      </c>
      <c r="Q112" s="49">
        <f t="shared" si="61"/>
        <v>0</v>
      </c>
      <c r="R112" s="49">
        <f t="shared" si="61"/>
        <v>1512049.4200000002</v>
      </c>
      <c r="S112" s="49">
        <f t="shared" si="61"/>
        <v>11370.34</v>
      </c>
      <c r="T112" s="49">
        <f t="shared" si="61"/>
        <v>0</v>
      </c>
      <c r="U112" s="49">
        <f t="shared" si="61"/>
        <v>10541.550000000001</v>
      </c>
      <c r="V112" s="49">
        <f t="shared" si="61"/>
        <v>18132</v>
      </c>
      <c r="W112" s="49">
        <f t="shared" si="61"/>
        <v>1155834.1100000001</v>
      </c>
      <c r="X112" s="49">
        <f t="shared" si="61"/>
        <v>770825.88</v>
      </c>
      <c r="Y112" s="49">
        <f t="shared" si="61"/>
        <v>6472216.0199999996</v>
      </c>
      <c r="Z112" s="76"/>
    </row>
    <row r="113" spans="1:26" s="77" customFormat="1" ht="35.1" customHeight="1">
      <c r="A113" s="75" t="s">
        <v>206</v>
      </c>
      <c r="B113" s="75"/>
      <c r="C113" s="54"/>
      <c r="D113" s="59" t="s">
        <v>207</v>
      </c>
      <c r="E113" s="60"/>
      <c r="F113" s="25">
        <f t="shared" ref="F113:G113" si="62">SUM(F114:F120)</f>
        <v>0</v>
      </c>
      <c r="G113" s="25">
        <f t="shared" si="62"/>
        <v>895322.03</v>
      </c>
      <c r="H113" s="25">
        <f t="shared" ref="H113:X113" si="63">SUM(H114:H120)</f>
        <v>607.30999999999995</v>
      </c>
      <c r="I113" s="25">
        <f t="shared" si="63"/>
        <v>3647.18</v>
      </c>
      <c r="J113" s="25">
        <f t="shared" si="63"/>
        <v>0</v>
      </c>
      <c r="K113" s="25">
        <f t="shared" si="63"/>
        <v>222593.24000000002</v>
      </c>
      <c r="L113" s="25">
        <f t="shared" si="63"/>
        <v>39426.44</v>
      </c>
      <c r="M113" s="25">
        <f t="shared" si="63"/>
        <v>12309.81</v>
      </c>
      <c r="N113" s="25">
        <f t="shared" si="63"/>
        <v>1397727.9300000002</v>
      </c>
      <c r="O113" s="25">
        <f t="shared" si="63"/>
        <v>0</v>
      </c>
      <c r="P113" s="25">
        <f t="shared" si="63"/>
        <v>0</v>
      </c>
      <c r="Q113" s="25">
        <f t="shared" si="63"/>
        <v>0</v>
      </c>
      <c r="R113" s="25">
        <f t="shared" si="63"/>
        <v>30406.48</v>
      </c>
      <c r="S113" s="25">
        <f t="shared" si="63"/>
        <v>0</v>
      </c>
      <c r="T113" s="25">
        <f t="shared" si="63"/>
        <v>0</v>
      </c>
      <c r="U113" s="25">
        <f t="shared" si="63"/>
        <v>0</v>
      </c>
      <c r="V113" s="25">
        <f t="shared" si="63"/>
        <v>16022</v>
      </c>
      <c r="W113" s="25">
        <f t="shared" si="63"/>
        <v>1155834.1100000001</v>
      </c>
      <c r="X113" s="25">
        <f t="shared" si="63"/>
        <v>103486.36</v>
      </c>
      <c r="Y113" s="25">
        <f t="shared" ref="Y113:Y120" si="64">SUM(G113:X113)</f>
        <v>3877382.89</v>
      </c>
      <c r="Z113" s="76"/>
    </row>
    <row r="114" spans="1:26" ht="35.1" customHeight="1">
      <c r="A114" s="84" t="s">
        <v>208</v>
      </c>
      <c r="B114" s="85"/>
      <c r="C114" s="36" t="s">
        <v>44</v>
      </c>
      <c r="D114" s="86" t="s">
        <v>36</v>
      </c>
      <c r="E114" s="55" t="s">
        <v>37</v>
      </c>
      <c r="F114" s="65">
        <v>0</v>
      </c>
      <c r="G114" s="65">
        <v>0</v>
      </c>
      <c r="H114" s="65">
        <v>607.30999999999995</v>
      </c>
      <c r="I114" s="65">
        <v>295.77</v>
      </c>
      <c r="J114" s="65">
        <v>0</v>
      </c>
      <c r="K114" s="65">
        <v>0</v>
      </c>
      <c r="L114" s="65">
        <v>0</v>
      </c>
      <c r="M114" s="65">
        <v>0</v>
      </c>
      <c r="N114" s="65">
        <v>1239778.17</v>
      </c>
      <c r="O114" s="65">
        <v>0</v>
      </c>
      <c r="P114" s="65">
        <v>0</v>
      </c>
      <c r="Q114" s="65">
        <v>0</v>
      </c>
      <c r="R114" s="65">
        <v>0</v>
      </c>
      <c r="S114" s="65">
        <v>0</v>
      </c>
      <c r="T114" s="65">
        <v>0</v>
      </c>
      <c r="U114" s="65">
        <v>0</v>
      </c>
      <c r="V114" s="65">
        <v>1367.76</v>
      </c>
      <c r="W114" s="65">
        <v>1155834.1100000001</v>
      </c>
      <c r="X114" s="65">
        <f>1692.6</f>
        <v>1692.6</v>
      </c>
      <c r="Y114" s="40">
        <f t="shared" si="64"/>
        <v>2399575.7200000002</v>
      </c>
      <c r="Z114" s="87"/>
    </row>
    <row r="115" spans="1:26" ht="35.1" customHeight="1">
      <c r="A115" s="84" t="s">
        <v>209</v>
      </c>
      <c r="B115" s="85"/>
      <c r="C115" s="36" t="s">
        <v>44</v>
      </c>
      <c r="D115" s="86" t="s">
        <v>38</v>
      </c>
      <c r="E115" s="55" t="s">
        <v>39</v>
      </c>
      <c r="F115" s="65">
        <v>0</v>
      </c>
      <c r="G115" s="65">
        <v>4862.3100000000004</v>
      </c>
      <c r="H115" s="65">
        <v>0</v>
      </c>
      <c r="I115" s="65">
        <v>0</v>
      </c>
      <c r="J115" s="65">
        <v>0</v>
      </c>
      <c r="K115" s="65">
        <v>55914.75</v>
      </c>
      <c r="L115" s="65">
        <v>31076.51</v>
      </c>
      <c r="M115" s="65">
        <v>12309.81</v>
      </c>
      <c r="N115" s="65">
        <v>94208.81</v>
      </c>
      <c r="O115" s="65">
        <v>0</v>
      </c>
      <c r="P115" s="65">
        <v>0</v>
      </c>
      <c r="Q115" s="65">
        <v>0</v>
      </c>
      <c r="R115" s="65">
        <v>0</v>
      </c>
      <c r="S115" s="65">
        <v>0</v>
      </c>
      <c r="T115" s="65">
        <v>0</v>
      </c>
      <c r="U115" s="65">
        <v>0</v>
      </c>
      <c r="V115" s="65">
        <v>14654.24</v>
      </c>
      <c r="W115" s="65">
        <v>0</v>
      </c>
      <c r="X115" s="65">
        <v>77216.899999999994</v>
      </c>
      <c r="Y115" s="40">
        <f t="shared" si="64"/>
        <v>290243.32999999996</v>
      </c>
      <c r="Z115" s="87"/>
    </row>
    <row r="116" spans="1:26" ht="35.1" customHeight="1">
      <c r="A116" s="84" t="s">
        <v>206</v>
      </c>
      <c r="B116" s="85"/>
      <c r="C116" s="36" t="s">
        <v>44</v>
      </c>
      <c r="D116" s="86" t="s">
        <v>40</v>
      </c>
      <c r="E116" s="55" t="s">
        <v>41</v>
      </c>
      <c r="F116" s="65">
        <v>0</v>
      </c>
      <c r="G116" s="65">
        <v>0</v>
      </c>
      <c r="H116" s="65">
        <v>0</v>
      </c>
      <c r="I116" s="65">
        <v>3351.41</v>
      </c>
      <c r="J116" s="65">
        <f>63819.99-63819.99</f>
        <v>0</v>
      </c>
      <c r="K116" s="65">
        <f>92829.3+63819.99</f>
        <v>156649.29</v>
      </c>
      <c r="L116" s="65">
        <v>0</v>
      </c>
      <c r="M116" s="65">
        <v>0</v>
      </c>
      <c r="N116" s="65">
        <v>0</v>
      </c>
      <c r="O116" s="65">
        <v>0</v>
      </c>
      <c r="P116" s="65">
        <v>0</v>
      </c>
      <c r="Q116" s="65">
        <v>0</v>
      </c>
      <c r="R116" s="65">
        <v>0</v>
      </c>
      <c r="S116" s="65">
        <v>0</v>
      </c>
      <c r="T116" s="65">
        <v>0</v>
      </c>
      <c r="U116" s="65">
        <v>0</v>
      </c>
      <c r="V116" s="65">
        <v>0</v>
      </c>
      <c r="W116" s="65">
        <v>0</v>
      </c>
      <c r="X116" s="65">
        <v>7538.88</v>
      </c>
      <c r="Y116" s="40">
        <f t="shared" si="64"/>
        <v>167539.58000000002</v>
      </c>
      <c r="Z116" s="87"/>
    </row>
    <row r="117" spans="1:26" ht="35.1" customHeight="1">
      <c r="A117" s="84" t="s">
        <v>7</v>
      </c>
      <c r="B117" s="85"/>
      <c r="C117" s="36" t="s">
        <v>44</v>
      </c>
      <c r="D117" s="86" t="s">
        <v>42</v>
      </c>
      <c r="E117" s="55" t="s">
        <v>43</v>
      </c>
      <c r="F117" s="65">
        <v>0</v>
      </c>
      <c r="G117" s="65">
        <v>0</v>
      </c>
      <c r="H117" s="65">
        <v>0</v>
      </c>
      <c r="I117" s="65">
        <v>0</v>
      </c>
      <c r="J117" s="65">
        <v>0</v>
      </c>
      <c r="K117" s="65">
        <v>10029.200000000001</v>
      </c>
      <c r="L117" s="65">
        <v>8349.93</v>
      </c>
      <c r="M117" s="65">
        <v>0</v>
      </c>
      <c r="N117" s="65">
        <v>29973.87</v>
      </c>
      <c r="O117" s="65">
        <v>0</v>
      </c>
      <c r="P117" s="65">
        <v>0</v>
      </c>
      <c r="Q117" s="65">
        <v>0</v>
      </c>
      <c r="R117" s="65">
        <v>0</v>
      </c>
      <c r="S117" s="65">
        <v>0</v>
      </c>
      <c r="T117" s="65">
        <v>0</v>
      </c>
      <c r="U117" s="65">
        <v>0</v>
      </c>
      <c r="V117" s="65">
        <v>0</v>
      </c>
      <c r="W117" s="65">
        <v>0</v>
      </c>
      <c r="X117" s="65">
        <v>17037.98</v>
      </c>
      <c r="Y117" s="40">
        <f t="shared" si="64"/>
        <v>65390.979999999996</v>
      </c>
      <c r="Z117" s="87"/>
    </row>
    <row r="118" spans="1:26" ht="35.1" customHeight="1">
      <c r="A118" s="84" t="s">
        <v>210</v>
      </c>
      <c r="B118" s="85"/>
      <c r="C118" s="36" t="s">
        <v>44</v>
      </c>
      <c r="D118" s="86" t="s">
        <v>45</v>
      </c>
      <c r="E118" s="55" t="s">
        <v>46</v>
      </c>
      <c r="F118" s="65">
        <v>0</v>
      </c>
      <c r="G118" s="65">
        <v>890459.72</v>
      </c>
      <c r="H118" s="65">
        <v>0</v>
      </c>
      <c r="I118" s="65">
        <v>0</v>
      </c>
      <c r="J118" s="65">
        <v>0</v>
      </c>
      <c r="K118" s="65">
        <v>0</v>
      </c>
      <c r="L118" s="65">
        <v>0</v>
      </c>
      <c r="M118" s="65">
        <v>0</v>
      </c>
      <c r="N118" s="65">
        <v>0</v>
      </c>
      <c r="O118" s="65">
        <v>0</v>
      </c>
      <c r="P118" s="65">
        <v>0</v>
      </c>
      <c r="Q118" s="65">
        <v>0</v>
      </c>
      <c r="R118" s="65">
        <v>0</v>
      </c>
      <c r="S118" s="65">
        <v>0</v>
      </c>
      <c r="T118" s="65">
        <v>0</v>
      </c>
      <c r="U118" s="65">
        <v>0</v>
      </c>
      <c r="V118" s="65">
        <v>0</v>
      </c>
      <c r="W118" s="65">
        <v>0</v>
      </c>
      <c r="X118" s="65">
        <v>0</v>
      </c>
      <c r="Y118" s="40">
        <f t="shared" si="64"/>
        <v>890459.72</v>
      </c>
      <c r="Z118" s="87"/>
    </row>
    <row r="119" spans="1:26" ht="35.1" customHeight="1">
      <c r="A119" s="84" t="s">
        <v>210</v>
      </c>
      <c r="B119" s="85"/>
      <c r="C119" s="36" t="s">
        <v>44</v>
      </c>
      <c r="D119" s="86" t="s">
        <v>47</v>
      </c>
      <c r="E119" s="55" t="s">
        <v>48</v>
      </c>
      <c r="F119" s="65">
        <v>0</v>
      </c>
      <c r="G119" s="65">
        <v>0</v>
      </c>
      <c r="H119" s="65">
        <v>0</v>
      </c>
      <c r="I119" s="65">
        <v>0</v>
      </c>
      <c r="J119" s="65">
        <v>0</v>
      </c>
      <c r="K119" s="65">
        <v>0</v>
      </c>
      <c r="L119" s="65">
        <v>0</v>
      </c>
      <c r="M119" s="65">
        <v>0</v>
      </c>
      <c r="N119" s="65">
        <v>0</v>
      </c>
      <c r="O119" s="65">
        <v>0</v>
      </c>
      <c r="P119" s="65">
        <v>0</v>
      </c>
      <c r="Q119" s="65">
        <v>0</v>
      </c>
      <c r="R119" s="65">
        <v>0</v>
      </c>
      <c r="S119" s="65">
        <v>0</v>
      </c>
      <c r="T119" s="65">
        <v>0</v>
      </c>
      <c r="U119" s="65">
        <v>0</v>
      </c>
      <c r="V119" s="65">
        <v>0</v>
      </c>
      <c r="W119" s="65">
        <v>0</v>
      </c>
      <c r="X119" s="65">
        <v>0</v>
      </c>
      <c r="Y119" s="40">
        <f t="shared" si="64"/>
        <v>0</v>
      </c>
      <c r="Z119" s="87"/>
    </row>
    <row r="120" spans="1:26" ht="35.1" customHeight="1">
      <c r="A120" s="88"/>
      <c r="B120" s="85"/>
      <c r="C120" s="36" t="s">
        <v>44</v>
      </c>
      <c r="D120" s="86" t="s">
        <v>49</v>
      </c>
      <c r="E120" s="55" t="s">
        <v>50</v>
      </c>
      <c r="F120" s="65">
        <v>0</v>
      </c>
      <c r="G120" s="65">
        <v>0</v>
      </c>
      <c r="H120" s="65">
        <v>0</v>
      </c>
      <c r="I120" s="65">
        <v>0</v>
      </c>
      <c r="J120" s="65">
        <v>0</v>
      </c>
      <c r="K120" s="65">
        <v>0</v>
      </c>
      <c r="L120" s="65">
        <v>0</v>
      </c>
      <c r="M120" s="65">
        <v>0</v>
      </c>
      <c r="N120" s="65">
        <v>33767.08</v>
      </c>
      <c r="O120" s="65">
        <v>0</v>
      </c>
      <c r="P120" s="65">
        <v>0</v>
      </c>
      <c r="Q120" s="65">
        <v>0</v>
      </c>
      <c r="R120" s="65">
        <v>30406.48</v>
      </c>
      <c r="S120" s="65">
        <v>0</v>
      </c>
      <c r="T120" s="65">
        <v>0</v>
      </c>
      <c r="U120" s="65">
        <v>0</v>
      </c>
      <c r="V120" s="65">
        <v>0</v>
      </c>
      <c r="W120" s="65">
        <v>0</v>
      </c>
      <c r="X120" s="65">
        <v>0</v>
      </c>
      <c r="Y120" s="40">
        <f t="shared" si="64"/>
        <v>64173.56</v>
      </c>
      <c r="Z120" s="87"/>
    </row>
    <row r="121" spans="1:26" s="77" customFormat="1" ht="35.1" customHeight="1">
      <c r="A121" s="75" t="s">
        <v>7</v>
      </c>
      <c r="B121" s="75"/>
      <c r="C121" s="54"/>
      <c r="D121" s="59" t="s">
        <v>211</v>
      </c>
      <c r="E121" s="60"/>
      <c r="F121" s="25">
        <f t="shared" ref="F121:G121" si="65">SUM(F122:F125)</f>
        <v>0</v>
      </c>
      <c r="G121" s="25">
        <f t="shared" si="65"/>
        <v>0</v>
      </c>
      <c r="H121" s="25">
        <f t="shared" ref="H121:Y121" si="66">SUM(H122:H125)</f>
        <v>0</v>
      </c>
      <c r="I121" s="25">
        <f t="shared" si="66"/>
        <v>0</v>
      </c>
      <c r="J121" s="25">
        <f t="shared" si="66"/>
        <v>0</v>
      </c>
      <c r="K121" s="25">
        <f t="shared" si="66"/>
        <v>0</v>
      </c>
      <c r="L121" s="25">
        <f t="shared" si="66"/>
        <v>0</v>
      </c>
      <c r="M121" s="25">
        <f t="shared" si="66"/>
        <v>4193.38</v>
      </c>
      <c r="N121" s="25">
        <f t="shared" si="66"/>
        <v>0</v>
      </c>
      <c r="O121" s="25">
        <f t="shared" si="66"/>
        <v>62468.72</v>
      </c>
      <c r="P121" s="25">
        <f t="shared" si="66"/>
        <v>0</v>
      </c>
      <c r="Q121" s="25">
        <f t="shared" si="66"/>
        <v>0</v>
      </c>
      <c r="R121" s="25">
        <f t="shared" si="66"/>
        <v>22108.38</v>
      </c>
      <c r="S121" s="25">
        <f t="shared" si="66"/>
        <v>0</v>
      </c>
      <c r="T121" s="25">
        <f t="shared" si="66"/>
        <v>0</v>
      </c>
      <c r="U121" s="25">
        <f t="shared" si="66"/>
        <v>508.29</v>
      </c>
      <c r="V121" s="25">
        <f t="shared" si="66"/>
        <v>2110</v>
      </c>
      <c r="W121" s="25">
        <f t="shared" si="66"/>
        <v>0</v>
      </c>
      <c r="X121" s="25">
        <f t="shared" si="66"/>
        <v>667339.52000000002</v>
      </c>
      <c r="Y121" s="25">
        <f t="shared" si="66"/>
        <v>758728.28999999992</v>
      </c>
      <c r="Z121" s="76"/>
    </row>
    <row r="122" spans="1:26" ht="35.1" customHeight="1">
      <c r="A122" s="75" t="s">
        <v>29</v>
      </c>
      <c r="B122" s="85"/>
      <c r="C122" s="36" t="s">
        <v>44</v>
      </c>
      <c r="D122" s="86" t="s">
        <v>53</v>
      </c>
      <c r="E122" s="55" t="s">
        <v>54</v>
      </c>
      <c r="F122" s="65">
        <v>0</v>
      </c>
      <c r="G122" s="65">
        <v>0</v>
      </c>
      <c r="H122" s="65">
        <v>0</v>
      </c>
      <c r="I122" s="65">
        <v>0</v>
      </c>
      <c r="J122" s="65">
        <v>0</v>
      </c>
      <c r="K122" s="65">
        <v>0</v>
      </c>
      <c r="L122" s="65">
        <v>0</v>
      </c>
      <c r="M122" s="65">
        <v>4193.38</v>
      </c>
      <c r="N122" s="65">
        <v>0</v>
      </c>
      <c r="O122" s="65">
        <v>0</v>
      </c>
      <c r="P122" s="65">
        <v>0</v>
      </c>
      <c r="Q122" s="65">
        <v>0</v>
      </c>
      <c r="R122" s="65">
        <v>0</v>
      </c>
      <c r="S122" s="65">
        <v>0</v>
      </c>
      <c r="T122" s="65">
        <v>0</v>
      </c>
      <c r="U122" s="65">
        <v>508.29</v>
      </c>
      <c r="V122" s="65">
        <v>0</v>
      </c>
      <c r="W122" s="65">
        <v>0</v>
      </c>
      <c r="X122" s="65">
        <v>1200.52</v>
      </c>
      <c r="Y122" s="40">
        <f>SUM(G122:X122)</f>
        <v>5902.1900000000005</v>
      </c>
      <c r="Z122" s="87"/>
    </row>
    <row r="123" spans="1:26" ht="35.1" customHeight="1">
      <c r="A123" s="75" t="s">
        <v>205</v>
      </c>
      <c r="B123" s="85"/>
      <c r="C123" s="36" t="s">
        <v>44</v>
      </c>
      <c r="D123" s="86" t="s">
        <v>55</v>
      </c>
      <c r="E123" s="55" t="s">
        <v>56</v>
      </c>
      <c r="F123" s="65">
        <v>0</v>
      </c>
      <c r="G123" s="65">
        <v>0</v>
      </c>
      <c r="H123" s="65">
        <v>0</v>
      </c>
      <c r="I123" s="65">
        <v>0</v>
      </c>
      <c r="J123" s="65">
        <v>0</v>
      </c>
      <c r="K123" s="65">
        <v>0</v>
      </c>
      <c r="L123" s="65">
        <v>0</v>
      </c>
      <c r="M123" s="65">
        <v>0</v>
      </c>
      <c r="N123" s="65">
        <v>0</v>
      </c>
      <c r="O123" s="65">
        <v>62468.72</v>
      </c>
      <c r="P123" s="65">
        <v>0</v>
      </c>
      <c r="Q123" s="65">
        <v>0</v>
      </c>
      <c r="R123" s="65">
        <v>20984.65</v>
      </c>
      <c r="S123" s="65">
        <v>0</v>
      </c>
      <c r="T123" s="65">
        <v>0</v>
      </c>
      <c r="U123" s="65">
        <v>0</v>
      </c>
      <c r="V123" s="65">
        <v>2110</v>
      </c>
      <c r="W123" s="65">
        <v>0</v>
      </c>
      <c r="X123" s="65">
        <v>666139</v>
      </c>
      <c r="Y123" s="40">
        <f>SUM(G123:X123)</f>
        <v>751702.37</v>
      </c>
      <c r="Z123" s="87"/>
    </row>
    <row r="124" spans="1:26" ht="35.1" customHeight="1">
      <c r="A124" s="75" t="s">
        <v>206</v>
      </c>
      <c r="B124" s="85"/>
      <c r="C124" s="36" t="s">
        <v>44</v>
      </c>
      <c r="D124" s="86" t="s">
        <v>57</v>
      </c>
      <c r="E124" s="55" t="s">
        <v>58</v>
      </c>
      <c r="F124" s="65">
        <v>0</v>
      </c>
      <c r="G124" s="65">
        <v>0</v>
      </c>
      <c r="H124" s="65">
        <v>0</v>
      </c>
      <c r="I124" s="65">
        <v>0</v>
      </c>
      <c r="J124" s="65">
        <v>0</v>
      </c>
      <c r="K124" s="65">
        <v>0</v>
      </c>
      <c r="L124" s="65">
        <v>0</v>
      </c>
      <c r="M124" s="65">
        <v>0</v>
      </c>
      <c r="N124" s="65">
        <v>0</v>
      </c>
      <c r="O124" s="65">
        <v>0</v>
      </c>
      <c r="P124" s="65">
        <v>0</v>
      </c>
      <c r="Q124" s="65">
        <v>0</v>
      </c>
      <c r="R124" s="65">
        <v>1123.73</v>
      </c>
      <c r="S124" s="65">
        <v>0</v>
      </c>
      <c r="T124" s="65">
        <v>0</v>
      </c>
      <c r="U124" s="65">
        <v>0</v>
      </c>
      <c r="V124" s="65">
        <v>0</v>
      </c>
      <c r="W124" s="65">
        <v>0</v>
      </c>
      <c r="X124" s="65">
        <v>0</v>
      </c>
      <c r="Y124" s="40">
        <f>SUM(G124:X124)</f>
        <v>1123.73</v>
      </c>
      <c r="Z124" s="87"/>
    </row>
    <row r="125" spans="1:26" ht="35.1" customHeight="1">
      <c r="A125" s="84" t="s">
        <v>208</v>
      </c>
      <c r="B125" s="85"/>
      <c r="C125" s="36" t="s">
        <v>44</v>
      </c>
      <c r="D125" s="86" t="s">
        <v>59</v>
      </c>
      <c r="E125" s="55" t="s">
        <v>60</v>
      </c>
      <c r="F125" s="65">
        <v>0</v>
      </c>
      <c r="G125" s="65">
        <v>0</v>
      </c>
      <c r="H125" s="65">
        <v>0</v>
      </c>
      <c r="I125" s="65">
        <v>0</v>
      </c>
      <c r="J125" s="65">
        <v>0</v>
      </c>
      <c r="K125" s="65">
        <v>0</v>
      </c>
      <c r="L125" s="65">
        <v>0</v>
      </c>
      <c r="M125" s="65">
        <v>0</v>
      </c>
      <c r="N125" s="65">
        <v>0</v>
      </c>
      <c r="O125" s="65">
        <v>0</v>
      </c>
      <c r="P125" s="65">
        <v>0</v>
      </c>
      <c r="Q125" s="65">
        <v>0</v>
      </c>
      <c r="R125" s="65">
        <v>0</v>
      </c>
      <c r="S125" s="65">
        <v>0</v>
      </c>
      <c r="T125" s="65">
        <v>0</v>
      </c>
      <c r="U125" s="65">
        <v>0</v>
      </c>
      <c r="V125" s="65">
        <v>0</v>
      </c>
      <c r="W125" s="65">
        <v>0</v>
      </c>
      <c r="X125" s="65">
        <v>0</v>
      </c>
      <c r="Y125" s="40">
        <f>SUM(G125:X125)</f>
        <v>0</v>
      </c>
      <c r="Z125" s="87"/>
    </row>
    <row r="126" spans="1:26" s="77" customFormat="1" ht="35.1" customHeight="1">
      <c r="A126" s="84" t="s">
        <v>209</v>
      </c>
      <c r="B126" s="75"/>
      <c r="C126" s="54"/>
      <c r="D126" s="59" t="s">
        <v>212</v>
      </c>
      <c r="E126" s="60"/>
      <c r="F126" s="25">
        <f t="shared" ref="F126:Y126" si="67">SUM(F127:F130)</f>
        <v>0</v>
      </c>
      <c r="G126" s="25">
        <f t="shared" si="67"/>
        <v>0</v>
      </c>
      <c r="H126" s="25">
        <f t="shared" si="67"/>
        <v>0</v>
      </c>
      <c r="I126" s="25">
        <f t="shared" si="67"/>
        <v>0</v>
      </c>
      <c r="J126" s="25">
        <f t="shared" si="67"/>
        <v>0</v>
      </c>
      <c r="K126" s="25">
        <f t="shared" si="67"/>
        <v>325999.68</v>
      </c>
      <c r="L126" s="25">
        <f t="shared" si="67"/>
        <v>0</v>
      </c>
      <c r="M126" s="25">
        <f t="shared" si="67"/>
        <v>0</v>
      </c>
      <c r="N126" s="25">
        <f t="shared" si="67"/>
        <v>0</v>
      </c>
      <c r="O126" s="25">
        <f t="shared" si="67"/>
        <v>0</v>
      </c>
      <c r="P126" s="25">
        <f t="shared" si="67"/>
        <v>0</v>
      </c>
      <c r="Q126" s="25">
        <f t="shared" si="67"/>
        <v>0</v>
      </c>
      <c r="R126" s="25">
        <f t="shared" si="67"/>
        <v>1459297.9100000001</v>
      </c>
      <c r="S126" s="25">
        <f t="shared" si="67"/>
        <v>0</v>
      </c>
      <c r="T126" s="25">
        <f t="shared" si="67"/>
        <v>0</v>
      </c>
      <c r="U126" s="25">
        <f t="shared" si="67"/>
        <v>0</v>
      </c>
      <c r="V126" s="25">
        <f t="shared" si="67"/>
        <v>0</v>
      </c>
      <c r="W126" s="25">
        <f t="shared" si="67"/>
        <v>0</v>
      </c>
      <c r="X126" s="25">
        <f t="shared" si="67"/>
        <v>0</v>
      </c>
      <c r="Y126" s="25">
        <f t="shared" si="67"/>
        <v>1785297.59</v>
      </c>
      <c r="Z126" s="76"/>
    </row>
    <row r="127" spans="1:26" ht="35.1" customHeight="1">
      <c r="A127" s="84" t="s">
        <v>206</v>
      </c>
      <c r="B127" s="85"/>
      <c r="C127" s="36" t="s">
        <v>44</v>
      </c>
      <c r="D127" s="86" t="s">
        <v>63</v>
      </c>
      <c r="E127" s="55" t="s">
        <v>64</v>
      </c>
      <c r="F127" s="65">
        <v>0</v>
      </c>
      <c r="G127" s="65">
        <v>0</v>
      </c>
      <c r="H127" s="65">
        <v>0</v>
      </c>
      <c r="I127" s="65">
        <v>0</v>
      </c>
      <c r="J127" s="65">
        <v>0</v>
      </c>
      <c r="K127" s="65">
        <v>325999.68</v>
      </c>
      <c r="L127" s="65">
        <v>0</v>
      </c>
      <c r="M127" s="65">
        <v>0</v>
      </c>
      <c r="N127" s="65">
        <v>0</v>
      </c>
      <c r="O127" s="65">
        <v>0</v>
      </c>
      <c r="P127" s="65">
        <v>0</v>
      </c>
      <c r="Q127" s="65">
        <v>0</v>
      </c>
      <c r="R127" s="65">
        <v>0</v>
      </c>
      <c r="S127" s="65">
        <v>0</v>
      </c>
      <c r="T127" s="65">
        <v>0</v>
      </c>
      <c r="U127" s="65">
        <v>0</v>
      </c>
      <c r="V127" s="65">
        <v>0</v>
      </c>
      <c r="W127" s="65">
        <v>0</v>
      </c>
      <c r="X127" s="65">
        <v>0</v>
      </c>
      <c r="Y127" s="40">
        <f>SUM(G127:X127)</f>
        <v>325999.68</v>
      </c>
      <c r="Z127" s="87"/>
    </row>
    <row r="128" spans="1:26" ht="35.1" customHeight="1">
      <c r="A128" s="84" t="s">
        <v>7</v>
      </c>
      <c r="B128" s="85"/>
      <c r="C128" s="36" t="s">
        <v>44</v>
      </c>
      <c r="D128" s="86" t="s">
        <v>65</v>
      </c>
      <c r="E128" s="55" t="s">
        <v>66</v>
      </c>
      <c r="F128" s="65">
        <v>0</v>
      </c>
      <c r="G128" s="65">
        <v>0</v>
      </c>
      <c r="H128" s="65">
        <v>0</v>
      </c>
      <c r="I128" s="65">
        <v>0</v>
      </c>
      <c r="J128" s="65">
        <v>0</v>
      </c>
      <c r="K128" s="65">
        <v>0</v>
      </c>
      <c r="L128" s="65">
        <v>0</v>
      </c>
      <c r="M128" s="65">
        <v>0</v>
      </c>
      <c r="N128" s="65">
        <v>0</v>
      </c>
      <c r="O128" s="65">
        <v>0</v>
      </c>
      <c r="P128" s="65">
        <v>0</v>
      </c>
      <c r="Q128" s="65">
        <v>0</v>
      </c>
      <c r="R128" s="65">
        <v>493145.4</v>
      </c>
      <c r="S128" s="65">
        <v>0</v>
      </c>
      <c r="T128" s="65">
        <v>0</v>
      </c>
      <c r="U128" s="65">
        <v>0</v>
      </c>
      <c r="V128" s="65">
        <v>0</v>
      </c>
      <c r="W128" s="65">
        <v>0</v>
      </c>
      <c r="X128" s="65">
        <v>0</v>
      </c>
      <c r="Y128" s="40">
        <f>SUM(G128:X128)</f>
        <v>493145.4</v>
      </c>
      <c r="Z128" s="87"/>
    </row>
    <row r="129" spans="1:26" ht="35.1" customHeight="1">
      <c r="A129" s="84" t="s">
        <v>210</v>
      </c>
      <c r="B129" s="85"/>
      <c r="C129" s="36" t="s">
        <v>44</v>
      </c>
      <c r="D129" s="86" t="s">
        <v>67</v>
      </c>
      <c r="E129" s="55" t="s">
        <v>68</v>
      </c>
      <c r="F129" s="65">
        <v>0</v>
      </c>
      <c r="G129" s="65">
        <v>0</v>
      </c>
      <c r="H129" s="65">
        <v>0</v>
      </c>
      <c r="I129" s="65">
        <v>0</v>
      </c>
      <c r="J129" s="65">
        <v>0</v>
      </c>
      <c r="K129" s="65">
        <v>0</v>
      </c>
      <c r="L129" s="65">
        <v>0</v>
      </c>
      <c r="M129" s="65">
        <v>0</v>
      </c>
      <c r="N129" s="65">
        <v>0</v>
      </c>
      <c r="O129" s="65">
        <v>0</v>
      </c>
      <c r="P129" s="65">
        <v>0</v>
      </c>
      <c r="Q129" s="65">
        <v>0</v>
      </c>
      <c r="R129" s="65">
        <v>245199.04</v>
      </c>
      <c r="S129" s="65">
        <v>0</v>
      </c>
      <c r="T129" s="65">
        <v>0</v>
      </c>
      <c r="U129" s="65">
        <v>0</v>
      </c>
      <c r="V129" s="65">
        <v>0</v>
      </c>
      <c r="W129" s="65">
        <v>0</v>
      </c>
      <c r="X129" s="65">
        <v>0</v>
      </c>
      <c r="Y129" s="40">
        <f>SUM(G129:X129)</f>
        <v>245199.04</v>
      </c>
      <c r="Z129" s="87"/>
    </row>
    <row r="130" spans="1:26" ht="35.1" customHeight="1">
      <c r="A130" s="88"/>
      <c r="B130" s="85"/>
      <c r="C130" s="36" t="s">
        <v>44</v>
      </c>
      <c r="D130" s="86" t="s">
        <v>69</v>
      </c>
      <c r="E130" s="55" t="s">
        <v>70</v>
      </c>
      <c r="F130" s="65">
        <v>0</v>
      </c>
      <c r="G130" s="65">
        <v>0</v>
      </c>
      <c r="H130" s="65">
        <v>0</v>
      </c>
      <c r="I130" s="65">
        <v>0</v>
      </c>
      <c r="J130" s="65">
        <v>0</v>
      </c>
      <c r="K130" s="65">
        <v>0</v>
      </c>
      <c r="L130" s="65">
        <v>0</v>
      </c>
      <c r="M130" s="65">
        <v>0</v>
      </c>
      <c r="N130" s="65">
        <v>0</v>
      </c>
      <c r="O130" s="65">
        <v>0</v>
      </c>
      <c r="P130" s="65">
        <v>0</v>
      </c>
      <c r="Q130" s="65">
        <v>0</v>
      </c>
      <c r="R130" s="65">
        <v>720953.47</v>
      </c>
      <c r="S130" s="65">
        <v>0</v>
      </c>
      <c r="T130" s="65">
        <v>0</v>
      </c>
      <c r="U130" s="65">
        <v>0</v>
      </c>
      <c r="V130" s="65">
        <v>0</v>
      </c>
      <c r="W130" s="65">
        <v>0</v>
      </c>
      <c r="X130" s="65">
        <v>0</v>
      </c>
      <c r="Y130" s="40">
        <f>SUM(G130:X130)</f>
        <v>720953.47</v>
      </c>
      <c r="Z130" s="87"/>
    </row>
    <row r="131" spans="1:26" s="77" customFormat="1" ht="35.1" customHeight="1">
      <c r="A131" s="75" t="s">
        <v>7</v>
      </c>
      <c r="B131" s="75"/>
      <c r="C131" s="54"/>
      <c r="D131" s="59" t="s">
        <v>213</v>
      </c>
      <c r="E131" s="60"/>
      <c r="F131" s="25">
        <f t="shared" ref="F131:Y131" si="68">SUM(F132:F133)</f>
        <v>0</v>
      </c>
      <c r="G131" s="25">
        <f t="shared" si="68"/>
        <v>10389</v>
      </c>
      <c r="H131" s="25">
        <f t="shared" si="68"/>
        <v>0</v>
      </c>
      <c r="I131" s="25">
        <f t="shared" si="68"/>
        <v>9589</v>
      </c>
      <c r="J131" s="25">
        <f t="shared" si="68"/>
        <v>0</v>
      </c>
      <c r="K131" s="25">
        <f t="shared" si="68"/>
        <v>9189</v>
      </c>
      <c r="L131" s="25">
        <f t="shared" si="68"/>
        <v>0</v>
      </c>
      <c r="M131" s="25">
        <f t="shared" si="68"/>
        <v>0</v>
      </c>
      <c r="N131" s="25">
        <f t="shared" si="68"/>
        <v>0</v>
      </c>
      <c r="O131" s="25">
        <f t="shared" si="68"/>
        <v>0</v>
      </c>
      <c r="P131" s="25">
        <f t="shared" si="68"/>
        <v>0</v>
      </c>
      <c r="Q131" s="25">
        <f t="shared" si="68"/>
        <v>0</v>
      </c>
      <c r="R131" s="25">
        <f t="shared" si="68"/>
        <v>236.65</v>
      </c>
      <c r="S131" s="25">
        <f t="shared" si="68"/>
        <v>11370.34</v>
      </c>
      <c r="T131" s="25">
        <f t="shared" si="68"/>
        <v>0</v>
      </c>
      <c r="U131" s="25">
        <f t="shared" si="68"/>
        <v>10033.26</v>
      </c>
      <c r="V131" s="25">
        <f t="shared" si="68"/>
        <v>0</v>
      </c>
      <c r="W131" s="25">
        <f t="shared" si="68"/>
        <v>0</v>
      </c>
      <c r="X131" s="25">
        <f t="shared" si="68"/>
        <v>0</v>
      </c>
      <c r="Y131" s="25">
        <f t="shared" si="68"/>
        <v>50807.250000000007</v>
      </c>
      <c r="Z131" s="76"/>
    </row>
    <row r="132" spans="1:26" ht="35.1" customHeight="1">
      <c r="A132" s="75" t="s">
        <v>29</v>
      </c>
      <c r="B132" s="85"/>
      <c r="C132" s="36" t="s">
        <v>44</v>
      </c>
      <c r="D132" s="86" t="s">
        <v>73</v>
      </c>
      <c r="E132" s="55" t="s">
        <v>74</v>
      </c>
      <c r="F132" s="65">
        <v>0</v>
      </c>
      <c r="G132" s="65">
        <v>10389</v>
      </c>
      <c r="H132" s="65">
        <v>0</v>
      </c>
      <c r="I132" s="65">
        <v>9589</v>
      </c>
      <c r="J132" s="65">
        <v>0</v>
      </c>
      <c r="K132" s="65">
        <v>9189</v>
      </c>
      <c r="L132" s="65">
        <v>0</v>
      </c>
      <c r="M132" s="65">
        <v>0</v>
      </c>
      <c r="N132" s="65">
        <v>0</v>
      </c>
      <c r="O132" s="65">
        <v>0</v>
      </c>
      <c r="P132" s="65">
        <v>0</v>
      </c>
      <c r="Q132" s="65">
        <v>0</v>
      </c>
      <c r="R132" s="41">
        <f>417.99-181.34</f>
        <v>236.65</v>
      </c>
      <c r="S132" s="65">
        <v>11370.34</v>
      </c>
      <c r="T132" s="65">
        <v>0</v>
      </c>
      <c r="U132" s="65">
        <v>10033.26</v>
      </c>
      <c r="V132" s="65">
        <v>0</v>
      </c>
      <c r="W132" s="65">
        <v>0</v>
      </c>
      <c r="X132" s="65">
        <v>0</v>
      </c>
      <c r="Y132" s="40">
        <f>SUM(G132:X132)</f>
        <v>50807.250000000007</v>
      </c>
      <c r="Z132" s="87"/>
    </row>
    <row r="133" spans="1:26" ht="35.1" customHeight="1">
      <c r="A133" s="75" t="s">
        <v>205</v>
      </c>
      <c r="B133" s="85"/>
      <c r="C133" s="36" t="s">
        <v>44</v>
      </c>
      <c r="D133" s="86" t="s">
        <v>75</v>
      </c>
      <c r="E133" s="55" t="s">
        <v>76</v>
      </c>
      <c r="F133" s="65">
        <v>0</v>
      </c>
      <c r="G133" s="65">
        <v>0</v>
      </c>
      <c r="H133" s="65">
        <v>0</v>
      </c>
      <c r="I133" s="65">
        <v>0</v>
      </c>
      <c r="J133" s="65">
        <v>0</v>
      </c>
      <c r="K133" s="65">
        <v>0</v>
      </c>
      <c r="L133" s="65">
        <v>0</v>
      </c>
      <c r="M133" s="65">
        <v>0</v>
      </c>
      <c r="N133" s="65">
        <v>0</v>
      </c>
      <c r="O133" s="65">
        <v>0</v>
      </c>
      <c r="P133" s="65">
        <v>0</v>
      </c>
      <c r="Q133" s="65">
        <v>0</v>
      </c>
      <c r="R133" s="65">
        <v>0</v>
      </c>
      <c r="S133" s="65">
        <v>0</v>
      </c>
      <c r="T133" s="65">
        <v>0</v>
      </c>
      <c r="U133" s="65">
        <v>0</v>
      </c>
      <c r="V133" s="65">
        <v>0</v>
      </c>
      <c r="W133" s="65">
        <v>0</v>
      </c>
      <c r="X133" s="65">
        <v>0</v>
      </c>
      <c r="Y133" s="40">
        <f>SUM(G133:X133)</f>
        <v>0</v>
      </c>
      <c r="Z133" s="87"/>
    </row>
    <row r="134" spans="1:26" s="77" customFormat="1" ht="35.1" customHeight="1">
      <c r="A134" s="75" t="s">
        <v>206</v>
      </c>
      <c r="B134" s="75"/>
      <c r="C134" s="46" t="s">
        <v>214</v>
      </c>
      <c r="D134" s="82" t="s">
        <v>78</v>
      </c>
      <c r="E134" s="83"/>
      <c r="F134" s="49">
        <f t="shared" ref="F134:Y134" si="69">SUM(F135:F140)</f>
        <v>0</v>
      </c>
      <c r="G134" s="49">
        <f t="shared" si="69"/>
        <v>772.04</v>
      </c>
      <c r="H134" s="49">
        <f t="shared" si="69"/>
        <v>0</v>
      </c>
      <c r="I134" s="49">
        <f t="shared" si="69"/>
        <v>2427.04</v>
      </c>
      <c r="J134" s="49">
        <f t="shared" si="69"/>
        <v>0</v>
      </c>
      <c r="K134" s="49">
        <f t="shared" si="69"/>
        <v>21360</v>
      </c>
      <c r="L134" s="49">
        <f t="shared" si="69"/>
        <v>0</v>
      </c>
      <c r="M134" s="49">
        <f t="shared" si="69"/>
        <v>2996.4</v>
      </c>
      <c r="N134" s="49">
        <f t="shared" si="69"/>
        <v>15519.22</v>
      </c>
      <c r="O134" s="49">
        <f t="shared" si="69"/>
        <v>7858.4</v>
      </c>
      <c r="P134" s="49">
        <f t="shared" si="69"/>
        <v>5871</v>
      </c>
      <c r="Q134" s="49">
        <f t="shared" si="69"/>
        <v>2820</v>
      </c>
      <c r="R134" s="49">
        <f t="shared" si="69"/>
        <v>0</v>
      </c>
      <c r="S134" s="49">
        <f t="shared" si="69"/>
        <v>11604.5</v>
      </c>
      <c r="T134" s="49">
        <f t="shared" si="69"/>
        <v>0</v>
      </c>
      <c r="U134" s="49">
        <f t="shared" si="69"/>
        <v>13090</v>
      </c>
      <c r="V134" s="49">
        <f t="shared" si="69"/>
        <v>0</v>
      </c>
      <c r="W134" s="49">
        <f t="shared" si="69"/>
        <v>0</v>
      </c>
      <c r="X134" s="49">
        <f t="shared" si="69"/>
        <v>9618.18</v>
      </c>
      <c r="Y134" s="49">
        <f t="shared" si="69"/>
        <v>93936.78</v>
      </c>
      <c r="Z134" s="76"/>
    </row>
    <row r="135" spans="1:26" ht="35.1" customHeight="1">
      <c r="A135" s="84" t="s">
        <v>208</v>
      </c>
      <c r="B135" s="85"/>
      <c r="C135" s="36" t="s">
        <v>44</v>
      </c>
      <c r="D135" s="86" t="s">
        <v>79</v>
      </c>
      <c r="E135" s="55" t="s">
        <v>80</v>
      </c>
      <c r="F135" s="65">
        <v>0</v>
      </c>
      <c r="G135" s="65">
        <v>0</v>
      </c>
      <c r="H135" s="65">
        <v>0</v>
      </c>
      <c r="I135" s="65">
        <v>377.04</v>
      </c>
      <c r="J135" s="65">
        <v>0</v>
      </c>
      <c r="K135" s="65">
        <v>17400</v>
      </c>
      <c r="L135" s="65">
        <v>0</v>
      </c>
      <c r="M135" s="65">
        <v>0</v>
      </c>
      <c r="N135" s="65">
        <v>8564.48</v>
      </c>
      <c r="O135" s="65">
        <v>6511.4</v>
      </c>
      <c r="P135" s="65">
        <v>1598</v>
      </c>
      <c r="Q135" s="65">
        <v>740</v>
      </c>
      <c r="R135" s="65">
        <v>0</v>
      </c>
      <c r="S135" s="65">
        <v>11604.5</v>
      </c>
      <c r="T135" s="65">
        <v>0</v>
      </c>
      <c r="U135" s="65">
        <v>11471</v>
      </c>
      <c r="V135" s="65">
        <v>0</v>
      </c>
      <c r="W135" s="65">
        <v>0</v>
      </c>
      <c r="X135" s="65">
        <v>0</v>
      </c>
      <c r="Y135" s="40">
        <f t="shared" ref="Y135:Y140" si="70">SUM(G135:X135)</f>
        <v>58266.42</v>
      </c>
      <c r="Z135" s="87"/>
    </row>
    <row r="136" spans="1:26" ht="35.1" customHeight="1">
      <c r="A136" s="84" t="s">
        <v>209</v>
      </c>
      <c r="B136" s="85"/>
      <c r="C136" s="36" t="s">
        <v>44</v>
      </c>
      <c r="D136" s="86" t="s">
        <v>81</v>
      </c>
      <c r="E136" s="55" t="s">
        <v>82</v>
      </c>
      <c r="F136" s="65">
        <v>0</v>
      </c>
      <c r="G136" s="65">
        <v>0</v>
      </c>
      <c r="H136" s="65">
        <v>0</v>
      </c>
      <c r="I136" s="65">
        <v>2050</v>
      </c>
      <c r="J136" s="65">
        <v>0</v>
      </c>
      <c r="K136" s="65">
        <v>0</v>
      </c>
      <c r="L136" s="65">
        <v>0</v>
      </c>
      <c r="M136" s="65">
        <v>468.4</v>
      </c>
      <c r="N136" s="65">
        <v>0</v>
      </c>
      <c r="O136" s="65">
        <v>1182</v>
      </c>
      <c r="P136" s="65">
        <v>0</v>
      </c>
      <c r="Q136" s="65">
        <v>0</v>
      </c>
      <c r="R136" s="65">
        <v>0</v>
      </c>
      <c r="S136" s="65">
        <v>0</v>
      </c>
      <c r="T136" s="65">
        <v>0</v>
      </c>
      <c r="U136" s="65">
        <v>0</v>
      </c>
      <c r="V136" s="65">
        <v>0</v>
      </c>
      <c r="W136" s="65">
        <v>0</v>
      </c>
      <c r="X136" s="65">
        <v>0</v>
      </c>
      <c r="Y136" s="40">
        <f t="shared" si="70"/>
        <v>3700.4</v>
      </c>
      <c r="Z136" s="87"/>
    </row>
    <row r="137" spans="1:26" ht="35.1" customHeight="1">
      <c r="A137" s="84" t="s">
        <v>206</v>
      </c>
      <c r="B137" s="85"/>
      <c r="C137" s="36" t="s">
        <v>44</v>
      </c>
      <c r="D137" s="86" t="s">
        <v>83</v>
      </c>
      <c r="E137" s="55" t="s">
        <v>84</v>
      </c>
      <c r="F137" s="65">
        <v>0</v>
      </c>
      <c r="G137" s="65">
        <v>0</v>
      </c>
      <c r="H137" s="65">
        <v>0</v>
      </c>
      <c r="I137" s="65">
        <v>0</v>
      </c>
      <c r="J137" s="65">
        <v>0</v>
      </c>
      <c r="K137" s="65">
        <v>3960</v>
      </c>
      <c r="L137" s="65">
        <v>0</v>
      </c>
      <c r="M137" s="65">
        <v>0</v>
      </c>
      <c r="N137" s="65">
        <v>3998.3</v>
      </c>
      <c r="O137" s="65">
        <v>0</v>
      </c>
      <c r="P137" s="65">
        <v>1138</v>
      </c>
      <c r="Q137" s="65">
        <v>2080</v>
      </c>
      <c r="R137" s="65">
        <v>0</v>
      </c>
      <c r="S137" s="65">
        <v>0</v>
      </c>
      <c r="T137" s="65">
        <v>0</v>
      </c>
      <c r="U137" s="65">
        <v>1619</v>
      </c>
      <c r="V137" s="65">
        <v>0</v>
      </c>
      <c r="W137" s="65">
        <v>0</v>
      </c>
      <c r="X137" s="65">
        <v>9037.24</v>
      </c>
      <c r="Y137" s="40">
        <f t="shared" si="70"/>
        <v>21832.54</v>
      </c>
      <c r="Z137" s="87"/>
    </row>
    <row r="138" spans="1:26" ht="35.1" customHeight="1">
      <c r="A138" s="84" t="s">
        <v>7</v>
      </c>
      <c r="B138" s="85"/>
      <c r="C138" s="36" t="s">
        <v>44</v>
      </c>
      <c r="D138" s="86" t="s">
        <v>85</v>
      </c>
      <c r="E138" s="55" t="s">
        <v>86</v>
      </c>
      <c r="F138" s="65">
        <v>0</v>
      </c>
      <c r="G138" s="65">
        <v>0</v>
      </c>
      <c r="H138" s="65">
        <v>0</v>
      </c>
      <c r="I138" s="65">
        <v>0</v>
      </c>
      <c r="J138" s="65">
        <v>0</v>
      </c>
      <c r="K138" s="65">
        <v>0</v>
      </c>
      <c r="L138" s="65">
        <v>0</v>
      </c>
      <c r="M138" s="65">
        <v>0</v>
      </c>
      <c r="N138" s="65">
        <v>1202</v>
      </c>
      <c r="O138" s="65">
        <v>0</v>
      </c>
      <c r="P138" s="65">
        <v>0</v>
      </c>
      <c r="Q138" s="65">
        <v>0</v>
      </c>
      <c r="R138" s="65">
        <v>0</v>
      </c>
      <c r="S138" s="65">
        <v>0</v>
      </c>
      <c r="T138" s="65">
        <v>0</v>
      </c>
      <c r="U138" s="65">
        <v>0</v>
      </c>
      <c r="V138" s="65">
        <v>0</v>
      </c>
      <c r="W138" s="65">
        <v>0</v>
      </c>
      <c r="X138" s="65">
        <v>0</v>
      </c>
      <c r="Y138" s="40">
        <f t="shared" si="70"/>
        <v>1202</v>
      </c>
      <c r="Z138" s="87"/>
    </row>
    <row r="139" spans="1:26" ht="35.1" customHeight="1">
      <c r="A139" s="84" t="s">
        <v>210</v>
      </c>
      <c r="B139" s="85"/>
      <c r="C139" s="36" t="s">
        <v>44</v>
      </c>
      <c r="D139" s="86" t="s">
        <v>87</v>
      </c>
      <c r="E139" s="55" t="s">
        <v>88</v>
      </c>
      <c r="F139" s="65">
        <v>0</v>
      </c>
      <c r="G139" s="65">
        <v>772.04</v>
      </c>
      <c r="H139" s="65">
        <v>0</v>
      </c>
      <c r="I139" s="65">
        <v>0</v>
      </c>
      <c r="J139" s="65">
        <v>0</v>
      </c>
      <c r="K139" s="65">
        <v>0</v>
      </c>
      <c r="L139" s="65">
        <v>0</v>
      </c>
      <c r="M139" s="65">
        <v>2528</v>
      </c>
      <c r="N139" s="65">
        <v>1754.44</v>
      </c>
      <c r="O139" s="65">
        <v>165</v>
      </c>
      <c r="P139" s="65">
        <v>3135</v>
      </c>
      <c r="Q139" s="65">
        <v>0</v>
      </c>
      <c r="R139" s="65">
        <v>0</v>
      </c>
      <c r="S139" s="65">
        <v>0</v>
      </c>
      <c r="T139" s="65">
        <v>0</v>
      </c>
      <c r="U139" s="65">
        <v>0</v>
      </c>
      <c r="V139" s="65">
        <v>0</v>
      </c>
      <c r="W139" s="65">
        <v>0</v>
      </c>
      <c r="X139" s="65">
        <v>580.94000000000005</v>
      </c>
      <c r="Y139" s="40">
        <f t="shared" si="70"/>
        <v>8935.42</v>
      </c>
      <c r="Z139" s="87"/>
    </row>
    <row r="140" spans="1:26" ht="35.1" customHeight="1">
      <c r="A140" s="88"/>
      <c r="B140" s="85"/>
      <c r="C140" s="36" t="s">
        <v>44</v>
      </c>
      <c r="D140" s="86" t="s">
        <v>89</v>
      </c>
      <c r="E140" s="55" t="s">
        <v>90</v>
      </c>
      <c r="F140" s="65">
        <v>0</v>
      </c>
      <c r="G140" s="65">
        <v>0</v>
      </c>
      <c r="H140" s="65">
        <v>0</v>
      </c>
      <c r="I140" s="65">
        <v>0</v>
      </c>
      <c r="J140" s="65">
        <v>0</v>
      </c>
      <c r="K140" s="65">
        <v>0</v>
      </c>
      <c r="L140" s="65">
        <v>0</v>
      </c>
      <c r="M140" s="65">
        <v>0</v>
      </c>
      <c r="N140" s="65">
        <v>0</v>
      </c>
      <c r="O140" s="65">
        <v>0</v>
      </c>
      <c r="P140" s="65">
        <v>0</v>
      </c>
      <c r="Q140" s="65">
        <v>0</v>
      </c>
      <c r="R140" s="65">
        <v>0</v>
      </c>
      <c r="S140" s="65">
        <v>0</v>
      </c>
      <c r="T140" s="65">
        <v>0</v>
      </c>
      <c r="U140" s="65">
        <v>0</v>
      </c>
      <c r="V140" s="65">
        <v>0</v>
      </c>
      <c r="W140" s="65">
        <v>0</v>
      </c>
      <c r="X140" s="65">
        <v>0</v>
      </c>
      <c r="Y140" s="40">
        <f t="shared" si="70"/>
        <v>0</v>
      </c>
      <c r="Z140" s="87"/>
    </row>
    <row r="141" spans="1:26" s="77" customFormat="1" ht="35.1" customHeight="1">
      <c r="A141" s="75" t="s">
        <v>7</v>
      </c>
      <c r="B141" s="75"/>
      <c r="C141" s="46" t="s">
        <v>93</v>
      </c>
      <c r="D141" s="82" t="s">
        <v>94</v>
      </c>
      <c r="E141" s="83"/>
      <c r="F141" s="49">
        <f t="shared" ref="F141" si="71">SUM(F142:F166)</f>
        <v>0</v>
      </c>
      <c r="G141" s="49">
        <f>SUM(G142:G166)</f>
        <v>39890.67</v>
      </c>
      <c r="H141" s="49">
        <f t="shared" ref="H141:Y141" si="72">SUM(H142:H166)</f>
        <v>98190.05</v>
      </c>
      <c r="I141" s="49">
        <f t="shared" si="72"/>
        <v>107157.23</v>
      </c>
      <c r="J141" s="49">
        <f t="shared" si="72"/>
        <v>22553.600000000002</v>
      </c>
      <c r="K141" s="49">
        <f t="shared" si="72"/>
        <v>426491.3</v>
      </c>
      <c r="L141" s="49">
        <f t="shared" si="72"/>
        <v>32573.739999999998</v>
      </c>
      <c r="M141" s="49">
        <f t="shared" si="72"/>
        <v>14216.88</v>
      </c>
      <c r="N141" s="49">
        <f t="shared" si="72"/>
        <v>3347.8100000000004</v>
      </c>
      <c r="O141" s="49">
        <f t="shared" si="72"/>
        <v>27730.38</v>
      </c>
      <c r="P141" s="49">
        <f t="shared" si="72"/>
        <v>205014.84</v>
      </c>
      <c r="Q141" s="49">
        <f t="shared" si="72"/>
        <v>48561.499999999993</v>
      </c>
      <c r="R141" s="49">
        <f t="shared" si="72"/>
        <v>49054.69</v>
      </c>
      <c r="S141" s="49">
        <f t="shared" si="72"/>
        <v>21802.300000000003</v>
      </c>
      <c r="T141" s="49">
        <f t="shared" si="72"/>
        <v>-10281.11</v>
      </c>
      <c r="U141" s="49">
        <f t="shared" si="72"/>
        <v>1281321.3400000001</v>
      </c>
      <c r="V141" s="49">
        <f t="shared" si="72"/>
        <v>63216.3</v>
      </c>
      <c r="W141" s="49">
        <f t="shared" si="72"/>
        <v>62535.189999999995</v>
      </c>
      <c r="X141" s="49">
        <f t="shared" si="72"/>
        <v>1447615.0099999998</v>
      </c>
      <c r="Y141" s="49">
        <f t="shared" si="72"/>
        <v>3940991.7199999997</v>
      </c>
      <c r="Z141" s="76"/>
    </row>
    <row r="142" spans="1:26" ht="35.1" customHeight="1">
      <c r="A142" s="75" t="s">
        <v>29</v>
      </c>
      <c r="B142" s="85"/>
      <c r="C142" s="36" t="s">
        <v>44</v>
      </c>
      <c r="D142" s="86" t="s">
        <v>95</v>
      </c>
      <c r="E142" s="55" t="s">
        <v>96</v>
      </c>
      <c r="F142" s="65">
        <v>0</v>
      </c>
      <c r="G142" s="65">
        <v>0</v>
      </c>
      <c r="H142" s="65">
        <v>0</v>
      </c>
      <c r="I142" s="65">
        <v>0</v>
      </c>
      <c r="J142" s="65">
        <v>0</v>
      </c>
      <c r="K142" s="65">
        <v>282106.98</v>
      </c>
      <c r="L142" s="65">
        <v>0</v>
      </c>
      <c r="M142" s="65">
        <v>0</v>
      </c>
      <c r="N142" s="65">
        <v>0</v>
      </c>
      <c r="O142" s="65">
        <v>0</v>
      </c>
      <c r="P142" s="65">
        <v>0</v>
      </c>
      <c r="Q142" s="65">
        <v>0</v>
      </c>
      <c r="R142" s="65">
        <v>22466.02</v>
      </c>
      <c r="S142" s="65">
        <v>0</v>
      </c>
      <c r="T142" s="65">
        <v>0</v>
      </c>
      <c r="U142" s="65">
        <v>0</v>
      </c>
      <c r="V142" s="65">
        <v>49708.68</v>
      </c>
      <c r="W142" s="65">
        <v>60000</v>
      </c>
      <c r="X142" s="65">
        <v>0</v>
      </c>
      <c r="Y142" s="40">
        <f t="shared" ref="Y142:Y166" si="73">SUM(G142:X142)</f>
        <v>414281.68</v>
      </c>
      <c r="Z142" s="87"/>
    </row>
    <row r="143" spans="1:26" ht="35.1" customHeight="1">
      <c r="A143" s="75" t="s">
        <v>205</v>
      </c>
      <c r="B143" s="85"/>
      <c r="C143" s="36" t="s">
        <v>44</v>
      </c>
      <c r="D143" s="86" t="s">
        <v>97</v>
      </c>
      <c r="E143" s="55" t="s">
        <v>98</v>
      </c>
      <c r="F143" s="65">
        <v>0</v>
      </c>
      <c r="G143" s="65">
        <v>0</v>
      </c>
      <c r="H143" s="65">
        <v>0</v>
      </c>
      <c r="I143" s="65">
        <v>551.87</v>
      </c>
      <c r="J143" s="65">
        <v>0</v>
      </c>
      <c r="K143" s="65">
        <v>0</v>
      </c>
      <c r="L143" s="65">
        <v>0</v>
      </c>
      <c r="M143" s="65">
        <v>0</v>
      </c>
      <c r="N143" s="65">
        <v>29.04</v>
      </c>
      <c r="O143" s="65">
        <v>0</v>
      </c>
      <c r="P143" s="65">
        <v>0</v>
      </c>
      <c r="Q143" s="65">
        <v>0</v>
      </c>
      <c r="R143" s="65">
        <v>0</v>
      </c>
      <c r="S143" s="65">
        <v>0</v>
      </c>
      <c r="T143" s="65">
        <v>0</v>
      </c>
      <c r="U143" s="65">
        <v>0</v>
      </c>
      <c r="V143" s="65">
        <v>0</v>
      </c>
      <c r="W143" s="65">
        <v>0</v>
      </c>
      <c r="X143" s="65">
        <v>0</v>
      </c>
      <c r="Y143" s="40">
        <f t="shared" si="73"/>
        <v>580.91</v>
      </c>
      <c r="Z143" s="87"/>
    </row>
    <row r="144" spans="1:26" ht="35.1" customHeight="1">
      <c r="A144" s="75" t="s">
        <v>206</v>
      </c>
      <c r="B144" s="85"/>
      <c r="C144" s="36" t="s">
        <v>44</v>
      </c>
      <c r="D144" s="86" t="s">
        <v>100</v>
      </c>
      <c r="E144" s="55" t="s">
        <v>101</v>
      </c>
      <c r="F144" s="65">
        <v>0</v>
      </c>
      <c r="G144" s="65">
        <v>99.39</v>
      </c>
      <c r="H144" s="65">
        <v>3973.89</v>
      </c>
      <c r="I144" s="65">
        <v>0</v>
      </c>
      <c r="J144" s="65">
        <v>18165.400000000001</v>
      </c>
      <c r="K144" s="65">
        <v>0</v>
      </c>
      <c r="L144" s="65">
        <v>0</v>
      </c>
      <c r="M144" s="65">
        <v>0</v>
      </c>
      <c r="N144" s="65">
        <v>0</v>
      </c>
      <c r="O144" s="65">
        <v>0</v>
      </c>
      <c r="P144" s="65">
        <v>0</v>
      </c>
      <c r="Q144" s="65">
        <v>13475.48</v>
      </c>
      <c r="R144" s="65">
        <v>15367</v>
      </c>
      <c r="S144" s="65">
        <v>0</v>
      </c>
      <c r="T144" s="65">
        <v>0</v>
      </c>
      <c r="U144" s="65">
        <v>0</v>
      </c>
      <c r="V144" s="65">
        <v>0</v>
      </c>
      <c r="W144" s="65">
        <v>230.31</v>
      </c>
      <c r="X144" s="65">
        <v>0</v>
      </c>
      <c r="Y144" s="40">
        <f t="shared" si="73"/>
        <v>51311.47</v>
      </c>
      <c r="Z144" s="87"/>
    </row>
    <row r="145" spans="1:26" ht="35.1" customHeight="1">
      <c r="A145" s="84" t="s">
        <v>208</v>
      </c>
      <c r="B145" s="85"/>
      <c r="C145" s="36" t="s">
        <v>44</v>
      </c>
      <c r="D145" s="86" t="s">
        <v>102</v>
      </c>
      <c r="E145" s="55" t="s">
        <v>103</v>
      </c>
      <c r="F145" s="65">
        <v>0</v>
      </c>
      <c r="G145" s="65">
        <v>0</v>
      </c>
      <c r="H145" s="65">
        <v>0</v>
      </c>
      <c r="I145" s="65">
        <v>105095.36</v>
      </c>
      <c r="J145" s="65">
        <v>0</v>
      </c>
      <c r="K145" s="65">
        <v>0</v>
      </c>
      <c r="L145" s="65">
        <v>0</v>
      </c>
      <c r="M145" s="65">
        <v>0</v>
      </c>
      <c r="N145" s="65">
        <v>54.01</v>
      </c>
      <c r="O145" s="65">
        <v>15269.54</v>
      </c>
      <c r="P145" s="65">
        <v>0</v>
      </c>
      <c r="Q145" s="65">
        <v>0</v>
      </c>
      <c r="R145" s="65">
        <v>0</v>
      </c>
      <c r="S145" s="65">
        <v>0</v>
      </c>
      <c r="T145" s="65">
        <v>0</v>
      </c>
      <c r="U145" s="65">
        <v>0</v>
      </c>
      <c r="V145" s="65">
        <v>0</v>
      </c>
      <c r="W145" s="65">
        <v>0</v>
      </c>
      <c r="X145" s="65">
        <v>0</v>
      </c>
      <c r="Y145" s="40">
        <f t="shared" si="73"/>
        <v>120418.91</v>
      </c>
      <c r="Z145" s="87"/>
    </row>
    <row r="146" spans="1:26" ht="35.1" customHeight="1">
      <c r="A146" s="84" t="s">
        <v>209</v>
      </c>
      <c r="B146" s="85"/>
      <c r="C146" s="36" t="s">
        <v>44</v>
      </c>
      <c r="D146" s="86" t="s">
        <v>104</v>
      </c>
      <c r="E146" s="55" t="s">
        <v>105</v>
      </c>
      <c r="F146" s="65">
        <v>0</v>
      </c>
      <c r="G146" s="65">
        <v>2356.33</v>
      </c>
      <c r="H146" s="65">
        <v>0</v>
      </c>
      <c r="I146" s="65">
        <v>0</v>
      </c>
      <c r="J146" s="65">
        <v>154.55000000000001</v>
      </c>
      <c r="K146" s="65">
        <v>0</v>
      </c>
      <c r="L146" s="65">
        <v>21297.09</v>
      </c>
      <c r="M146" s="65">
        <v>266.43</v>
      </c>
      <c r="N146" s="65">
        <v>3092.76</v>
      </c>
      <c r="O146" s="65">
        <v>0</v>
      </c>
      <c r="P146" s="65">
        <v>0</v>
      </c>
      <c r="Q146" s="65">
        <v>20863.419999999998</v>
      </c>
      <c r="R146" s="65">
        <v>0</v>
      </c>
      <c r="S146" s="65">
        <v>17936.61</v>
      </c>
      <c r="T146" s="65">
        <v>0</v>
      </c>
      <c r="U146" s="65">
        <v>0</v>
      </c>
      <c r="V146" s="65">
        <v>0</v>
      </c>
      <c r="W146" s="65">
        <v>0</v>
      </c>
      <c r="X146" s="65">
        <v>44.29</v>
      </c>
      <c r="Y146" s="40">
        <f t="shared" si="73"/>
        <v>66011.48</v>
      </c>
      <c r="Z146" s="87"/>
    </row>
    <row r="147" spans="1:26" ht="35.1" customHeight="1">
      <c r="A147" s="84" t="s">
        <v>206</v>
      </c>
      <c r="B147" s="85"/>
      <c r="C147" s="36" t="s">
        <v>44</v>
      </c>
      <c r="D147" s="86" t="s">
        <v>106</v>
      </c>
      <c r="E147" s="55" t="s">
        <v>107</v>
      </c>
      <c r="F147" s="65">
        <v>0</v>
      </c>
      <c r="G147" s="65">
        <v>0</v>
      </c>
      <c r="H147" s="65">
        <v>92725.62</v>
      </c>
      <c r="I147" s="65">
        <v>0</v>
      </c>
      <c r="J147" s="65">
        <v>0</v>
      </c>
      <c r="K147" s="65">
        <v>142651.62</v>
      </c>
      <c r="L147" s="65">
        <v>0</v>
      </c>
      <c r="M147" s="65">
        <v>0</v>
      </c>
      <c r="N147" s="65">
        <v>0</v>
      </c>
      <c r="O147" s="65">
        <v>0</v>
      </c>
      <c r="P147" s="65">
        <v>204340.44</v>
      </c>
      <c r="Q147" s="65">
        <v>0</v>
      </c>
      <c r="R147" s="65">
        <v>0</v>
      </c>
      <c r="S147" s="65">
        <v>0</v>
      </c>
      <c r="T147" s="65">
        <v>0</v>
      </c>
      <c r="U147" s="65">
        <v>174229.02</v>
      </c>
      <c r="V147" s="65">
        <v>0</v>
      </c>
      <c r="W147" s="65">
        <v>0</v>
      </c>
      <c r="X147" s="65">
        <v>14500</v>
      </c>
      <c r="Y147" s="40">
        <f t="shared" si="73"/>
        <v>628446.69999999995</v>
      </c>
      <c r="Z147" s="87"/>
    </row>
    <row r="148" spans="1:26" ht="35.1" customHeight="1">
      <c r="A148" s="84" t="s">
        <v>7</v>
      </c>
      <c r="B148" s="85"/>
      <c r="C148" s="36" t="s">
        <v>44</v>
      </c>
      <c r="D148" s="86" t="s">
        <v>108</v>
      </c>
      <c r="E148" s="55" t="s">
        <v>109</v>
      </c>
      <c r="F148" s="65">
        <v>0</v>
      </c>
      <c r="G148" s="65">
        <v>0</v>
      </c>
      <c r="H148" s="65">
        <v>686.27</v>
      </c>
      <c r="I148" s="65">
        <v>0</v>
      </c>
      <c r="J148" s="65">
        <v>3026.62</v>
      </c>
      <c r="K148" s="65">
        <v>0</v>
      </c>
      <c r="L148" s="65">
        <v>0</v>
      </c>
      <c r="M148" s="65">
        <v>0</v>
      </c>
      <c r="N148" s="65">
        <v>0</v>
      </c>
      <c r="O148" s="65">
        <v>0</v>
      </c>
      <c r="P148" s="65">
        <v>0</v>
      </c>
      <c r="Q148" s="65">
        <v>0</v>
      </c>
      <c r="R148" s="65">
        <v>6805.71</v>
      </c>
      <c r="S148" s="65">
        <v>2382.29</v>
      </c>
      <c r="T148" s="65">
        <v>0</v>
      </c>
      <c r="U148" s="65">
        <v>0</v>
      </c>
      <c r="V148" s="65">
        <v>12748.87</v>
      </c>
      <c r="W148" s="65">
        <v>0</v>
      </c>
      <c r="X148" s="65">
        <v>250956.79999999999</v>
      </c>
      <c r="Y148" s="40">
        <f t="shared" si="73"/>
        <v>276606.56</v>
      </c>
      <c r="Z148" s="87"/>
    </row>
    <row r="149" spans="1:26" ht="35.1" customHeight="1">
      <c r="A149" s="84" t="s">
        <v>210</v>
      </c>
      <c r="B149" s="85"/>
      <c r="C149" s="36" t="s">
        <v>44</v>
      </c>
      <c r="D149" s="86" t="s">
        <v>110</v>
      </c>
      <c r="E149" s="55" t="s">
        <v>111</v>
      </c>
      <c r="F149" s="65">
        <v>0</v>
      </c>
      <c r="G149" s="65">
        <v>0</v>
      </c>
      <c r="H149" s="65">
        <v>0</v>
      </c>
      <c r="I149" s="65">
        <v>0</v>
      </c>
      <c r="J149" s="65">
        <v>0</v>
      </c>
      <c r="K149" s="65">
        <v>0</v>
      </c>
      <c r="L149" s="65">
        <v>0</v>
      </c>
      <c r="M149" s="65">
        <v>0</v>
      </c>
      <c r="N149" s="65">
        <v>0</v>
      </c>
      <c r="O149" s="65">
        <v>0</v>
      </c>
      <c r="P149" s="65">
        <v>0</v>
      </c>
      <c r="Q149" s="65">
        <v>0</v>
      </c>
      <c r="R149" s="65">
        <v>0</v>
      </c>
      <c r="S149" s="65">
        <v>0</v>
      </c>
      <c r="T149" s="65">
        <v>0</v>
      </c>
      <c r="U149" s="65">
        <v>0</v>
      </c>
      <c r="V149" s="65">
        <v>0</v>
      </c>
      <c r="W149" s="65">
        <v>0</v>
      </c>
      <c r="X149" s="65">
        <v>0</v>
      </c>
      <c r="Y149" s="40">
        <f t="shared" si="73"/>
        <v>0</v>
      </c>
      <c r="Z149" s="87"/>
    </row>
    <row r="150" spans="1:26" ht="35.1" customHeight="1">
      <c r="A150" s="88"/>
      <c r="B150" s="85"/>
      <c r="C150" s="36" t="s">
        <v>44</v>
      </c>
      <c r="D150" s="86" t="s">
        <v>112</v>
      </c>
      <c r="E150" s="55" t="s">
        <v>113</v>
      </c>
      <c r="F150" s="65">
        <v>0</v>
      </c>
      <c r="G150" s="65">
        <v>0</v>
      </c>
      <c r="H150" s="65">
        <v>0</v>
      </c>
      <c r="I150" s="65">
        <v>0</v>
      </c>
      <c r="J150" s="65">
        <v>47.4</v>
      </c>
      <c r="K150" s="65">
        <v>1715.7</v>
      </c>
      <c r="L150" s="65">
        <v>470</v>
      </c>
      <c r="M150" s="65">
        <v>0</v>
      </c>
      <c r="N150" s="65">
        <v>0</v>
      </c>
      <c r="O150" s="65">
        <v>7476</v>
      </c>
      <c r="P150" s="65">
        <v>0</v>
      </c>
      <c r="Q150" s="65">
        <v>2736</v>
      </c>
      <c r="R150" s="65">
        <v>153.87</v>
      </c>
      <c r="S150" s="65">
        <v>0</v>
      </c>
      <c r="T150" s="65">
        <v>0</v>
      </c>
      <c r="U150" s="65">
        <v>0</v>
      </c>
      <c r="V150" s="65">
        <v>0</v>
      </c>
      <c r="W150" s="65">
        <v>0</v>
      </c>
      <c r="X150" s="65">
        <v>0</v>
      </c>
      <c r="Y150" s="40">
        <f t="shared" si="73"/>
        <v>12598.970000000001</v>
      </c>
      <c r="Z150" s="87"/>
    </row>
    <row r="151" spans="1:26" ht="35.1" customHeight="1">
      <c r="A151" s="75" t="s">
        <v>7</v>
      </c>
      <c r="B151" s="85"/>
      <c r="C151" s="36" t="s">
        <v>44</v>
      </c>
      <c r="D151" s="86" t="s">
        <v>114</v>
      </c>
      <c r="E151" s="55" t="s">
        <v>115</v>
      </c>
      <c r="F151" s="65">
        <v>0</v>
      </c>
      <c r="G151" s="65">
        <v>30073</v>
      </c>
      <c r="H151" s="65">
        <v>0</v>
      </c>
      <c r="I151" s="65">
        <v>0</v>
      </c>
      <c r="J151" s="65">
        <v>0</v>
      </c>
      <c r="K151" s="65">
        <v>0</v>
      </c>
      <c r="L151" s="65">
        <v>0</v>
      </c>
      <c r="M151" s="65">
        <v>0</v>
      </c>
      <c r="N151" s="65">
        <v>0</v>
      </c>
      <c r="O151" s="65">
        <v>0</v>
      </c>
      <c r="P151" s="65">
        <v>0</v>
      </c>
      <c r="Q151" s="65">
        <v>0</v>
      </c>
      <c r="R151" s="65">
        <v>0</v>
      </c>
      <c r="S151" s="65">
        <v>0</v>
      </c>
      <c r="T151" s="65">
        <v>0</v>
      </c>
      <c r="U151" s="65">
        <v>0</v>
      </c>
      <c r="V151" s="65">
        <v>0</v>
      </c>
      <c r="W151" s="65">
        <v>0</v>
      </c>
      <c r="X151" s="65">
        <v>0</v>
      </c>
      <c r="Y151" s="40">
        <f t="shared" si="73"/>
        <v>30073</v>
      </c>
      <c r="Z151" s="87"/>
    </row>
    <row r="152" spans="1:26" ht="35.1" customHeight="1">
      <c r="A152" s="75" t="s">
        <v>29</v>
      </c>
      <c r="B152" s="85"/>
      <c r="C152" s="36" t="s">
        <v>44</v>
      </c>
      <c r="D152" s="86" t="s">
        <v>116</v>
      </c>
      <c r="E152" s="55" t="s">
        <v>117</v>
      </c>
      <c r="F152" s="65">
        <v>0</v>
      </c>
      <c r="G152" s="65">
        <v>0</v>
      </c>
      <c r="H152" s="65">
        <v>0</v>
      </c>
      <c r="I152" s="65">
        <v>0</v>
      </c>
      <c r="J152" s="65">
        <v>0</v>
      </c>
      <c r="K152" s="65">
        <v>0</v>
      </c>
      <c r="L152" s="65">
        <v>0</v>
      </c>
      <c r="M152" s="65">
        <v>0</v>
      </c>
      <c r="N152" s="65">
        <v>0</v>
      </c>
      <c r="O152" s="65">
        <v>3302.98</v>
      </c>
      <c r="P152" s="65">
        <v>0</v>
      </c>
      <c r="Q152" s="65">
        <v>0</v>
      </c>
      <c r="R152" s="65">
        <v>4236.59</v>
      </c>
      <c r="S152" s="65">
        <v>0</v>
      </c>
      <c r="T152" s="65">
        <v>0</v>
      </c>
      <c r="U152" s="65">
        <v>0</v>
      </c>
      <c r="V152" s="65">
        <v>163.28</v>
      </c>
      <c r="W152" s="65">
        <v>540</v>
      </c>
      <c r="X152" s="65">
        <v>540</v>
      </c>
      <c r="Y152" s="40">
        <f t="shared" si="73"/>
        <v>8782.8499999999985</v>
      </c>
      <c r="Z152" s="87"/>
    </row>
    <row r="153" spans="1:26" ht="35.1" customHeight="1">
      <c r="A153" s="75" t="s">
        <v>205</v>
      </c>
      <c r="B153" s="85"/>
      <c r="C153" s="36" t="s">
        <v>44</v>
      </c>
      <c r="D153" s="86" t="s">
        <v>118</v>
      </c>
      <c r="E153" s="55" t="s">
        <v>119</v>
      </c>
      <c r="F153" s="65">
        <v>0</v>
      </c>
      <c r="G153" s="65">
        <v>6561.95</v>
      </c>
      <c r="H153" s="65">
        <v>-117.98</v>
      </c>
      <c r="I153" s="65">
        <v>0</v>
      </c>
      <c r="J153" s="65">
        <v>117.98</v>
      </c>
      <c r="K153" s="65">
        <v>0</v>
      </c>
      <c r="L153" s="65">
        <v>0</v>
      </c>
      <c r="M153" s="65">
        <v>600.9</v>
      </c>
      <c r="N153" s="65">
        <v>0</v>
      </c>
      <c r="O153" s="65">
        <v>0</v>
      </c>
      <c r="P153" s="65">
        <v>0</v>
      </c>
      <c r="Q153" s="65">
        <v>0</v>
      </c>
      <c r="R153" s="65">
        <v>0</v>
      </c>
      <c r="S153" s="65">
        <v>0</v>
      </c>
      <c r="T153" s="65">
        <v>0</v>
      </c>
      <c r="U153" s="65">
        <v>416.02</v>
      </c>
      <c r="V153" s="65">
        <v>350.9</v>
      </c>
      <c r="W153" s="65">
        <v>0</v>
      </c>
      <c r="X153" s="65">
        <v>0</v>
      </c>
      <c r="Y153" s="40">
        <f t="shared" si="73"/>
        <v>7929.7699999999986</v>
      </c>
      <c r="Z153" s="87"/>
    </row>
    <row r="154" spans="1:26" ht="35.1" customHeight="1">
      <c r="A154" s="75" t="s">
        <v>206</v>
      </c>
      <c r="B154" s="85"/>
      <c r="C154" s="36" t="s">
        <v>44</v>
      </c>
      <c r="D154" s="86" t="s">
        <v>120</v>
      </c>
      <c r="E154" s="55" t="s">
        <v>121</v>
      </c>
      <c r="F154" s="65">
        <v>0</v>
      </c>
      <c r="G154" s="65">
        <v>800</v>
      </c>
      <c r="H154" s="65">
        <v>800</v>
      </c>
      <c r="I154" s="65">
        <v>1510</v>
      </c>
      <c r="J154" s="65">
        <v>949</v>
      </c>
      <c r="K154" s="65">
        <v>0</v>
      </c>
      <c r="L154" s="65">
        <v>866.6</v>
      </c>
      <c r="M154" s="65">
        <v>1800</v>
      </c>
      <c r="N154" s="65">
        <v>91.5</v>
      </c>
      <c r="O154" s="65">
        <v>1642.61</v>
      </c>
      <c r="P154" s="65">
        <v>658</v>
      </c>
      <c r="Q154" s="65">
        <v>435</v>
      </c>
      <c r="R154" s="65">
        <v>0</v>
      </c>
      <c r="S154" s="65">
        <v>1449</v>
      </c>
      <c r="T154" s="65">
        <v>1304.5899999999999</v>
      </c>
      <c r="U154" s="65">
        <v>1200</v>
      </c>
      <c r="V154" s="65">
        <v>41.7</v>
      </c>
      <c r="W154" s="65">
        <v>258.05</v>
      </c>
      <c r="X154" s="65">
        <v>0</v>
      </c>
      <c r="Y154" s="40">
        <f t="shared" si="73"/>
        <v>13806.050000000001</v>
      </c>
      <c r="Z154" s="87"/>
    </row>
    <row r="155" spans="1:26" ht="35.1" customHeight="1">
      <c r="A155" s="84" t="s">
        <v>208</v>
      </c>
      <c r="B155" s="85"/>
      <c r="C155" s="36" t="s">
        <v>44</v>
      </c>
      <c r="D155" s="86" t="s">
        <v>122</v>
      </c>
      <c r="E155" s="55" t="s">
        <v>123</v>
      </c>
      <c r="F155" s="65">
        <v>0</v>
      </c>
      <c r="G155" s="65">
        <v>0</v>
      </c>
      <c r="H155" s="65">
        <v>0</v>
      </c>
      <c r="I155" s="65">
        <v>0</v>
      </c>
      <c r="J155" s="65">
        <v>0</v>
      </c>
      <c r="K155" s="65">
        <v>0</v>
      </c>
      <c r="L155" s="65">
        <v>0</v>
      </c>
      <c r="M155" s="65">
        <v>0</v>
      </c>
      <c r="N155" s="65">
        <v>0</v>
      </c>
      <c r="O155" s="65">
        <v>0</v>
      </c>
      <c r="P155" s="65">
        <v>0</v>
      </c>
      <c r="Q155" s="65">
        <v>0</v>
      </c>
      <c r="R155" s="65">
        <v>0</v>
      </c>
      <c r="S155" s="65">
        <v>0</v>
      </c>
      <c r="T155" s="65">
        <v>10884.25</v>
      </c>
      <c r="U155" s="65">
        <v>0</v>
      </c>
      <c r="V155" s="65">
        <v>0</v>
      </c>
      <c r="W155" s="65">
        <v>0</v>
      </c>
      <c r="X155" s="65">
        <v>0</v>
      </c>
      <c r="Y155" s="40">
        <f t="shared" si="73"/>
        <v>10884.25</v>
      </c>
      <c r="Z155" s="87"/>
    </row>
    <row r="156" spans="1:26" ht="35.1" customHeight="1">
      <c r="A156" s="84" t="s">
        <v>209</v>
      </c>
      <c r="B156" s="85"/>
      <c r="C156" s="36" t="s">
        <v>44</v>
      </c>
      <c r="D156" s="86" t="s">
        <v>124</v>
      </c>
      <c r="E156" s="55" t="s">
        <v>125</v>
      </c>
      <c r="F156" s="65">
        <v>0</v>
      </c>
      <c r="G156" s="65">
        <v>0</v>
      </c>
      <c r="H156" s="65">
        <v>0</v>
      </c>
      <c r="I156" s="65">
        <v>0</v>
      </c>
      <c r="J156" s="65">
        <v>0</v>
      </c>
      <c r="K156" s="65">
        <v>0</v>
      </c>
      <c r="L156" s="65">
        <v>9900</v>
      </c>
      <c r="M156" s="65">
        <v>11500</v>
      </c>
      <c r="N156" s="65">
        <v>0</v>
      </c>
      <c r="O156" s="65">
        <v>0</v>
      </c>
      <c r="P156" s="65">
        <v>0</v>
      </c>
      <c r="Q156" s="65">
        <f>11000</f>
        <v>11000</v>
      </c>
      <c r="R156" s="65">
        <v>0</v>
      </c>
      <c r="S156" s="65">
        <v>0</v>
      </c>
      <c r="T156" s="65">
        <v>-22500</v>
      </c>
      <c r="U156" s="65">
        <v>1779.11</v>
      </c>
      <c r="V156" s="65">
        <v>0</v>
      </c>
      <c r="W156" s="65">
        <v>1481.13</v>
      </c>
      <c r="X156" s="65">
        <v>0</v>
      </c>
      <c r="Y156" s="40">
        <f t="shared" si="73"/>
        <v>13160.240000000002</v>
      </c>
      <c r="Z156" s="87"/>
    </row>
    <row r="157" spans="1:26" ht="35.1" customHeight="1">
      <c r="A157" s="84" t="s">
        <v>206</v>
      </c>
      <c r="B157" s="85"/>
      <c r="C157" s="36" t="s">
        <v>44</v>
      </c>
      <c r="D157" s="86" t="s">
        <v>126</v>
      </c>
      <c r="E157" s="55" t="s">
        <v>127</v>
      </c>
      <c r="F157" s="65">
        <v>0</v>
      </c>
      <c r="G157" s="65">
        <v>0</v>
      </c>
      <c r="H157" s="65">
        <v>0</v>
      </c>
      <c r="I157" s="65">
        <v>0</v>
      </c>
      <c r="J157" s="65">
        <v>0</v>
      </c>
      <c r="K157" s="65">
        <v>0</v>
      </c>
      <c r="L157" s="65">
        <v>0</v>
      </c>
      <c r="M157" s="65">
        <v>0</v>
      </c>
      <c r="N157" s="65">
        <v>0</v>
      </c>
      <c r="O157" s="65">
        <v>0</v>
      </c>
      <c r="P157" s="65">
        <v>0</v>
      </c>
      <c r="Q157" s="65">
        <v>0</v>
      </c>
      <c r="R157" s="65">
        <v>0</v>
      </c>
      <c r="S157" s="65">
        <v>0</v>
      </c>
      <c r="T157" s="65">
        <v>0</v>
      </c>
      <c r="U157" s="65">
        <v>0</v>
      </c>
      <c r="V157" s="65">
        <v>0</v>
      </c>
      <c r="W157" s="65">
        <v>0</v>
      </c>
      <c r="X157" s="65">
        <v>0</v>
      </c>
      <c r="Y157" s="40">
        <f t="shared" si="73"/>
        <v>0</v>
      </c>
      <c r="Z157" s="87"/>
    </row>
    <row r="158" spans="1:26" ht="35.1" customHeight="1">
      <c r="A158" s="84" t="s">
        <v>7</v>
      </c>
      <c r="B158" s="85"/>
      <c r="C158" s="36" t="s">
        <v>44</v>
      </c>
      <c r="D158" s="86" t="s">
        <v>129</v>
      </c>
      <c r="E158" s="55" t="s">
        <v>215</v>
      </c>
      <c r="F158" s="65">
        <v>0</v>
      </c>
      <c r="G158" s="65">
        <v>0</v>
      </c>
      <c r="H158" s="65">
        <v>0</v>
      </c>
      <c r="I158" s="65">
        <v>0</v>
      </c>
      <c r="J158" s="65">
        <v>0</v>
      </c>
      <c r="K158" s="65">
        <v>0</v>
      </c>
      <c r="L158" s="65">
        <v>0</v>
      </c>
      <c r="M158" s="65">
        <v>0</v>
      </c>
      <c r="N158" s="65">
        <v>0</v>
      </c>
      <c r="O158" s="65">
        <v>0</v>
      </c>
      <c r="P158" s="65">
        <v>0</v>
      </c>
      <c r="Q158" s="65">
        <v>0</v>
      </c>
      <c r="R158" s="65">
        <v>0</v>
      </c>
      <c r="S158" s="65">
        <v>0</v>
      </c>
      <c r="T158" s="65">
        <v>0</v>
      </c>
      <c r="U158" s="65">
        <v>0</v>
      </c>
      <c r="V158" s="65">
        <v>0</v>
      </c>
      <c r="W158" s="65">
        <v>0</v>
      </c>
      <c r="X158" s="65">
        <v>0</v>
      </c>
      <c r="Y158" s="40">
        <f t="shared" si="73"/>
        <v>0</v>
      </c>
      <c r="Z158" s="87"/>
    </row>
    <row r="159" spans="1:26" ht="35.1" customHeight="1">
      <c r="A159" s="84" t="s">
        <v>210</v>
      </c>
      <c r="B159" s="85"/>
      <c r="C159" s="36" t="s">
        <v>44</v>
      </c>
      <c r="D159" s="86" t="s">
        <v>131</v>
      </c>
      <c r="E159" s="55" t="s">
        <v>132</v>
      </c>
      <c r="F159" s="65">
        <v>0</v>
      </c>
      <c r="G159" s="65">
        <v>0</v>
      </c>
      <c r="H159" s="65">
        <v>0</v>
      </c>
      <c r="I159" s="65">
        <v>0</v>
      </c>
      <c r="J159" s="65">
        <v>0</v>
      </c>
      <c r="K159" s="65">
        <v>0</v>
      </c>
      <c r="L159" s="65">
        <v>0</v>
      </c>
      <c r="M159" s="65">
        <v>0</v>
      </c>
      <c r="N159" s="65">
        <v>0</v>
      </c>
      <c r="O159" s="65">
        <v>0</v>
      </c>
      <c r="P159" s="65">
        <v>0</v>
      </c>
      <c r="Q159" s="65">
        <v>0</v>
      </c>
      <c r="R159" s="65">
        <v>0</v>
      </c>
      <c r="S159" s="65">
        <v>0</v>
      </c>
      <c r="T159" s="65">
        <v>0</v>
      </c>
      <c r="U159" s="65">
        <v>0</v>
      </c>
      <c r="V159" s="65">
        <v>158.97</v>
      </c>
      <c r="W159" s="65">
        <v>0</v>
      </c>
      <c r="X159" s="65">
        <v>0</v>
      </c>
      <c r="Y159" s="40">
        <f t="shared" si="73"/>
        <v>158.97</v>
      </c>
      <c r="Z159" s="87"/>
    </row>
    <row r="160" spans="1:26" ht="35.1" customHeight="1">
      <c r="A160" s="88"/>
      <c r="B160" s="85"/>
      <c r="C160" s="36" t="s">
        <v>44</v>
      </c>
      <c r="D160" s="86" t="s">
        <v>133</v>
      </c>
      <c r="E160" s="55" t="s">
        <v>134</v>
      </c>
      <c r="F160" s="65">
        <v>0</v>
      </c>
      <c r="G160" s="65">
        <v>0</v>
      </c>
      <c r="H160" s="65">
        <v>0</v>
      </c>
      <c r="I160" s="65">
        <v>0</v>
      </c>
      <c r="J160" s="65">
        <v>0</v>
      </c>
      <c r="K160" s="65">
        <v>0</v>
      </c>
      <c r="L160" s="65">
        <v>0</v>
      </c>
      <c r="M160" s="65">
        <v>0</v>
      </c>
      <c r="N160" s="65">
        <v>0</v>
      </c>
      <c r="O160" s="65">
        <v>0</v>
      </c>
      <c r="P160" s="65">
        <v>0</v>
      </c>
      <c r="Q160" s="65">
        <v>0</v>
      </c>
      <c r="R160" s="65">
        <v>0</v>
      </c>
      <c r="S160" s="65">
        <v>0</v>
      </c>
      <c r="T160" s="65">
        <v>0</v>
      </c>
      <c r="U160" s="65">
        <f>907122.86</f>
        <v>907122.86</v>
      </c>
      <c r="V160" s="65">
        <v>0</v>
      </c>
      <c r="W160" s="65">
        <v>0</v>
      </c>
      <c r="X160" s="65">
        <v>0</v>
      </c>
      <c r="Y160" s="40">
        <f t="shared" si="73"/>
        <v>907122.86</v>
      </c>
      <c r="Z160" s="87"/>
    </row>
    <row r="161" spans="1:26" ht="35.1" customHeight="1">
      <c r="A161" s="75" t="s">
        <v>7</v>
      </c>
      <c r="B161" s="85"/>
      <c r="C161" s="36" t="s">
        <v>44</v>
      </c>
      <c r="D161" s="86" t="s">
        <v>135</v>
      </c>
      <c r="E161" s="55" t="s">
        <v>136</v>
      </c>
      <c r="F161" s="65">
        <v>0</v>
      </c>
      <c r="G161" s="65">
        <v>0</v>
      </c>
      <c r="H161" s="65">
        <v>0</v>
      </c>
      <c r="I161" s="65">
        <v>0</v>
      </c>
      <c r="J161" s="65">
        <v>0</v>
      </c>
      <c r="K161" s="65">
        <v>0</v>
      </c>
      <c r="L161" s="65">
        <v>0</v>
      </c>
      <c r="M161" s="65">
        <v>0</v>
      </c>
      <c r="N161" s="65">
        <v>0</v>
      </c>
      <c r="O161" s="65">
        <v>0</v>
      </c>
      <c r="P161" s="65">
        <v>0</v>
      </c>
      <c r="Q161" s="65">
        <v>0</v>
      </c>
      <c r="R161" s="65">
        <v>0</v>
      </c>
      <c r="S161" s="65">
        <v>0</v>
      </c>
      <c r="T161" s="65">
        <v>0</v>
      </c>
      <c r="U161" s="65">
        <v>196543.28</v>
      </c>
      <c r="V161" s="65">
        <v>0</v>
      </c>
      <c r="W161" s="65">
        <v>0</v>
      </c>
      <c r="X161" s="65">
        <v>0</v>
      </c>
      <c r="Y161" s="40">
        <f t="shared" si="73"/>
        <v>196543.28</v>
      </c>
      <c r="Z161" s="87"/>
    </row>
    <row r="162" spans="1:26" ht="35.1" customHeight="1">
      <c r="A162" s="75" t="s">
        <v>29</v>
      </c>
      <c r="B162" s="85"/>
      <c r="C162" s="36" t="s">
        <v>44</v>
      </c>
      <c r="D162" s="86" t="s">
        <v>137</v>
      </c>
      <c r="E162" s="55" t="s">
        <v>138</v>
      </c>
      <c r="F162" s="65">
        <v>0</v>
      </c>
      <c r="G162" s="65">
        <v>0</v>
      </c>
      <c r="H162" s="65">
        <v>0</v>
      </c>
      <c r="I162" s="65">
        <v>0</v>
      </c>
      <c r="J162" s="65">
        <v>0</v>
      </c>
      <c r="K162" s="65">
        <v>0</v>
      </c>
      <c r="L162" s="65">
        <v>0</v>
      </c>
      <c r="M162" s="65">
        <v>0</v>
      </c>
      <c r="N162" s="65">
        <v>0</v>
      </c>
      <c r="O162" s="65">
        <v>0</v>
      </c>
      <c r="P162" s="65">
        <v>0</v>
      </c>
      <c r="Q162" s="65">
        <v>0</v>
      </c>
      <c r="R162" s="65">
        <v>0</v>
      </c>
      <c r="S162" s="65">
        <v>0</v>
      </c>
      <c r="T162" s="65">
        <v>0</v>
      </c>
      <c r="U162" s="65">
        <v>0</v>
      </c>
      <c r="V162" s="65">
        <v>0</v>
      </c>
      <c r="W162" s="65">
        <v>0</v>
      </c>
      <c r="X162" s="65">
        <v>619310.98</v>
      </c>
      <c r="Y162" s="40">
        <f t="shared" si="73"/>
        <v>619310.98</v>
      </c>
      <c r="Z162" s="87"/>
    </row>
    <row r="163" spans="1:26" ht="35.1" customHeight="1">
      <c r="A163" s="75" t="s">
        <v>205</v>
      </c>
      <c r="B163" s="85"/>
      <c r="C163" s="36" t="s">
        <v>44</v>
      </c>
      <c r="D163" s="86" t="s">
        <v>139</v>
      </c>
      <c r="E163" s="55" t="s">
        <v>140</v>
      </c>
      <c r="F163" s="65">
        <v>0</v>
      </c>
      <c r="G163" s="65">
        <v>0</v>
      </c>
      <c r="H163" s="65">
        <v>0</v>
      </c>
      <c r="I163" s="65">
        <v>0</v>
      </c>
      <c r="J163" s="65">
        <v>0</v>
      </c>
      <c r="K163" s="65">
        <v>0</v>
      </c>
      <c r="L163" s="65">
        <v>0</v>
      </c>
      <c r="M163" s="65">
        <v>0</v>
      </c>
      <c r="N163" s="65">
        <v>0</v>
      </c>
      <c r="O163" s="65">
        <v>0</v>
      </c>
      <c r="P163" s="65">
        <v>0</v>
      </c>
      <c r="Q163" s="65">
        <v>0</v>
      </c>
      <c r="R163" s="65">
        <v>0</v>
      </c>
      <c r="S163" s="65">
        <v>0</v>
      </c>
      <c r="T163" s="65">
        <v>0</v>
      </c>
      <c r="U163" s="65">
        <v>0</v>
      </c>
      <c r="V163" s="65">
        <v>0</v>
      </c>
      <c r="W163" s="65">
        <v>0</v>
      </c>
      <c r="X163" s="65">
        <v>0</v>
      </c>
      <c r="Y163" s="40">
        <f t="shared" si="73"/>
        <v>0</v>
      </c>
      <c r="Z163" s="87"/>
    </row>
    <row r="164" spans="1:26" ht="35.1" customHeight="1">
      <c r="A164" s="75" t="s">
        <v>206</v>
      </c>
      <c r="B164" s="85"/>
      <c r="C164" s="36" t="s">
        <v>44</v>
      </c>
      <c r="D164" s="86" t="s">
        <v>141</v>
      </c>
      <c r="E164" s="55" t="s">
        <v>142</v>
      </c>
      <c r="F164" s="65">
        <v>0</v>
      </c>
      <c r="G164" s="65">
        <v>0</v>
      </c>
      <c r="H164" s="65">
        <v>0</v>
      </c>
      <c r="I164" s="65">
        <v>0</v>
      </c>
      <c r="J164" s="65">
        <v>0</v>
      </c>
      <c r="K164" s="65">
        <v>0</v>
      </c>
      <c r="L164" s="65">
        <v>0</v>
      </c>
      <c r="M164" s="65">
        <v>0</v>
      </c>
      <c r="N164" s="65">
        <v>0</v>
      </c>
      <c r="O164" s="65">
        <v>0</v>
      </c>
      <c r="P164" s="65">
        <v>0</v>
      </c>
      <c r="Q164" s="65">
        <v>0</v>
      </c>
      <c r="R164" s="65">
        <v>0</v>
      </c>
      <c r="S164" s="65">
        <v>0</v>
      </c>
      <c r="T164" s="65">
        <v>0</v>
      </c>
      <c r="U164" s="65">
        <v>0</v>
      </c>
      <c r="V164" s="65">
        <v>0</v>
      </c>
      <c r="W164" s="65">
        <v>0</v>
      </c>
      <c r="X164" s="65">
        <v>471829.5</v>
      </c>
      <c r="Y164" s="40">
        <f t="shared" si="73"/>
        <v>471829.5</v>
      </c>
      <c r="Z164" s="87"/>
    </row>
    <row r="165" spans="1:26" ht="35.1" customHeight="1">
      <c r="A165" s="84" t="s">
        <v>208</v>
      </c>
      <c r="B165" s="85"/>
      <c r="C165" s="36" t="s">
        <v>44</v>
      </c>
      <c r="D165" s="86" t="s">
        <v>143</v>
      </c>
      <c r="E165" s="55" t="s">
        <v>144</v>
      </c>
      <c r="F165" s="65">
        <v>0</v>
      </c>
      <c r="G165" s="65">
        <v>0</v>
      </c>
      <c r="H165" s="65">
        <v>0</v>
      </c>
      <c r="I165" s="65">
        <v>0</v>
      </c>
      <c r="J165" s="65">
        <v>0</v>
      </c>
      <c r="K165" s="65">
        <v>0</v>
      </c>
      <c r="L165" s="65">
        <v>0</v>
      </c>
      <c r="M165" s="65">
        <v>0</v>
      </c>
      <c r="N165" s="65">
        <v>0</v>
      </c>
      <c r="O165" s="65">
        <v>0</v>
      </c>
      <c r="P165" s="65">
        <v>0</v>
      </c>
      <c r="Q165" s="65">
        <v>0</v>
      </c>
      <c r="R165" s="65">
        <v>0</v>
      </c>
      <c r="S165" s="65">
        <v>0</v>
      </c>
      <c r="T165" s="65">
        <v>0</v>
      </c>
      <c r="U165" s="65">
        <v>0</v>
      </c>
      <c r="V165" s="65">
        <v>0</v>
      </c>
      <c r="W165" s="65">
        <v>0</v>
      </c>
      <c r="X165" s="65">
        <v>90399.44</v>
      </c>
      <c r="Y165" s="40">
        <f t="shared" si="73"/>
        <v>90399.44</v>
      </c>
      <c r="Z165" s="87"/>
    </row>
    <row r="166" spans="1:26" ht="35.1" customHeight="1">
      <c r="A166" s="84" t="s">
        <v>209</v>
      </c>
      <c r="B166" s="85"/>
      <c r="C166" s="36" t="s">
        <v>44</v>
      </c>
      <c r="D166" s="86" t="s">
        <v>145</v>
      </c>
      <c r="E166" s="55" t="s">
        <v>146</v>
      </c>
      <c r="F166" s="65">
        <v>0</v>
      </c>
      <c r="G166" s="65">
        <v>0</v>
      </c>
      <c r="H166" s="65">
        <v>122.25</v>
      </c>
      <c r="I166" s="65">
        <v>0</v>
      </c>
      <c r="J166" s="65">
        <f>90.15+2.5</f>
        <v>92.65</v>
      </c>
      <c r="K166" s="65">
        <v>17</v>
      </c>
      <c r="L166" s="65">
        <f>1.5+38.55</f>
        <v>40.049999999999997</v>
      </c>
      <c r="M166" s="65">
        <f>2.5+47.05</f>
        <v>49.55</v>
      </c>
      <c r="N166" s="65">
        <f>80+0.5</f>
        <v>80.5</v>
      </c>
      <c r="O166" s="65">
        <f>0.5+38.75</f>
        <v>39.25</v>
      </c>
      <c r="P166" s="65">
        <v>16.399999999999999</v>
      </c>
      <c r="Q166" s="65">
        <v>51.6</v>
      </c>
      <c r="R166" s="65">
        <v>25.5</v>
      </c>
      <c r="S166" s="65">
        <v>34.4</v>
      </c>
      <c r="T166" s="65">
        <v>30.05</v>
      </c>
      <c r="U166" s="65">
        <v>31.05</v>
      </c>
      <c r="V166" s="65">
        <v>43.9</v>
      </c>
      <c r="W166" s="65">
        <v>25.7</v>
      </c>
      <c r="X166" s="65">
        <v>34</v>
      </c>
      <c r="Y166" s="40">
        <f t="shared" si="73"/>
        <v>733.84999999999991</v>
      </c>
      <c r="Z166" s="87"/>
    </row>
    <row r="167" spans="1:26" s="77" customFormat="1" ht="35.1" customHeight="1">
      <c r="A167" s="84" t="s">
        <v>206</v>
      </c>
      <c r="B167" s="75"/>
      <c r="C167" s="46" t="s">
        <v>147</v>
      </c>
      <c r="D167" s="82" t="s">
        <v>148</v>
      </c>
      <c r="E167" s="83"/>
      <c r="F167" s="49">
        <f t="shared" ref="F167" si="74">SUM(F168:F177)</f>
        <v>0</v>
      </c>
      <c r="G167" s="49">
        <f>SUM(G168:G177)</f>
        <v>174856.27</v>
      </c>
      <c r="H167" s="49">
        <f t="shared" ref="H167:Y167" si="75">SUM(H168:H177)</f>
        <v>0</v>
      </c>
      <c r="I167" s="49">
        <f t="shared" si="75"/>
        <v>18612.16</v>
      </c>
      <c r="J167" s="49">
        <f t="shared" si="75"/>
        <v>32993.9</v>
      </c>
      <c r="K167" s="49">
        <f t="shared" si="75"/>
        <v>532561.81000000006</v>
      </c>
      <c r="L167" s="49">
        <f t="shared" si="75"/>
        <v>579</v>
      </c>
      <c r="M167" s="49">
        <f t="shared" si="75"/>
        <v>0</v>
      </c>
      <c r="N167" s="49">
        <f t="shared" si="75"/>
        <v>19732.75</v>
      </c>
      <c r="O167" s="49">
        <f t="shared" si="75"/>
        <v>20794.21</v>
      </c>
      <c r="P167" s="49">
        <f t="shared" si="75"/>
        <v>0</v>
      </c>
      <c r="Q167" s="49">
        <f t="shared" si="75"/>
        <v>66533.070000000007</v>
      </c>
      <c r="R167" s="49">
        <f t="shared" si="75"/>
        <v>122030.72</v>
      </c>
      <c r="S167" s="49">
        <f t="shared" si="75"/>
        <v>63102.439999999995</v>
      </c>
      <c r="T167" s="49">
        <f t="shared" si="75"/>
        <v>0</v>
      </c>
      <c r="U167" s="49">
        <f t="shared" si="75"/>
        <v>1672.52</v>
      </c>
      <c r="V167" s="49">
        <f t="shared" si="75"/>
        <v>5028</v>
      </c>
      <c r="W167" s="49">
        <f t="shared" si="75"/>
        <v>2572.15</v>
      </c>
      <c r="X167" s="49">
        <f t="shared" si="75"/>
        <v>0</v>
      </c>
      <c r="Y167" s="49">
        <f t="shared" si="75"/>
        <v>1061069</v>
      </c>
      <c r="Z167" s="76"/>
    </row>
    <row r="168" spans="1:26" ht="35.1" customHeight="1">
      <c r="A168" s="84" t="s">
        <v>7</v>
      </c>
      <c r="B168" s="85"/>
      <c r="C168" s="36" t="s">
        <v>44</v>
      </c>
      <c r="D168" s="86" t="s">
        <v>149</v>
      </c>
      <c r="E168" s="55" t="s">
        <v>150</v>
      </c>
      <c r="F168" s="65">
        <v>0</v>
      </c>
      <c r="G168" s="65">
        <v>173300</v>
      </c>
      <c r="H168" s="65">
        <v>0</v>
      </c>
      <c r="I168" s="65">
        <v>18612.16</v>
      </c>
      <c r="J168" s="65">
        <v>0</v>
      </c>
      <c r="K168" s="65">
        <v>1845.21</v>
      </c>
      <c r="L168" s="65">
        <v>0</v>
      </c>
      <c r="M168" s="65">
        <v>0</v>
      </c>
      <c r="N168" s="65">
        <v>0</v>
      </c>
      <c r="O168" s="65">
        <v>4659.3100000000004</v>
      </c>
      <c r="P168" s="65">
        <v>0</v>
      </c>
      <c r="Q168" s="65">
        <v>0</v>
      </c>
      <c r="R168" s="65">
        <v>2151.39</v>
      </c>
      <c r="S168" s="65">
        <v>61517.99</v>
      </c>
      <c r="T168" s="65">
        <v>0</v>
      </c>
      <c r="U168" s="65">
        <v>0</v>
      </c>
      <c r="V168" s="65">
        <v>0</v>
      </c>
      <c r="W168" s="65">
        <v>0</v>
      </c>
      <c r="X168" s="65">
        <v>0</v>
      </c>
      <c r="Y168" s="40">
        <f t="shared" ref="Y168:Y177" si="76">SUM(G168:X168)</f>
        <v>262086.06</v>
      </c>
      <c r="Z168" s="87"/>
    </row>
    <row r="169" spans="1:26" ht="35.1" customHeight="1">
      <c r="A169" s="84" t="s">
        <v>210</v>
      </c>
      <c r="B169" s="85"/>
      <c r="C169" s="36" t="s">
        <v>44</v>
      </c>
      <c r="D169" s="86" t="s">
        <v>151</v>
      </c>
      <c r="E169" s="55" t="s">
        <v>152</v>
      </c>
      <c r="F169" s="65">
        <v>0</v>
      </c>
      <c r="G169" s="65">
        <v>0</v>
      </c>
      <c r="H169" s="65">
        <v>0</v>
      </c>
      <c r="I169" s="65">
        <v>0</v>
      </c>
      <c r="J169" s="65">
        <v>0</v>
      </c>
      <c r="K169" s="65">
        <v>524221.31</v>
      </c>
      <c r="L169" s="65">
        <v>0</v>
      </c>
      <c r="M169" s="65">
        <v>0</v>
      </c>
      <c r="N169" s="65">
        <v>12878.98</v>
      </c>
      <c r="O169" s="65">
        <v>0</v>
      </c>
      <c r="P169" s="65">
        <v>0</v>
      </c>
      <c r="Q169" s="65">
        <v>0</v>
      </c>
      <c r="R169" s="65">
        <v>105883.14</v>
      </c>
      <c r="S169" s="65">
        <v>0</v>
      </c>
      <c r="T169" s="65">
        <v>0</v>
      </c>
      <c r="U169" s="65">
        <v>0</v>
      </c>
      <c r="V169" s="65">
        <v>0</v>
      </c>
      <c r="W169" s="65">
        <v>0</v>
      </c>
      <c r="X169" s="65">
        <v>0</v>
      </c>
      <c r="Y169" s="40">
        <f t="shared" si="76"/>
        <v>642983.43000000005</v>
      </c>
      <c r="Z169" s="87"/>
    </row>
    <row r="170" spans="1:26" ht="35.1" customHeight="1">
      <c r="A170" s="88"/>
      <c r="B170" s="85"/>
      <c r="C170" s="36" t="s">
        <v>44</v>
      </c>
      <c r="D170" s="86" t="s">
        <v>153</v>
      </c>
      <c r="E170" s="55" t="s">
        <v>154</v>
      </c>
      <c r="F170" s="65">
        <v>0</v>
      </c>
      <c r="G170" s="65">
        <v>0</v>
      </c>
      <c r="H170" s="65">
        <v>0</v>
      </c>
      <c r="I170" s="65">
        <v>0</v>
      </c>
      <c r="J170" s="65">
        <v>0</v>
      </c>
      <c r="K170" s="65">
        <v>5475.29</v>
      </c>
      <c r="L170" s="65">
        <v>0</v>
      </c>
      <c r="M170" s="65">
        <v>0</v>
      </c>
      <c r="N170" s="65">
        <v>0</v>
      </c>
      <c r="O170" s="65">
        <v>12241.58</v>
      </c>
      <c r="P170" s="65">
        <v>0</v>
      </c>
      <c r="Q170" s="65">
        <v>0</v>
      </c>
      <c r="R170" s="65">
        <v>0</v>
      </c>
      <c r="S170" s="65">
        <v>0</v>
      </c>
      <c r="T170" s="65">
        <v>0</v>
      </c>
      <c r="U170" s="65">
        <v>0</v>
      </c>
      <c r="V170" s="65">
        <v>5028</v>
      </c>
      <c r="W170" s="65">
        <v>2572.15</v>
      </c>
      <c r="X170" s="65">
        <v>0</v>
      </c>
      <c r="Y170" s="40">
        <f t="shared" si="76"/>
        <v>25317.02</v>
      </c>
      <c r="Z170" s="87"/>
    </row>
    <row r="171" spans="1:26" ht="35.1" customHeight="1">
      <c r="A171" s="88"/>
      <c r="B171" s="85"/>
      <c r="C171" s="36" t="s">
        <v>44</v>
      </c>
      <c r="D171" s="86" t="s">
        <v>155</v>
      </c>
      <c r="E171" s="55" t="s">
        <v>156</v>
      </c>
      <c r="F171" s="65">
        <v>0</v>
      </c>
      <c r="G171" s="65">
        <v>1556.27</v>
      </c>
      <c r="H171" s="65">
        <v>0</v>
      </c>
      <c r="I171" s="65">
        <v>0</v>
      </c>
      <c r="J171" s="65">
        <v>0</v>
      </c>
      <c r="K171" s="65">
        <v>0</v>
      </c>
      <c r="L171" s="65">
        <v>0</v>
      </c>
      <c r="M171" s="65">
        <v>0</v>
      </c>
      <c r="N171" s="65">
        <v>0</v>
      </c>
      <c r="O171" s="65">
        <v>0</v>
      </c>
      <c r="P171" s="65">
        <v>0</v>
      </c>
      <c r="Q171" s="65">
        <v>0</v>
      </c>
      <c r="R171" s="65">
        <v>191.17</v>
      </c>
      <c r="S171" s="65">
        <v>0</v>
      </c>
      <c r="T171" s="65">
        <v>0</v>
      </c>
      <c r="U171" s="65">
        <v>0</v>
      </c>
      <c r="V171" s="65">
        <v>0</v>
      </c>
      <c r="W171" s="65">
        <v>0</v>
      </c>
      <c r="X171" s="65">
        <v>0</v>
      </c>
      <c r="Y171" s="40">
        <f t="shared" si="76"/>
        <v>1747.44</v>
      </c>
      <c r="Z171" s="87"/>
    </row>
    <row r="172" spans="1:26" ht="35.1" customHeight="1">
      <c r="A172" s="75" t="s">
        <v>7</v>
      </c>
      <c r="B172" s="85"/>
      <c r="C172" s="36" t="s">
        <v>44</v>
      </c>
      <c r="D172" s="86" t="s">
        <v>157</v>
      </c>
      <c r="E172" s="55" t="s">
        <v>158</v>
      </c>
      <c r="F172" s="65">
        <v>0</v>
      </c>
      <c r="G172" s="65">
        <v>0</v>
      </c>
      <c r="H172" s="65">
        <v>0</v>
      </c>
      <c r="I172" s="65">
        <v>0</v>
      </c>
      <c r="J172" s="65">
        <v>0</v>
      </c>
      <c r="K172" s="65">
        <v>0</v>
      </c>
      <c r="L172" s="65">
        <v>0</v>
      </c>
      <c r="M172" s="65">
        <v>0</v>
      </c>
      <c r="N172" s="65">
        <v>0</v>
      </c>
      <c r="O172" s="65">
        <v>0</v>
      </c>
      <c r="P172" s="65">
        <v>0</v>
      </c>
      <c r="Q172" s="65">
        <v>0</v>
      </c>
      <c r="R172" s="65">
        <v>0</v>
      </c>
      <c r="S172" s="65">
        <v>0</v>
      </c>
      <c r="T172" s="65">
        <v>0</v>
      </c>
      <c r="U172" s="65">
        <v>0</v>
      </c>
      <c r="V172" s="65">
        <v>0</v>
      </c>
      <c r="W172" s="65">
        <v>0</v>
      </c>
      <c r="X172" s="65">
        <v>0</v>
      </c>
      <c r="Y172" s="40">
        <f t="shared" si="76"/>
        <v>0</v>
      </c>
      <c r="Z172" s="87"/>
    </row>
    <row r="173" spans="1:26" ht="35.1" customHeight="1">
      <c r="A173" s="75" t="s">
        <v>29</v>
      </c>
      <c r="B173" s="85"/>
      <c r="C173" s="36" t="s">
        <v>44</v>
      </c>
      <c r="D173" s="86" t="s">
        <v>159</v>
      </c>
      <c r="E173" s="55" t="s">
        <v>160</v>
      </c>
      <c r="F173" s="65">
        <v>0</v>
      </c>
      <c r="G173" s="65">
        <v>0</v>
      </c>
      <c r="H173" s="65">
        <v>0</v>
      </c>
      <c r="I173" s="65">
        <v>0</v>
      </c>
      <c r="J173" s="65">
        <v>0</v>
      </c>
      <c r="K173" s="65">
        <v>0</v>
      </c>
      <c r="L173" s="65">
        <v>0</v>
      </c>
      <c r="M173" s="65">
        <v>0</v>
      </c>
      <c r="N173" s="65">
        <v>0</v>
      </c>
      <c r="O173" s="65">
        <v>343.36</v>
      </c>
      <c r="P173" s="65">
        <v>0</v>
      </c>
      <c r="Q173" s="65">
        <v>0</v>
      </c>
      <c r="R173" s="65">
        <v>0</v>
      </c>
      <c r="S173" s="65">
        <v>0</v>
      </c>
      <c r="T173" s="65">
        <v>0</v>
      </c>
      <c r="U173" s="65">
        <v>257.52</v>
      </c>
      <c r="V173" s="65">
        <v>0</v>
      </c>
      <c r="W173" s="65">
        <v>0</v>
      </c>
      <c r="X173" s="65">
        <v>0</v>
      </c>
      <c r="Y173" s="40">
        <f t="shared" si="76"/>
        <v>600.88</v>
      </c>
      <c r="Z173" s="87"/>
    </row>
    <row r="174" spans="1:26" ht="35.1" customHeight="1">
      <c r="A174" s="75" t="s">
        <v>205</v>
      </c>
      <c r="B174" s="85"/>
      <c r="C174" s="36" t="s">
        <v>44</v>
      </c>
      <c r="D174" s="86" t="s">
        <v>161</v>
      </c>
      <c r="E174" s="55" t="s">
        <v>162</v>
      </c>
      <c r="F174" s="65">
        <v>0</v>
      </c>
      <c r="G174" s="65">
        <v>0</v>
      </c>
      <c r="H174" s="65">
        <v>0</v>
      </c>
      <c r="I174" s="65">
        <v>0</v>
      </c>
      <c r="J174" s="65">
        <v>0</v>
      </c>
      <c r="K174" s="65">
        <v>1020</v>
      </c>
      <c r="L174" s="65">
        <v>579</v>
      </c>
      <c r="M174" s="65">
        <v>0</v>
      </c>
      <c r="N174" s="65">
        <v>21</v>
      </c>
      <c r="O174" s="65">
        <v>0</v>
      </c>
      <c r="P174" s="65">
        <v>0</v>
      </c>
      <c r="Q174" s="65">
        <v>0</v>
      </c>
      <c r="R174" s="65">
        <v>0</v>
      </c>
      <c r="S174" s="65">
        <v>0</v>
      </c>
      <c r="T174" s="65">
        <v>0</v>
      </c>
      <c r="U174" s="65">
        <v>0</v>
      </c>
      <c r="V174" s="65">
        <v>0</v>
      </c>
      <c r="W174" s="65">
        <v>0</v>
      </c>
      <c r="X174" s="65">
        <v>0</v>
      </c>
      <c r="Y174" s="40">
        <f t="shared" si="76"/>
        <v>1620</v>
      </c>
      <c r="Z174" s="87"/>
    </row>
    <row r="175" spans="1:26" ht="35.1" customHeight="1">
      <c r="A175" s="75" t="s">
        <v>206</v>
      </c>
      <c r="B175" s="85"/>
      <c r="C175" s="36" t="s">
        <v>44</v>
      </c>
      <c r="D175" s="86" t="s">
        <v>164</v>
      </c>
      <c r="E175" s="55" t="s">
        <v>165</v>
      </c>
      <c r="F175" s="65">
        <v>0</v>
      </c>
      <c r="G175" s="65">
        <v>0</v>
      </c>
      <c r="H175" s="65">
        <v>0</v>
      </c>
      <c r="I175" s="65">
        <v>0</v>
      </c>
      <c r="J175" s="65">
        <v>0</v>
      </c>
      <c r="K175" s="65">
        <v>0</v>
      </c>
      <c r="L175" s="65">
        <v>0</v>
      </c>
      <c r="M175" s="65">
        <v>0</v>
      </c>
      <c r="N175" s="65">
        <v>0</v>
      </c>
      <c r="O175" s="65">
        <v>0</v>
      </c>
      <c r="P175" s="65">
        <v>0</v>
      </c>
      <c r="Q175" s="65">
        <v>0</v>
      </c>
      <c r="R175" s="65">
        <v>0</v>
      </c>
      <c r="S175" s="65">
        <v>1584.45</v>
      </c>
      <c r="T175" s="65">
        <v>0</v>
      </c>
      <c r="U175" s="65">
        <v>0</v>
      </c>
      <c r="V175" s="65">
        <v>0</v>
      </c>
      <c r="W175" s="65">
        <v>0</v>
      </c>
      <c r="X175" s="65">
        <v>0</v>
      </c>
      <c r="Y175" s="40">
        <f t="shared" si="76"/>
        <v>1584.45</v>
      </c>
      <c r="Z175" s="87"/>
    </row>
    <row r="176" spans="1:26" ht="35.1" customHeight="1">
      <c r="A176" s="84" t="s">
        <v>208</v>
      </c>
      <c r="B176" s="85"/>
      <c r="C176" s="36" t="s">
        <v>44</v>
      </c>
      <c r="D176" s="86" t="s">
        <v>166</v>
      </c>
      <c r="E176" s="55" t="s">
        <v>167</v>
      </c>
      <c r="F176" s="65">
        <v>0</v>
      </c>
      <c r="G176" s="65">
        <v>0</v>
      </c>
      <c r="H176" s="65">
        <v>0</v>
      </c>
      <c r="I176" s="65">
        <v>0</v>
      </c>
      <c r="J176" s="65">
        <v>0</v>
      </c>
      <c r="K176" s="65">
        <v>0</v>
      </c>
      <c r="L176" s="65">
        <v>0</v>
      </c>
      <c r="M176" s="65">
        <v>0</v>
      </c>
      <c r="N176" s="65">
        <v>1632.77</v>
      </c>
      <c r="O176" s="65">
        <v>0</v>
      </c>
      <c r="P176" s="65">
        <v>0</v>
      </c>
      <c r="Q176" s="65">
        <v>66413.070000000007</v>
      </c>
      <c r="R176" s="65">
        <v>13805.02</v>
      </c>
      <c r="S176" s="65">
        <v>0</v>
      </c>
      <c r="T176" s="65">
        <v>0</v>
      </c>
      <c r="U176" s="65">
        <v>0</v>
      </c>
      <c r="V176" s="65">
        <v>0</v>
      </c>
      <c r="W176" s="65">
        <v>0</v>
      </c>
      <c r="X176" s="65">
        <v>0</v>
      </c>
      <c r="Y176" s="40">
        <f t="shared" si="76"/>
        <v>81850.860000000015</v>
      </c>
      <c r="Z176" s="87"/>
    </row>
    <row r="177" spans="1:26" ht="35.1" customHeight="1">
      <c r="A177" s="84" t="s">
        <v>209</v>
      </c>
      <c r="B177" s="85"/>
      <c r="C177" s="36" t="s">
        <v>44</v>
      </c>
      <c r="D177" s="86" t="s">
        <v>168</v>
      </c>
      <c r="E177" s="55" t="s">
        <v>169</v>
      </c>
      <c r="F177" s="65">
        <v>0</v>
      </c>
      <c r="G177" s="65">
        <v>0</v>
      </c>
      <c r="H177" s="65">
        <v>0</v>
      </c>
      <c r="I177" s="65">
        <v>0</v>
      </c>
      <c r="J177" s="65">
        <v>32993.9</v>
      </c>
      <c r="K177" s="65">
        <v>0</v>
      </c>
      <c r="L177" s="65">
        <v>0</v>
      </c>
      <c r="M177" s="65">
        <v>0</v>
      </c>
      <c r="N177" s="65">
        <v>5200</v>
      </c>
      <c r="O177" s="65">
        <v>3549.96</v>
      </c>
      <c r="P177" s="65">
        <v>0</v>
      </c>
      <c r="Q177" s="65">
        <v>120</v>
      </c>
      <c r="R177" s="65">
        <v>0</v>
      </c>
      <c r="S177" s="65">
        <v>0</v>
      </c>
      <c r="T177" s="65">
        <v>0</v>
      </c>
      <c r="U177" s="65">
        <v>1415</v>
      </c>
      <c r="V177" s="65">
        <v>0</v>
      </c>
      <c r="W177" s="65">
        <v>0</v>
      </c>
      <c r="X177" s="65">
        <v>0</v>
      </c>
      <c r="Y177" s="40">
        <f t="shared" si="76"/>
        <v>43278.86</v>
      </c>
      <c r="Z177" s="87"/>
    </row>
    <row r="178" spans="1:26" s="77" customFormat="1" ht="35.1" customHeight="1">
      <c r="A178" s="84" t="s">
        <v>206</v>
      </c>
      <c r="B178" s="75"/>
      <c r="C178" s="78" t="s">
        <v>216</v>
      </c>
      <c r="D178" s="79"/>
      <c r="E178" s="80"/>
      <c r="F178" s="89">
        <f t="shared" ref="F178:Y178" si="77">+F179+F196+F201+F206</f>
        <v>0</v>
      </c>
      <c r="G178" s="89">
        <f t="shared" si="77"/>
        <v>99144.040000000008</v>
      </c>
      <c r="H178" s="89">
        <f t="shared" si="77"/>
        <v>-294026.11</v>
      </c>
      <c r="I178" s="89">
        <f t="shared" si="77"/>
        <v>80295.02</v>
      </c>
      <c r="J178" s="89">
        <f t="shared" si="77"/>
        <v>-110.2</v>
      </c>
      <c r="K178" s="89">
        <f t="shared" si="77"/>
        <v>1589257.92</v>
      </c>
      <c r="L178" s="89">
        <f t="shared" si="77"/>
        <v>76118.44</v>
      </c>
      <c r="M178" s="89">
        <f t="shared" si="77"/>
        <v>346415.20999999996</v>
      </c>
      <c r="N178" s="89">
        <f t="shared" si="77"/>
        <v>3259507.6599999997</v>
      </c>
      <c r="O178" s="89">
        <f t="shared" si="77"/>
        <v>27092.129999999997</v>
      </c>
      <c r="P178" s="89">
        <f t="shared" si="77"/>
        <v>355</v>
      </c>
      <c r="Q178" s="89">
        <f t="shared" si="77"/>
        <v>122028.03</v>
      </c>
      <c r="R178" s="89">
        <f t="shared" si="77"/>
        <v>3527324.18</v>
      </c>
      <c r="S178" s="89">
        <f t="shared" si="77"/>
        <v>43681.790000000008</v>
      </c>
      <c r="T178" s="89">
        <f t="shared" si="77"/>
        <v>2814.13</v>
      </c>
      <c r="U178" s="89">
        <f t="shared" si="77"/>
        <v>23949.309999999998</v>
      </c>
      <c r="V178" s="89">
        <f t="shared" si="77"/>
        <v>36718.99</v>
      </c>
      <c r="W178" s="89">
        <f t="shared" si="77"/>
        <v>3690344.71</v>
      </c>
      <c r="X178" s="89">
        <f t="shared" si="77"/>
        <v>1984851.76</v>
      </c>
      <c r="Y178" s="81">
        <f t="shared" si="77"/>
        <v>14615762.01</v>
      </c>
      <c r="Z178" s="76"/>
    </row>
    <row r="179" spans="1:26" s="77" customFormat="1" ht="35.1" customHeight="1">
      <c r="A179" s="84" t="s">
        <v>7</v>
      </c>
      <c r="B179" s="75"/>
      <c r="C179" s="46" t="s">
        <v>31</v>
      </c>
      <c r="D179" s="82" t="s">
        <v>32</v>
      </c>
      <c r="E179" s="83"/>
      <c r="F179" s="90">
        <f t="shared" ref="F179" si="78">+F180+F186+F189+F194</f>
        <v>0</v>
      </c>
      <c r="G179" s="90">
        <f>+G180+G186+G189+G194</f>
        <v>83089.13</v>
      </c>
      <c r="H179" s="90">
        <f t="shared" ref="H179:Y179" si="79">+H180+H186+H189+H194</f>
        <v>-314152.82</v>
      </c>
      <c r="I179" s="90">
        <f t="shared" si="79"/>
        <v>22293.43</v>
      </c>
      <c r="J179" s="90">
        <f t="shared" si="79"/>
        <v>-110.2</v>
      </c>
      <c r="K179" s="90">
        <f t="shared" si="79"/>
        <v>1550171.23</v>
      </c>
      <c r="L179" s="90">
        <f t="shared" si="79"/>
        <v>76118.44</v>
      </c>
      <c r="M179" s="90">
        <f t="shared" si="79"/>
        <v>13705.869999999999</v>
      </c>
      <c r="N179" s="90">
        <f t="shared" si="79"/>
        <v>3199871.4</v>
      </c>
      <c r="O179" s="90">
        <f t="shared" si="79"/>
        <v>20452.629999999997</v>
      </c>
      <c r="P179" s="90">
        <f t="shared" si="79"/>
        <v>355</v>
      </c>
      <c r="Q179" s="90">
        <f t="shared" si="79"/>
        <v>0</v>
      </c>
      <c r="R179" s="90">
        <f t="shared" si="79"/>
        <v>3496199.64</v>
      </c>
      <c r="S179" s="90">
        <f t="shared" si="79"/>
        <v>43324.170000000006</v>
      </c>
      <c r="T179" s="90">
        <f t="shared" si="79"/>
        <v>2125.25</v>
      </c>
      <c r="U179" s="90">
        <f t="shared" si="79"/>
        <v>23027.309999999998</v>
      </c>
      <c r="V179" s="90">
        <f t="shared" si="79"/>
        <v>32115.459999999995</v>
      </c>
      <c r="W179" s="90">
        <f t="shared" si="79"/>
        <v>3690344.71</v>
      </c>
      <c r="X179" s="90">
        <f t="shared" si="79"/>
        <v>1976974.76</v>
      </c>
      <c r="Y179" s="49">
        <f t="shared" si="79"/>
        <v>13915905.41</v>
      </c>
      <c r="Z179" s="76"/>
    </row>
    <row r="180" spans="1:26" s="77" customFormat="1" ht="35.1" customHeight="1">
      <c r="A180" s="84" t="s">
        <v>210</v>
      </c>
      <c r="B180" s="75"/>
      <c r="C180" s="54"/>
      <c r="D180" s="59" t="s">
        <v>207</v>
      </c>
      <c r="E180" s="60"/>
      <c r="F180" s="25">
        <f t="shared" ref="F180:G180" si="80">SUM(F181:F185)</f>
        <v>0</v>
      </c>
      <c r="G180" s="25">
        <f t="shared" si="80"/>
        <v>83089.13</v>
      </c>
      <c r="H180" s="25">
        <f t="shared" ref="H180:Y180" si="81">SUM(H181:H185)</f>
        <v>0</v>
      </c>
      <c r="I180" s="25">
        <f t="shared" si="81"/>
        <v>21192.14</v>
      </c>
      <c r="J180" s="25">
        <f t="shared" si="81"/>
        <v>-110.2</v>
      </c>
      <c r="K180" s="25">
        <f t="shared" si="81"/>
        <v>732513.15999999992</v>
      </c>
      <c r="L180" s="25">
        <f t="shared" si="81"/>
        <v>76118.44</v>
      </c>
      <c r="M180" s="25">
        <f t="shared" si="81"/>
        <v>0</v>
      </c>
      <c r="N180" s="25">
        <f t="shared" si="81"/>
        <v>3199871.4</v>
      </c>
      <c r="O180" s="25">
        <f t="shared" si="81"/>
        <v>13752.97</v>
      </c>
      <c r="P180" s="25">
        <f t="shared" si="81"/>
        <v>0</v>
      </c>
      <c r="Q180" s="25">
        <f t="shared" si="81"/>
        <v>0</v>
      </c>
      <c r="R180" s="25">
        <f t="shared" si="81"/>
        <v>0</v>
      </c>
      <c r="S180" s="25">
        <f t="shared" si="81"/>
        <v>43324.170000000006</v>
      </c>
      <c r="T180" s="25">
        <f t="shared" si="81"/>
        <v>2125.25</v>
      </c>
      <c r="U180" s="25">
        <f t="shared" si="81"/>
        <v>17417.07</v>
      </c>
      <c r="V180" s="25">
        <f t="shared" si="81"/>
        <v>31739.019999999997</v>
      </c>
      <c r="W180" s="25">
        <f t="shared" si="81"/>
        <v>3690344.71</v>
      </c>
      <c r="X180" s="25">
        <f t="shared" si="81"/>
        <v>478425.67999999993</v>
      </c>
      <c r="Y180" s="25">
        <f t="shared" si="81"/>
        <v>8389802.9399999995</v>
      </c>
      <c r="Z180" s="76"/>
    </row>
    <row r="181" spans="1:26" ht="35.1" customHeight="1">
      <c r="A181" s="88"/>
      <c r="B181" s="85"/>
      <c r="C181" s="36" t="s">
        <v>217</v>
      </c>
      <c r="D181" s="86" t="s">
        <v>36</v>
      </c>
      <c r="E181" s="55" t="s">
        <v>37</v>
      </c>
      <c r="F181" s="65">
        <v>0</v>
      </c>
      <c r="G181" s="65">
        <v>3000</v>
      </c>
      <c r="H181" s="65">
        <v>0</v>
      </c>
      <c r="I181" s="65">
        <v>165.75</v>
      </c>
      <c r="J181" s="65">
        <v>-110.2</v>
      </c>
      <c r="K181" s="65">
        <f>5699.62-4947.52</f>
        <v>752.09999999999945</v>
      </c>
      <c r="L181" s="65">
        <v>4947.5200000000004</v>
      </c>
      <c r="M181" s="65">
        <v>0</v>
      </c>
      <c r="N181" s="65">
        <v>2913381.92</v>
      </c>
      <c r="O181" s="65">
        <v>0</v>
      </c>
      <c r="P181" s="65">
        <v>0</v>
      </c>
      <c r="Q181" s="65">
        <v>0</v>
      </c>
      <c r="R181" s="65">
        <v>0</v>
      </c>
      <c r="S181" s="65">
        <v>0</v>
      </c>
      <c r="T181" s="65">
        <v>0</v>
      </c>
      <c r="U181" s="65">
        <v>0</v>
      </c>
      <c r="V181" s="65">
        <v>1154.3399999999999</v>
      </c>
      <c r="W181" s="65">
        <v>3686481.71</v>
      </c>
      <c r="X181" s="65">
        <f>11214.49-606.56-428.66-53.4-52.46</f>
        <v>10073.410000000002</v>
      </c>
      <c r="Y181" s="40">
        <f>SUM(G181:X181)</f>
        <v>6619846.5499999998</v>
      </c>
      <c r="Z181" s="87"/>
    </row>
    <row r="182" spans="1:26" ht="35.1" customHeight="1">
      <c r="A182" s="88"/>
      <c r="B182" s="85"/>
      <c r="C182" s="36" t="s">
        <v>217</v>
      </c>
      <c r="D182" s="86" t="s">
        <v>38</v>
      </c>
      <c r="E182" s="55" t="s">
        <v>39</v>
      </c>
      <c r="F182" s="65">
        <v>0</v>
      </c>
      <c r="G182" s="65">
        <v>67173.52</v>
      </c>
      <c r="H182" s="65">
        <v>0</v>
      </c>
      <c r="I182" s="65">
        <v>0</v>
      </c>
      <c r="J182" s="65">
        <v>0</v>
      </c>
      <c r="K182" s="65">
        <v>151454.69</v>
      </c>
      <c r="L182" s="65">
        <v>64900.15</v>
      </c>
      <c r="M182" s="65">
        <v>0</v>
      </c>
      <c r="N182" s="65">
        <v>235925.42</v>
      </c>
      <c r="O182" s="65">
        <v>13752.97</v>
      </c>
      <c r="P182" s="65">
        <v>0</v>
      </c>
      <c r="Q182" s="65">
        <v>0</v>
      </c>
      <c r="R182" s="65">
        <v>0</v>
      </c>
      <c r="S182" s="65">
        <v>40266.19</v>
      </c>
      <c r="T182" s="65">
        <v>2125.25</v>
      </c>
      <c r="U182" s="65">
        <v>11988.44</v>
      </c>
      <c r="V182" s="65">
        <v>23854.94</v>
      </c>
      <c r="W182" s="65">
        <v>3863</v>
      </c>
      <c r="X182" s="65">
        <v>395119.18</v>
      </c>
      <c r="Y182" s="40">
        <f>SUM(G182:X182)</f>
        <v>1010423.7499999998</v>
      </c>
      <c r="Z182" s="87"/>
    </row>
    <row r="183" spans="1:26" ht="35.1" customHeight="1">
      <c r="A183" s="75" t="s">
        <v>7</v>
      </c>
      <c r="B183" s="85"/>
      <c r="C183" s="36" t="s">
        <v>217</v>
      </c>
      <c r="D183" s="86" t="s">
        <v>40</v>
      </c>
      <c r="E183" s="55" t="s">
        <v>41</v>
      </c>
      <c r="F183" s="65">
        <v>0</v>
      </c>
      <c r="G183" s="65">
        <v>0</v>
      </c>
      <c r="H183" s="65">
        <v>0</v>
      </c>
      <c r="I183" s="65">
        <v>21026.39</v>
      </c>
      <c r="J183" s="65">
        <f>242739.06-242739.06</f>
        <v>0</v>
      </c>
      <c r="K183" s="65">
        <f>300576.37+242739.06</f>
        <v>543315.42999999993</v>
      </c>
      <c r="L183" s="65">
        <v>0</v>
      </c>
      <c r="M183" s="65">
        <v>0</v>
      </c>
      <c r="N183" s="65">
        <v>0</v>
      </c>
      <c r="O183" s="65">
        <v>0</v>
      </c>
      <c r="P183" s="65">
        <v>0</v>
      </c>
      <c r="Q183" s="65">
        <v>0</v>
      </c>
      <c r="R183" s="65">
        <v>0</v>
      </c>
      <c r="S183" s="65">
        <v>0</v>
      </c>
      <c r="T183" s="65">
        <v>0</v>
      </c>
      <c r="U183" s="65">
        <v>0</v>
      </c>
      <c r="V183" s="65">
        <v>0</v>
      </c>
      <c r="W183" s="65">
        <v>0</v>
      </c>
      <c r="X183" s="65">
        <v>0</v>
      </c>
      <c r="Y183" s="40">
        <f>SUM(G183:X183)</f>
        <v>564341.81999999995</v>
      </c>
      <c r="Z183" s="87"/>
    </row>
    <row r="184" spans="1:26" ht="35.1" customHeight="1">
      <c r="A184" s="75" t="s">
        <v>29</v>
      </c>
      <c r="B184" s="85"/>
      <c r="C184" s="36" t="s">
        <v>217</v>
      </c>
      <c r="D184" s="86" t="s">
        <v>42</v>
      </c>
      <c r="E184" s="55" t="s">
        <v>43</v>
      </c>
      <c r="F184" s="65">
        <v>0</v>
      </c>
      <c r="G184" s="65">
        <v>12915.61</v>
      </c>
      <c r="H184" s="65">
        <v>0</v>
      </c>
      <c r="I184" s="65">
        <v>0</v>
      </c>
      <c r="J184" s="65">
        <v>0</v>
      </c>
      <c r="K184" s="65">
        <v>36990.94</v>
      </c>
      <c r="L184" s="65">
        <v>6270.77</v>
      </c>
      <c r="M184" s="65">
        <v>0</v>
      </c>
      <c r="N184" s="65">
        <v>50564.06</v>
      </c>
      <c r="O184" s="65">
        <v>0</v>
      </c>
      <c r="P184" s="65">
        <v>0</v>
      </c>
      <c r="Q184" s="65">
        <v>0</v>
      </c>
      <c r="R184" s="65">
        <v>0</v>
      </c>
      <c r="S184" s="65">
        <v>3057.98</v>
      </c>
      <c r="T184" s="65">
        <v>0</v>
      </c>
      <c r="U184" s="65">
        <v>5428.63</v>
      </c>
      <c r="V184" s="65">
        <v>6729.74</v>
      </c>
      <c r="W184" s="65">
        <v>0</v>
      </c>
      <c r="X184" s="65">
        <v>73233.09</v>
      </c>
      <c r="Y184" s="40">
        <f>SUM(G184:X184)</f>
        <v>195190.82</v>
      </c>
      <c r="Z184" s="87"/>
    </row>
    <row r="185" spans="1:26" ht="35.1" customHeight="1">
      <c r="A185" s="75" t="s">
        <v>205</v>
      </c>
      <c r="B185" s="85"/>
      <c r="C185" s="36" t="s">
        <v>217</v>
      </c>
      <c r="D185" s="86" t="s">
        <v>47</v>
      </c>
      <c r="E185" s="55" t="s">
        <v>48</v>
      </c>
      <c r="F185" s="65">
        <v>0</v>
      </c>
      <c r="G185" s="65">
        <v>0</v>
      </c>
      <c r="H185" s="65">
        <v>0</v>
      </c>
      <c r="I185" s="65">
        <v>0</v>
      </c>
      <c r="J185" s="65">
        <v>0</v>
      </c>
      <c r="K185" s="65">
        <v>0</v>
      </c>
      <c r="L185" s="65">
        <v>0</v>
      </c>
      <c r="M185" s="65">
        <v>0</v>
      </c>
      <c r="N185" s="65">
        <v>0</v>
      </c>
      <c r="O185" s="65">
        <v>0</v>
      </c>
      <c r="P185" s="65">
        <v>0</v>
      </c>
      <c r="Q185" s="65">
        <v>0</v>
      </c>
      <c r="R185" s="65">
        <v>0</v>
      </c>
      <c r="S185" s="65">
        <v>0</v>
      </c>
      <c r="T185" s="65">
        <v>0</v>
      </c>
      <c r="U185" s="65">
        <v>0</v>
      </c>
      <c r="V185" s="65">
        <v>0</v>
      </c>
      <c r="W185" s="65">
        <v>0</v>
      </c>
      <c r="X185" s="65">
        <v>0</v>
      </c>
      <c r="Y185" s="40">
        <f>SUM(G185:X185)</f>
        <v>0</v>
      </c>
      <c r="Z185" s="87"/>
    </row>
    <row r="186" spans="1:26" s="77" customFormat="1" ht="35.1" customHeight="1">
      <c r="A186" s="75" t="s">
        <v>206</v>
      </c>
      <c r="B186" s="75"/>
      <c r="C186" s="54"/>
      <c r="D186" s="59" t="s">
        <v>211</v>
      </c>
      <c r="E186" s="60"/>
      <c r="F186" s="25">
        <f t="shared" ref="F186:Y186" si="82">SUM(F187:F188)</f>
        <v>0</v>
      </c>
      <c r="G186" s="25">
        <f t="shared" si="82"/>
        <v>0</v>
      </c>
      <c r="H186" s="25">
        <f t="shared" si="82"/>
        <v>-314152.82</v>
      </c>
      <c r="I186" s="25">
        <f t="shared" si="82"/>
        <v>1101.29</v>
      </c>
      <c r="J186" s="25">
        <f t="shared" si="82"/>
        <v>0</v>
      </c>
      <c r="K186" s="25">
        <f t="shared" si="82"/>
        <v>0</v>
      </c>
      <c r="L186" s="25">
        <f t="shared" si="82"/>
        <v>0</v>
      </c>
      <c r="M186" s="25">
        <f t="shared" si="82"/>
        <v>10208.14</v>
      </c>
      <c r="N186" s="25">
        <f t="shared" si="82"/>
        <v>0</v>
      </c>
      <c r="O186" s="25">
        <f t="shared" si="82"/>
        <v>6699.66</v>
      </c>
      <c r="P186" s="25">
        <f t="shared" si="82"/>
        <v>0</v>
      </c>
      <c r="Q186" s="25">
        <f t="shared" si="82"/>
        <v>0</v>
      </c>
      <c r="R186" s="25">
        <f t="shared" si="82"/>
        <v>21429.7</v>
      </c>
      <c r="S186" s="25">
        <f t="shared" si="82"/>
        <v>0</v>
      </c>
      <c r="T186" s="25">
        <f t="shared" si="82"/>
        <v>0</v>
      </c>
      <c r="U186" s="25">
        <f t="shared" si="82"/>
        <v>3474.5</v>
      </c>
      <c r="V186" s="25">
        <f t="shared" si="82"/>
        <v>0</v>
      </c>
      <c r="W186" s="25">
        <f t="shared" si="82"/>
        <v>0</v>
      </c>
      <c r="X186" s="25">
        <f t="shared" si="82"/>
        <v>1498549.08</v>
      </c>
      <c r="Y186" s="25">
        <f t="shared" si="82"/>
        <v>1227309.55</v>
      </c>
      <c r="Z186" s="76"/>
    </row>
    <row r="187" spans="1:26" ht="35.1" customHeight="1">
      <c r="A187" s="84" t="s">
        <v>208</v>
      </c>
      <c r="B187" s="85"/>
      <c r="C187" s="36" t="s">
        <v>217</v>
      </c>
      <c r="D187" s="86" t="s">
        <v>53</v>
      </c>
      <c r="E187" s="55" t="s">
        <v>54</v>
      </c>
      <c r="F187" s="65">
        <v>0</v>
      </c>
      <c r="G187" s="65">
        <v>0</v>
      </c>
      <c r="H187" s="65">
        <v>0</v>
      </c>
      <c r="I187" s="65">
        <v>1101.29</v>
      </c>
      <c r="J187" s="65">
        <v>0</v>
      </c>
      <c r="K187" s="65">
        <v>0</v>
      </c>
      <c r="L187" s="65">
        <v>0</v>
      </c>
      <c r="M187" s="65">
        <v>10208.14</v>
      </c>
      <c r="N187" s="65">
        <v>0</v>
      </c>
      <c r="O187" s="65">
        <v>0</v>
      </c>
      <c r="P187" s="65">
        <v>0</v>
      </c>
      <c r="Q187" s="65">
        <v>0</v>
      </c>
      <c r="R187" s="65">
        <v>0</v>
      </c>
      <c r="S187" s="65">
        <v>0</v>
      </c>
      <c r="T187" s="65">
        <v>0</v>
      </c>
      <c r="U187" s="65">
        <v>3474.5</v>
      </c>
      <c r="V187" s="65">
        <v>0</v>
      </c>
      <c r="W187" s="65">
        <v>0</v>
      </c>
      <c r="X187" s="65">
        <v>1821.37</v>
      </c>
      <c r="Y187" s="40">
        <f>SUM(G187:X187)</f>
        <v>16605.3</v>
      </c>
      <c r="Z187" s="87"/>
    </row>
    <row r="188" spans="1:26" ht="35.1" customHeight="1">
      <c r="A188" s="84" t="s">
        <v>209</v>
      </c>
      <c r="B188" s="85"/>
      <c r="C188" s="36" t="s">
        <v>217</v>
      </c>
      <c r="D188" s="86" t="s">
        <v>55</v>
      </c>
      <c r="E188" s="55" t="s">
        <v>56</v>
      </c>
      <c r="F188" s="65">
        <v>0</v>
      </c>
      <c r="G188" s="65">
        <v>0</v>
      </c>
      <c r="H188" s="65">
        <v>-314152.82</v>
      </c>
      <c r="I188" s="65">
        <v>0</v>
      </c>
      <c r="J188" s="65">
        <v>0</v>
      </c>
      <c r="K188" s="65">
        <v>0</v>
      </c>
      <c r="L188" s="65">
        <v>0</v>
      </c>
      <c r="M188" s="65">
        <v>0</v>
      </c>
      <c r="N188" s="65">
        <v>0</v>
      </c>
      <c r="O188" s="65">
        <f>6309.2+390.46</f>
        <v>6699.66</v>
      </c>
      <c r="P188" s="65">
        <v>0</v>
      </c>
      <c r="Q188" s="65">
        <v>0</v>
      </c>
      <c r="R188" s="65">
        <v>21429.7</v>
      </c>
      <c r="S188" s="65">
        <v>0</v>
      </c>
      <c r="T188" s="65">
        <v>0</v>
      </c>
      <c r="U188" s="65">
        <v>0</v>
      </c>
      <c r="V188" s="65">
        <v>0</v>
      </c>
      <c r="W188" s="65">
        <v>0</v>
      </c>
      <c r="X188" s="65">
        <v>1496727.71</v>
      </c>
      <c r="Y188" s="40">
        <f>SUM(G188:X188)</f>
        <v>1210704.25</v>
      </c>
      <c r="Z188" s="87"/>
    </row>
    <row r="189" spans="1:26" s="77" customFormat="1" ht="35.1" customHeight="1">
      <c r="A189" s="84" t="s">
        <v>206</v>
      </c>
      <c r="B189" s="75"/>
      <c r="C189" s="54"/>
      <c r="D189" s="59" t="s">
        <v>212</v>
      </c>
      <c r="E189" s="60"/>
      <c r="F189" s="25">
        <f t="shared" ref="F189:Y189" si="83">SUM(F190:F193)</f>
        <v>0</v>
      </c>
      <c r="G189" s="25">
        <f t="shared" si="83"/>
        <v>0</v>
      </c>
      <c r="H189" s="25">
        <f t="shared" si="83"/>
        <v>0</v>
      </c>
      <c r="I189" s="25">
        <f t="shared" si="83"/>
        <v>0</v>
      </c>
      <c r="J189" s="25">
        <f t="shared" si="83"/>
        <v>0</v>
      </c>
      <c r="K189" s="25">
        <f t="shared" si="83"/>
        <v>817658.07</v>
      </c>
      <c r="L189" s="25">
        <f t="shared" si="83"/>
        <v>0</v>
      </c>
      <c r="M189" s="25">
        <f t="shared" si="83"/>
        <v>3497.7300000000005</v>
      </c>
      <c r="N189" s="25">
        <f t="shared" si="83"/>
        <v>0</v>
      </c>
      <c r="O189" s="25">
        <f t="shared" si="83"/>
        <v>0</v>
      </c>
      <c r="P189" s="25">
        <f t="shared" si="83"/>
        <v>0</v>
      </c>
      <c r="Q189" s="25">
        <f t="shared" si="83"/>
        <v>0</v>
      </c>
      <c r="R189" s="25">
        <f t="shared" si="83"/>
        <v>3474769.94</v>
      </c>
      <c r="S189" s="25">
        <f t="shared" si="83"/>
        <v>0</v>
      </c>
      <c r="T189" s="25">
        <f t="shared" si="83"/>
        <v>0</v>
      </c>
      <c r="U189" s="25">
        <f t="shared" si="83"/>
        <v>0</v>
      </c>
      <c r="V189" s="25">
        <f t="shared" si="83"/>
        <v>0</v>
      </c>
      <c r="W189" s="25">
        <f t="shared" si="83"/>
        <v>0</v>
      </c>
      <c r="X189" s="25">
        <f t="shared" si="83"/>
        <v>0</v>
      </c>
      <c r="Y189" s="25">
        <f t="shared" si="83"/>
        <v>4295925.74</v>
      </c>
      <c r="Z189" s="76"/>
    </row>
    <row r="190" spans="1:26" ht="35.1" customHeight="1">
      <c r="A190" s="84" t="s">
        <v>7</v>
      </c>
      <c r="B190" s="85"/>
      <c r="C190" s="36" t="s">
        <v>217</v>
      </c>
      <c r="D190" s="86" t="s">
        <v>63</v>
      </c>
      <c r="E190" s="55" t="s">
        <v>64</v>
      </c>
      <c r="F190" s="65">
        <v>0</v>
      </c>
      <c r="G190" s="65">
        <v>0</v>
      </c>
      <c r="H190" s="65">
        <v>0</v>
      </c>
      <c r="I190" s="65">
        <v>0</v>
      </c>
      <c r="J190" s="65">
        <v>0</v>
      </c>
      <c r="K190" s="65">
        <v>817658.07</v>
      </c>
      <c r="L190" s="65">
        <v>0</v>
      </c>
      <c r="M190" s="65">
        <v>0</v>
      </c>
      <c r="N190" s="65">
        <v>0</v>
      </c>
      <c r="O190" s="65">
        <v>0</v>
      </c>
      <c r="P190" s="65">
        <v>0</v>
      </c>
      <c r="Q190" s="65">
        <v>0</v>
      </c>
      <c r="R190" s="65">
        <v>0</v>
      </c>
      <c r="S190" s="65">
        <v>0</v>
      </c>
      <c r="T190" s="65">
        <v>0</v>
      </c>
      <c r="U190" s="65">
        <v>0</v>
      </c>
      <c r="V190" s="65">
        <v>0</v>
      </c>
      <c r="W190" s="65">
        <v>0</v>
      </c>
      <c r="X190" s="65">
        <v>0</v>
      </c>
      <c r="Y190" s="40">
        <f>SUM(G190:X190)</f>
        <v>817658.07</v>
      </c>
      <c r="Z190" s="87"/>
    </row>
    <row r="191" spans="1:26" ht="35.1" customHeight="1">
      <c r="A191" s="84" t="s">
        <v>210</v>
      </c>
      <c r="B191" s="85"/>
      <c r="C191" s="36" t="s">
        <v>217</v>
      </c>
      <c r="D191" s="86" t="s">
        <v>65</v>
      </c>
      <c r="E191" s="55" t="s">
        <v>66</v>
      </c>
      <c r="F191" s="65">
        <v>0</v>
      </c>
      <c r="G191" s="65">
        <v>0</v>
      </c>
      <c r="H191" s="65">
        <v>0</v>
      </c>
      <c r="I191" s="65">
        <v>0</v>
      </c>
      <c r="J191" s="65">
        <v>0</v>
      </c>
      <c r="K191" s="65">
        <v>0</v>
      </c>
      <c r="L191" s="65">
        <v>0</v>
      </c>
      <c r="M191" s="65">
        <v>0</v>
      </c>
      <c r="N191" s="65">
        <v>0</v>
      </c>
      <c r="O191" s="65">
        <v>0</v>
      </c>
      <c r="P191" s="65">
        <v>0</v>
      </c>
      <c r="Q191" s="65">
        <v>0</v>
      </c>
      <c r="R191" s="65">
        <v>881161.66</v>
      </c>
      <c r="S191" s="65">
        <v>0</v>
      </c>
      <c r="T191" s="65">
        <v>0</v>
      </c>
      <c r="U191" s="65">
        <v>0</v>
      </c>
      <c r="V191" s="65">
        <v>0</v>
      </c>
      <c r="W191" s="65">
        <v>0</v>
      </c>
      <c r="X191" s="65">
        <v>0</v>
      </c>
      <c r="Y191" s="40">
        <f>SUM(G191:X191)</f>
        <v>881161.66</v>
      </c>
      <c r="Z191" s="87"/>
    </row>
    <row r="192" spans="1:26" ht="35.1" customHeight="1">
      <c r="A192" s="88"/>
      <c r="B192" s="85"/>
      <c r="C192" s="36" t="s">
        <v>217</v>
      </c>
      <c r="D192" s="86" t="s">
        <v>67</v>
      </c>
      <c r="E192" s="55" t="s">
        <v>68</v>
      </c>
      <c r="F192" s="65">
        <v>0</v>
      </c>
      <c r="G192" s="65">
        <v>0</v>
      </c>
      <c r="H192" s="65">
        <v>0</v>
      </c>
      <c r="I192" s="65">
        <v>0</v>
      </c>
      <c r="J192" s="65">
        <v>0</v>
      </c>
      <c r="K192" s="65">
        <v>0</v>
      </c>
      <c r="L192" s="65">
        <v>0</v>
      </c>
      <c r="M192" s="65">
        <v>1165.9100000000001</v>
      </c>
      <c r="N192" s="65">
        <v>0</v>
      </c>
      <c r="O192" s="65">
        <v>0</v>
      </c>
      <c r="P192" s="65">
        <v>0</v>
      </c>
      <c r="Q192" s="65">
        <v>0</v>
      </c>
      <c r="R192" s="65">
        <v>724945.1</v>
      </c>
      <c r="S192" s="65">
        <v>0</v>
      </c>
      <c r="T192" s="65">
        <v>0</v>
      </c>
      <c r="U192" s="65">
        <v>0</v>
      </c>
      <c r="V192" s="65">
        <v>0</v>
      </c>
      <c r="W192" s="65">
        <v>0</v>
      </c>
      <c r="X192" s="65">
        <v>0</v>
      </c>
      <c r="Y192" s="40">
        <f>SUM(G192:X192)</f>
        <v>726111.01</v>
      </c>
      <c r="Z192" s="87"/>
    </row>
    <row r="193" spans="1:26" ht="35.1" customHeight="1">
      <c r="A193" s="88"/>
      <c r="B193" s="85"/>
      <c r="C193" s="36" t="s">
        <v>217</v>
      </c>
      <c r="D193" s="86" t="s">
        <v>69</v>
      </c>
      <c r="E193" s="55" t="s">
        <v>70</v>
      </c>
      <c r="F193" s="65">
        <v>0</v>
      </c>
      <c r="G193" s="65">
        <v>0</v>
      </c>
      <c r="H193" s="65">
        <v>0</v>
      </c>
      <c r="I193" s="65">
        <v>0</v>
      </c>
      <c r="J193" s="65">
        <v>0</v>
      </c>
      <c r="K193" s="65">
        <v>0</v>
      </c>
      <c r="L193" s="65">
        <v>0</v>
      </c>
      <c r="M193" s="65">
        <v>2331.8200000000002</v>
      </c>
      <c r="N193" s="65">
        <v>0</v>
      </c>
      <c r="O193" s="65">
        <v>0</v>
      </c>
      <c r="P193" s="65">
        <v>0</v>
      </c>
      <c r="Q193" s="65">
        <v>0</v>
      </c>
      <c r="R193" s="65">
        <v>1868663.18</v>
      </c>
      <c r="S193" s="65">
        <v>0</v>
      </c>
      <c r="T193" s="65">
        <v>0</v>
      </c>
      <c r="U193" s="65">
        <v>0</v>
      </c>
      <c r="V193" s="65">
        <v>0</v>
      </c>
      <c r="W193" s="65">
        <v>0</v>
      </c>
      <c r="X193" s="65">
        <v>0</v>
      </c>
      <c r="Y193" s="40">
        <f>SUM(G193:X193)</f>
        <v>1870995</v>
      </c>
      <c r="Z193" s="87"/>
    </row>
    <row r="194" spans="1:26" s="77" customFormat="1" ht="35.1" customHeight="1">
      <c r="A194" s="88"/>
      <c r="B194" s="75"/>
      <c r="C194" s="54"/>
      <c r="D194" s="59" t="s">
        <v>213</v>
      </c>
      <c r="E194" s="60"/>
      <c r="F194" s="25">
        <f t="shared" ref="F194:Y194" si="84">SUM(F195)</f>
        <v>0</v>
      </c>
      <c r="G194" s="25">
        <f t="shared" si="84"/>
        <v>0</v>
      </c>
      <c r="H194" s="25">
        <f t="shared" si="84"/>
        <v>0</v>
      </c>
      <c r="I194" s="25">
        <f t="shared" si="84"/>
        <v>0</v>
      </c>
      <c r="J194" s="25">
        <f t="shared" si="84"/>
        <v>0</v>
      </c>
      <c r="K194" s="25">
        <f t="shared" si="84"/>
        <v>0</v>
      </c>
      <c r="L194" s="25">
        <f t="shared" si="84"/>
        <v>0</v>
      </c>
      <c r="M194" s="25">
        <f t="shared" si="84"/>
        <v>0</v>
      </c>
      <c r="N194" s="25">
        <f t="shared" si="84"/>
        <v>0</v>
      </c>
      <c r="O194" s="25">
        <f t="shared" si="84"/>
        <v>0</v>
      </c>
      <c r="P194" s="25">
        <f t="shared" si="84"/>
        <v>355</v>
      </c>
      <c r="Q194" s="25">
        <f t="shared" si="84"/>
        <v>0</v>
      </c>
      <c r="R194" s="25">
        <f t="shared" si="84"/>
        <v>0</v>
      </c>
      <c r="S194" s="25">
        <f t="shared" si="84"/>
        <v>0</v>
      </c>
      <c r="T194" s="25">
        <f t="shared" si="84"/>
        <v>0</v>
      </c>
      <c r="U194" s="25">
        <f t="shared" si="84"/>
        <v>2135.7399999999998</v>
      </c>
      <c r="V194" s="25">
        <f t="shared" si="84"/>
        <v>376.44</v>
      </c>
      <c r="W194" s="25">
        <f t="shared" si="84"/>
        <v>0</v>
      </c>
      <c r="X194" s="25">
        <f t="shared" si="84"/>
        <v>0</v>
      </c>
      <c r="Y194" s="25">
        <f t="shared" si="84"/>
        <v>2867.18</v>
      </c>
      <c r="Z194" s="76"/>
    </row>
    <row r="195" spans="1:26" ht="35.1" customHeight="1">
      <c r="A195" s="75" t="s">
        <v>7</v>
      </c>
      <c r="B195" s="85"/>
      <c r="C195" s="36" t="s">
        <v>217</v>
      </c>
      <c r="D195" s="86" t="s">
        <v>75</v>
      </c>
      <c r="E195" s="55" t="s">
        <v>76</v>
      </c>
      <c r="F195" s="65">
        <v>0</v>
      </c>
      <c r="G195" s="65">
        <v>0</v>
      </c>
      <c r="H195" s="65">
        <v>0</v>
      </c>
      <c r="I195" s="65">
        <v>0</v>
      </c>
      <c r="J195" s="65">
        <v>0</v>
      </c>
      <c r="K195" s="65">
        <v>0</v>
      </c>
      <c r="L195" s="65">
        <v>0</v>
      </c>
      <c r="M195" s="65">
        <v>0</v>
      </c>
      <c r="N195" s="65">
        <v>0</v>
      </c>
      <c r="O195" s="65">
        <v>0</v>
      </c>
      <c r="P195" s="65">
        <v>355</v>
      </c>
      <c r="Q195" s="65">
        <v>0</v>
      </c>
      <c r="R195" s="65">
        <v>0</v>
      </c>
      <c r="S195" s="65">
        <v>0</v>
      </c>
      <c r="T195" s="65">
        <v>0</v>
      </c>
      <c r="U195" s="65">
        <v>2135.7399999999998</v>
      </c>
      <c r="V195" s="65">
        <v>376.44</v>
      </c>
      <c r="W195" s="65">
        <v>0</v>
      </c>
      <c r="X195" s="65">
        <v>0</v>
      </c>
      <c r="Y195" s="40">
        <f>SUM(G195:X195)</f>
        <v>2867.18</v>
      </c>
      <c r="Z195" s="87"/>
    </row>
    <row r="196" spans="1:26" s="77" customFormat="1" ht="35.1" customHeight="1">
      <c r="A196" s="75" t="s">
        <v>29</v>
      </c>
      <c r="B196" s="75"/>
      <c r="C196" s="46" t="s">
        <v>77</v>
      </c>
      <c r="D196" s="82" t="s">
        <v>78</v>
      </c>
      <c r="E196" s="83"/>
      <c r="F196" s="49">
        <f t="shared" ref="F196" si="85">SUM(F197:F200)</f>
        <v>0</v>
      </c>
      <c r="G196" s="49">
        <f>SUM(G197:G200)</f>
        <v>0</v>
      </c>
      <c r="H196" s="49">
        <f t="shared" ref="H196:Y196" si="86">SUM(H197:H200)</f>
        <v>0</v>
      </c>
      <c r="I196" s="49">
        <f t="shared" si="86"/>
        <v>0</v>
      </c>
      <c r="J196" s="49">
        <f t="shared" si="86"/>
        <v>0</v>
      </c>
      <c r="K196" s="49">
        <f t="shared" si="86"/>
        <v>0</v>
      </c>
      <c r="L196" s="49">
        <f t="shared" si="86"/>
        <v>0</v>
      </c>
      <c r="M196" s="49">
        <f t="shared" si="86"/>
        <v>0</v>
      </c>
      <c r="N196" s="49">
        <f t="shared" si="86"/>
        <v>55275.3</v>
      </c>
      <c r="O196" s="49">
        <f t="shared" si="86"/>
        <v>0</v>
      </c>
      <c r="P196" s="49">
        <f t="shared" si="86"/>
        <v>0</v>
      </c>
      <c r="Q196" s="49">
        <f t="shared" si="86"/>
        <v>1153</v>
      </c>
      <c r="R196" s="49">
        <f t="shared" si="86"/>
        <v>0</v>
      </c>
      <c r="S196" s="49">
        <f t="shared" si="86"/>
        <v>0</v>
      </c>
      <c r="T196" s="49">
        <f t="shared" si="86"/>
        <v>0</v>
      </c>
      <c r="U196" s="49">
        <f t="shared" si="86"/>
        <v>922</v>
      </c>
      <c r="V196" s="49">
        <f t="shared" si="86"/>
        <v>0</v>
      </c>
      <c r="W196" s="49">
        <f t="shared" si="86"/>
        <v>0</v>
      </c>
      <c r="X196" s="49">
        <f t="shared" si="86"/>
        <v>3942</v>
      </c>
      <c r="Y196" s="49">
        <f t="shared" si="86"/>
        <v>61292.3</v>
      </c>
      <c r="Z196" s="76"/>
    </row>
    <row r="197" spans="1:26" ht="35.1" customHeight="1">
      <c r="A197" s="75" t="s">
        <v>205</v>
      </c>
      <c r="B197" s="85"/>
      <c r="C197" s="36" t="s">
        <v>217</v>
      </c>
      <c r="D197" s="86" t="s">
        <v>91</v>
      </c>
      <c r="E197" s="55" t="s">
        <v>92</v>
      </c>
      <c r="F197" s="65">
        <v>0</v>
      </c>
      <c r="G197" s="65">
        <v>0</v>
      </c>
      <c r="H197" s="65">
        <v>0</v>
      </c>
      <c r="I197" s="65">
        <v>0</v>
      </c>
      <c r="J197" s="65">
        <v>0</v>
      </c>
      <c r="K197" s="65">
        <v>0</v>
      </c>
      <c r="L197" s="65">
        <v>0</v>
      </c>
      <c r="M197" s="65">
        <v>0</v>
      </c>
      <c r="N197" s="65">
        <v>53803.8</v>
      </c>
      <c r="O197" s="65">
        <v>0</v>
      </c>
      <c r="P197" s="65">
        <v>0</v>
      </c>
      <c r="Q197" s="65">
        <v>0</v>
      </c>
      <c r="R197" s="65">
        <v>0</v>
      </c>
      <c r="S197" s="65">
        <v>0</v>
      </c>
      <c r="T197" s="65">
        <v>0</v>
      </c>
      <c r="U197" s="65">
        <v>0</v>
      </c>
      <c r="V197" s="65">
        <v>0</v>
      </c>
      <c r="W197" s="65">
        <v>0</v>
      </c>
      <c r="X197" s="65">
        <v>0</v>
      </c>
      <c r="Y197" s="40">
        <f>SUM(G197:X197)</f>
        <v>53803.8</v>
      </c>
      <c r="Z197" s="87"/>
    </row>
    <row r="198" spans="1:26" ht="35.1" customHeight="1">
      <c r="A198" s="75" t="s">
        <v>206</v>
      </c>
      <c r="B198" s="85"/>
      <c r="C198" s="36" t="s">
        <v>217</v>
      </c>
      <c r="D198" s="86" t="s">
        <v>81</v>
      </c>
      <c r="E198" s="55" t="s">
        <v>82</v>
      </c>
      <c r="F198" s="65">
        <v>0</v>
      </c>
      <c r="G198" s="65">
        <v>0</v>
      </c>
      <c r="H198" s="65">
        <v>0</v>
      </c>
      <c r="I198" s="65">
        <v>0</v>
      </c>
      <c r="J198" s="65">
        <v>0</v>
      </c>
      <c r="K198" s="65">
        <v>0</v>
      </c>
      <c r="L198" s="65">
        <v>0</v>
      </c>
      <c r="M198" s="65">
        <v>0</v>
      </c>
      <c r="N198" s="65">
        <v>0</v>
      </c>
      <c r="O198" s="65">
        <v>0</v>
      </c>
      <c r="P198" s="65">
        <v>0</v>
      </c>
      <c r="Q198" s="65">
        <v>0</v>
      </c>
      <c r="R198" s="65">
        <v>0</v>
      </c>
      <c r="S198" s="65">
        <v>0</v>
      </c>
      <c r="T198" s="65">
        <v>0</v>
      </c>
      <c r="U198" s="65">
        <v>0</v>
      </c>
      <c r="V198" s="65">
        <v>0</v>
      </c>
      <c r="W198" s="65">
        <v>0</v>
      </c>
      <c r="X198" s="65">
        <v>0</v>
      </c>
      <c r="Y198" s="40">
        <f>SUM(G198:X198)</f>
        <v>0</v>
      </c>
      <c r="Z198" s="87"/>
    </row>
    <row r="199" spans="1:26" ht="35.1" customHeight="1">
      <c r="A199" s="84" t="s">
        <v>208</v>
      </c>
      <c r="B199" s="85"/>
      <c r="C199" s="36" t="s">
        <v>217</v>
      </c>
      <c r="D199" s="86" t="s">
        <v>85</v>
      </c>
      <c r="E199" s="55" t="s">
        <v>86</v>
      </c>
      <c r="F199" s="65">
        <v>0</v>
      </c>
      <c r="G199" s="65">
        <v>0</v>
      </c>
      <c r="H199" s="65">
        <v>0</v>
      </c>
      <c r="I199" s="65">
        <v>0</v>
      </c>
      <c r="J199" s="65">
        <v>0</v>
      </c>
      <c r="K199" s="65">
        <v>0</v>
      </c>
      <c r="L199" s="65">
        <v>0</v>
      </c>
      <c r="M199" s="65">
        <v>0</v>
      </c>
      <c r="N199" s="65">
        <v>1471.5</v>
      </c>
      <c r="O199" s="65">
        <v>0</v>
      </c>
      <c r="P199" s="65">
        <v>0</v>
      </c>
      <c r="Q199" s="65">
        <v>1153</v>
      </c>
      <c r="R199" s="65">
        <v>0</v>
      </c>
      <c r="S199" s="65">
        <v>0</v>
      </c>
      <c r="T199" s="65">
        <v>0</v>
      </c>
      <c r="U199" s="65">
        <v>922</v>
      </c>
      <c r="V199" s="65">
        <v>0</v>
      </c>
      <c r="W199" s="65">
        <v>0</v>
      </c>
      <c r="X199" s="65">
        <v>0</v>
      </c>
      <c r="Y199" s="40">
        <f>SUM(G199:X199)</f>
        <v>3546.5</v>
      </c>
      <c r="Z199" s="87"/>
    </row>
    <row r="200" spans="1:26" ht="35.1" customHeight="1">
      <c r="A200" s="84" t="s">
        <v>209</v>
      </c>
      <c r="B200" s="85"/>
      <c r="C200" s="36" t="s">
        <v>217</v>
      </c>
      <c r="D200" s="86" t="s">
        <v>87</v>
      </c>
      <c r="E200" s="55" t="s">
        <v>88</v>
      </c>
      <c r="F200" s="65">
        <v>0</v>
      </c>
      <c r="G200" s="65">
        <v>0</v>
      </c>
      <c r="H200" s="65">
        <v>0</v>
      </c>
      <c r="I200" s="65">
        <v>0</v>
      </c>
      <c r="J200" s="65">
        <v>0</v>
      </c>
      <c r="K200" s="65">
        <v>0</v>
      </c>
      <c r="L200" s="65">
        <v>0</v>
      </c>
      <c r="M200" s="65">
        <v>0</v>
      </c>
      <c r="N200" s="65">
        <v>0</v>
      </c>
      <c r="O200" s="65">
        <v>0</v>
      </c>
      <c r="P200" s="65">
        <v>0</v>
      </c>
      <c r="Q200" s="65">
        <v>0</v>
      </c>
      <c r="R200" s="65">
        <v>0</v>
      </c>
      <c r="S200" s="65">
        <v>0</v>
      </c>
      <c r="T200" s="65">
        <v>0</v>
      </c>
      <c r="U200" s="65">
        <v>0</v>
      </c>
      <c r="V200" s="65">
        <v>0</v>
      </c>
      <c r="W200" s="65">
        <v>0</v>
      </c>
      <c r="X200" s="65">
        <v>3942</v>
      </c>
      <c r="Y200" s="40">
        <f>SUM(G200:X200)</f>
        <v>3942</v>
      </c>
      <c r="Z200" s="87"/>
    </row>
    <row r="201" spans="1:26" s="77" customFormat="1" ht="35.1" customHeight="1">
      <c r="A201" s="84" t="s">
        <v>206</v>
      </c>
      <c r="B201" s="75"/>
      <c r="C201" s="46" t="s">
        <v>93</v>
      </c>
      <c r="D201" s="82" t="s">
        <v>94</v>
      </c>
      <c r="E201" s="83"/>
      <c r="F201" s="49">
        <f t="shared" ref="F201:Y201" si="87">SUM(F202:F205)</f>
        <v>0</v>
      </c>
      <c r="G201" s="49">
        <f t="shared" si="87"/>
        <v>12547.38</v>
      </c>
      <c r="H201" s="49">
        <f t="shared" si="87"/>
        <v>20126.71</v>
      </c>
      <c r="I201" s="49">
        <f t="shared" si="87"/>
        <v>36086.33</v>
      </c>
      <c r="J201" s="49">
        <f t="shared" si="87"/>
        <v>0</v>
      </c>
      <c r="K201" s="49">
        <f t="shared" si="87"/>
        <v>0</v>
      </c>
      <c r="L201" s="49">
        <f t="shared" si="87"/>
        <v>0</v>
      </c>
      <c r="M201" s="49">
        <f t="shared" si="87"/>
        <v>277352.45999999996</v>
      </c>
      <c r="N201" s="49">
        <f t="shared" si="87"/>
        <v>121.11</v>
      </c>
      <c r="O201" s="49">
        <f t="shared" si="87"/>
        <v>5257</v>
      </c>
      <c r="P201" s="49">
        <f t="shared" si="87"/>
        <v>0</v>
      </c>
      <c r="Q201" s="49">
        <f t="shared" si="87"/>
        <v>48.83</v>
      </c>
      <c r="R201" s="49">
        <f t="shared" si="87"/>
        <v>0</v>
      </c>
      <c r="S201" s="49">
        <f t="shared" si="87"/>
        <v>357.62</v>
      </c>
      <c r="T201" s="49">
        <f t="shared" si="87"/>
        <v>688.88</v>
      </c>
      <c r="U201" s="49">
        <f t="shared" si="87"/>
        <v>0</v>
      </c>
      <c r="V201" s="49">
        <f t="shared" si="87"/>
        <v>4603.53</v>
      </c>
      <c r="W201" s="49">
        <f t="shared" si="87"/>
        <v>0</v>
      </c>
      <c r="X201" s="49">
        <f t="shared" si="87"/>
        <v>0</v>
      </c>
      <c r="Y201" s="49">
        <f t="shared" si="87"/>
        <v>357189.85</v>
      </c>
      <c r="Z201" s="76"/>
    </row>
    <row r="202" spans="1:26" ht="35.1" customHeight="1">
      <c r="A202" s="84" t="s">
        <v>7</v>
      </c>
      <c r="B202" s="85"/>
      <c r="C202" s="36" t="s">
        <v>217</v>
      </c>
      <c r="D202" s="86" t="s">
        <v>97</v>
      </c>
      <c r="E202" s="55" t="s">
        <v>98</v>
      </c>
      <c r="F202" s="65">
        <v>0</v>
      </c>
      <c r="G202" s="65">
        <v>0</v>
      </c>
      <c r="H202" s="65">
        <v>7500</v>
      </c>
      <c r="I202" s="65">
        <v>0</v>
      </c>
      <c r="J202" s="65">
        <v>0</v>
      </c>
      <c r="K202" s="65">
        <v>0</v>
      </c>
      <c r="L202" s="65">
        <v>0</v>
      </c>
      <c r="M202" s="65">
        <v>266875.90999999997</v>
      </c>
      <c r="N202" s="65">
        <v>0</v>
      </c>
      <c r="O202" s="65">
        <v>0</v>
      </c>
      <c r="P202" s="65">
        <v>0</v>
      </c>
      <c r="Q202" s="65">
        <v>0</v>
      </c>
      <c r="R202" s="65">
        <v>0</v>
      </c>
      <c r="S202" s="65">
        <v>0</v>
      </c>
      <c r="T202" s="65">
        <v>0</v>
      </c>
      <c r="U202" s="65">
        <v>0</v>
      </c>
      <c r="V202" s="65">
        <v>0</v>
      </c>
      <c r="W202" s="65">
        <v>0</v>
      </c>
      <c r="X202" s="65">
        <v>0</v>
      </c>
      <c r="Y202" s="40">
        <f>SUM(G202:X202)</f>
        <v>274375.90999999997</v>
      </c>
      <c r="Z202" s="87"/>
    </row>
    <row r="203" spans="1:26" ht="35.1" customHeight="1">
      <c r="A203" s="84" t="s">
        <v>210</v>
      </c>
      <c r="B203" s="85"/>
      <c r="C203" s="36" t="s">
        <v>217</v>
      </c>
      <c r="D203" s="86" t="s">
        <v>100</v>
      </c>
      <c r="E203" s="55" t="s">
        <v>101</v>
      </c>
      <c r="F203" s="65">
        <v>0</v>
      </c>
      <c r="G203" s="65">
        <v>97.48</v>
      </c>
      <c r="H203" s="65">
        <v>0</v>
      </c>
      <c r="I203" s="65">
        <v>35961.19</v>
      </c>
      <c r="J203" s="65">
        <v>0</v>
      </c>
      <c r="K203" s="65">
        <v>0</v>
      </c>
      <c r="L203" s="65">
        <v>0</v>
      </c>
      <c r="M203" s="65">
        <v>0</v>
      </c>
      <c r="N203" s="65">
        <v>0</v>
      </c>
      <c r="O203" s="65">
        <v>0</v>
      </c>
      <c r="P203" s="65">
        <v>0</v>
      </c>
      <c r="Q203" s="65">
        <v>0</v>
      </c>
      <c r="R203" s="65">
        <v>0</v>
      </c>
      <c r="S203" s="65">
        <v>0</v>
      </c>
      <c r="T203" s="65">
        <v>688.88</v>
      </c>
      <c r="U203" s="65">
        <v>0</v>
      </c>
      <c r="V203" s="65">
        <v>0</v>
      </c>
      <c r="W203" s="65">
        <v>0</v>
      </c>
      <c r="X203" s="65">
        <v>0</v>
      </c>
      <c r="Y203" s="40">
        <f>SUM(G203:X203)</f>
        <v>36747.550000000003</v>
      </c>
      <c r="Z203" s="87"/>
    </row>
    <row r="204" spans="1:26" ht="35.1" customHeight="1">
      <c r="A204" s="88"/>
      <c r="B204" s="85"/>
      <c r="C204" s="36" t="s">
        <v>217</v>
      </c>
      <c r="D204" s="86" t="s">
        <v>102</v>
      </c>
      <c r="E204" s="55" t="s">
        <v>103</v>
      </c>
      <c r="F204" s="65">
        <v>0</v>
      </c>
      <c r="G204" s="65">
        <v>0</v>
      </c>
      <c r="H204" s="65">
        <v>12626.71</v>
      </c>
      <c r="I204" s="65">
        <v>0</v>
      </c>
      <c r="J204" s="65">
        <v>0</v>
      </c>
      <c r="K204" s="65">
        <v>0</v>
      </c>
      <c r="L204" s="65">
        <v>0</v>
      </c>
      <c r="M204" s="65">
        <v>0</v>
      </c>
      <c r="N204" s="65">
        <v>0</v>
      </c>
      <c r="O204" s="65">
        <v>3187.46</v>
      </c>
      <c r="P204" s="65">
        <v>0</v>
      </c>
      <c r="Q204" s="65">
        <v>0</v>
      </c>
      <c r="R204" s="65">
        <v>0</v>
      </c>
      <c r="S204" s="65">
        <v>0</v>
      </c>
      <c r="T204" s="65">
        <v>0</v>
      </c>
      <c r="U204" s="65">
        <v>0</v>
      </c>
      <c r="V204" s="65">
        <v>4603.53</v>
      </c>
      <c r="W204" s="65">
        <v>0</v>
      </c>
      <c r="X204" s="65">
        <v>0</v>
      </c>
      <c r="Y204" s="40">
        <f>SUM(G204:X204)</f>
        <v>20417.699999999997</v>
      </c>
      <c r="Z204" s="87"/>
    </row>
    <row r="205" spans="1:26" ht="35.1" customHeight="1">
      <c r="A205" s="88"/>
      <c r="B205" s="85"/>
      <c r="C205" s="36" t="s">
        <v>217</v>
      </c>
      <c r="D205" s="86" t="s">
        <v>104</v>
      </c>
      <c r="E205" s="55" t="s">
        <v>105</v>
      </c>
      <c r="F205" s="65">
        <v>0</v>
      </c>
      <c r="G205" s="65">
        <v>12449.9</v>
      </c>
      <c r="H205" s="65">
        <v>0</v>
      </c>
      <c r="I205" s="65">
        <v>125.14</v>
      </c>
      <c r="J205" s="65">
        <v>0</v>
      </c>
      <c r="K205" s="65">
        <v>0</v>
      </c>
      <c r="L205" s="65">
        <v>0</v>
      </c>
      <c r="M205" s="65">
        <v>10476.549999999999</v>
      </c>
      <c r="N205" s="65">
        <v>121.11</v>
      </c>
      <c r="O205" s="65">
        <v>2069.54</v>
      </c>
      <c r="P205" s="65">
        <v>0</v>
      </c>
      <c r="Q205" s="65">
        <v>48.83</v>
      </c>
      <c r="R205" s="65">
        <v>0</v>
      </c>
      <c r="S205" s="65">
        <v>357.62</v>
      </c>
      <c r="T205" s="65">
        <v>0</v>
      </c>
      <c r="U205" s="65">
        <v>0</v>
      </c>
      <c r="V205" s="65">
        <v>0</v>
      </c>
      <c r="W205" s="65">
        <v>0</v>
      </c>
      <c r="X205" s="65">
        <v>0</v>
      </c>
      <c r="Y205" s="40">
        <f>SUM(G205:X205)</f>
        <v>25648.69</v>
      </c>
      <c r="Z205" s="87"/>
    </row>
    <row r="206" spans="1:26" s="77" customFormat="1" ht="35.1" customHeight="1">
      <c r="A206" s="88"/>
      <c r="B206" s="75"/>
      <c r="C206" s="46" t="s">
        <v>147</v>
      </c>
      <c r="D206" s="82" t="s">
        <v>148</v>
      </c>
      <c r="E206" s="83"/>
      <c r="F206" s="49">
        <f t="shared" ref="F206" si="88">SUM(F207:F214)</f>
        <v>0</v>
      </c>
      <c r="G206" s="49">
        <f>SUM(G207:G214)</f>
        <v>3507.53</v>
      </c>
      <c r="H206" s="49">
        <f t="shared" ref="H206:Y206" si="89">SUM(H207:H214)</f>
        <v>0</v>
      </c>
      <c r="I206" s="49">
        <f t="shared" si="89"/>
        <v>21915.26</v>
      </c>
      <c r="J206" s="49">
        <f t="shared" si="89"/>
        <v>0</v>
      </c>
      <c r="K206" s="49">
        <f t="shared" si="89"/>
        <v>39086.69</v>
      </c>
      <c r="L206" s="49">
        <f t="shared" si="89"/>
        <v>0</v>
      </c>
      <c r="M206" s="49">
        <f t="shared" si="89"/>
        <v>55356.880000000005</v>
      </c>
      <c r="N206" s="49">
        <f t="shared" si="89"/>
        <v>4239.8500000000004</v>
      </c>
      <c r="O206" s="49">
        <f t="shared" si="89"/>
        <v>1382.5</v>
      </c>
      <c r="P206" s="49">
        <f t="shared" si="89"/>
        <v>0</v>
      </c>
      <c r="Q206" s="49">
        <f t="shared" si="89"/>
        <v>120826.2</v>
      </c>
      <c r="R206" s="49">
        <f t="shared" si="89"/>
        <v>31124.54</v>
      </c>
      <c r="S206" s="49">
        <f t="shared" si="89"/>
        <v>0</v>
      </c>
      <c r="T206" s="49">
        <f t="shared" si="89"/>
        <v>0</v>
      </c>
      <c r="U206" s="49">
        <f t="shared" si="89"/>
        <v>0</v>
      </c>
      <c r="V206" s="49">
        <f t="shared" si="89"/>
        <v>0</v>
      </c>
      <c r="W206" s="49">
        <f t="shared" si="89"/>
        <v>0</v>
      </c>
      <c r="X206" s="49">
        <f t="shared" si="89"/>
        <v>3935</v>
      </c>
      <c r="Y206" s="49">
        <f t="shared" si="89"/>
        <v>281374.44999999995</v>
      </c>
      <c r="Z206" s="76"/>
    </row>
    <row r="207" spans="1:26" ht="35.1" customHeight="1">
      <c r="A207" s="75" t="s">
        <v>7</v>
      </c>
      <c r="B207" s="85"/>
      <c r="C207" s="36" t="s">
        <v>217</v>
      </c>
      <c r="D207" s="86" t="s">
        <v>149</v>
      </c>
      <c r="E207" s="55" t="s">
        <v>150</v>
      </c>
      <c r="F207" s="65">
        <v>0</v>
      </c>
      <c r="G207" s="65">
        <v>3507.53</v>
      </c>
      <c r="H207" s="65">
        <v>0</v>
      </c>
      <c r="I207" s="65">
        <v>3411.44</v>
      </c>
      <c r="J207" s="65">
        <v>0</v>
      </c>
      <c r="K207" s="65">
        <v>22981.34</v>
      </c>
      <c r="L207" s="65">
        <v>0</v>
      </c>
      <c r="M207" s="65">
        <v>54508.08</v>
      </c>
      <c r="N207" s="65">
        <v>396.87</v>
      </c>
      <c r="O207" s="65">
        <v>0</v>
      </c>
      <c r="P207" s="65">
        <v>0</v>
      </c>
      <c r="Q207" s="65">
        <v>6719.28</v>
      </c>
      <c r="R207" s="65">
        <v>5772.3</v>
      </c>
      <c r="S207" s="65">
        <v>0</v>
      </c>
      <c r="T207" s="65">
        <v>0</v>
      </c>
      <c r="U207" s="65">
        <v>0</v>
      </c>
      <c r="V207" s="65">
        <v>0</v>
      </c>
      <c r="W207" s="65">
        <v>0</v>
      </c>
      <c r="X207" s="65">
        <v>0</v>
      </c>
      <c r="Y207" s="40">
        <f t="shared" ref="Y207:Y214" si="90">SUM(G207:X207)</f>
        <v>97296.84</v>
      </c>
      <c r="Z207" s="87"/>
    </row>
    <row r="208" spans="1:26" ht="35.1" customHeight="1">
      <c r="A208" s="75" t="s">
        <v>29</v>
      </c>
      <c r="B208" s="85"/>
      <c r="C208" s="36" t="s">
        <v>217</v>
      </c>
      <c r="D208" s="86" t="s">
        <v>151</v>
      </c>
      <c r="E208" s="55" t="s">
        <v>152</v>
      </c>
      <c r="F208" s="65">
        <v>0</v>
      </c>
      <c r="G208" s="65">
        <v>0</v>
      </c>
      <c r="H208" s="65">
        <v>0</v>
      </c>
      <c r="I208" s="65">
        <v>0</v>
      </c>
      <c r="J208" s="65">
        <v>0</v>
      </c>
      <c r="K208" s="65">
        <v>0</v>
      </c>
      <c r="L208" s="65">
        <v>0</v>
      </c>
      <c r="M208" s="65">
        <v>0</v>
      </c>
      <c r="N208" s="65">
        <v>0</v>
      </c>
      <c r="O208" s="65">
        <v>0</v>
      </c>
      <c r="P208" s="65">
        <v>0</v>
      </c>
      <c r="Q208" s="65">
        <v>0</v>
      </c>
      <c r="R208" s="65">
        <v>0</v>
      </c>
      <c r="S208" s="65">
        <v>0</v>
      </c>
      <c r="T208" s="65">
        <v>0</v>
      </c>
      <c r="U208" s="65">
        <v>0</v>
      </c>
      <c r="V208" s="65">
        <v>0</v>
      </c>
      <c r="W208" s="65">
        <v>0</v>
      </c>
      <c r="X208" s="65">
        <v>0</v>
      </c>
      <c r="Y208" s="40">
        <f t="shared" si="90"/>
        <v>0</v>
      </c>
      <c r="Z208" s="87"/>
    </row>
    <row r="209" spans="1:26" ht="35.1" customHeight="1">
      <c r="A209" s="75" t="s">
        <v>205</v>
      </c>
      <c r="B209" s="85"/>
      <c r="C209" s="36" t="s">
        <v>217</v>
      </c>
      <c r="D209" s="86" t="s">
        <v>153</v>
      </c>
      <c r="E209" s="55" t="s">
        <v>154</v>
      </c>
      <c r="F209" s="65">
        <v>0</v>
      </c>
      <c r="G209" s="65">
        <v>0</v>
      </c>
      <c r="H209" s="65">
        <v>0</v>
      </c>
      <c r="I209" s="65">
        <v>0</v>
      </c>
      <c r="J209" s="65">
        <v>0</v>
      </c>
      <c r="K209" s="65">
        <v>16105.35</v>
      </c>
      <c r="L209" s="65">
        <v>0</v>
      </c>
      <c r="M209" s="65">
        <v>0</v>
      </c>
      <c r="N209" s="65">
        <v>847.65</v>
      </c>
      <c r="O209" s="65">
        <v>0</v>
      </c>
      <c r="P209" s="65">
        <v>0</v>
      </c>
      <c r="Q209" s="65">
        <v>0</v>
      </c>
      <c r="R209" s="65">
        <v>0</v>
      </c>
      <c r="S209" s="65">
        <v>0</v>
      </c>
      <c r="T209" s="65">
        <v>0</v>
      </c>
      <c r="U209" s="65">
        <v>0</v>
      </c>
      <c r="V209" s="65">
        <v>0</v>
      </c>
      <c r="W209" s="65">
        <v>0</v>
      </c>
      <c r="X209" s="65">
        <v>0</v>
      </c>
      <c r="Y209" s="40">
        <f t="shared" si="90"/>
        <v>16953</v>
      </c>
      <c r="Z209" s="87"/>
    </row>
    <row r="210" spans="1:26" ht="35.1" customHeight="1">
      <c r="A210" s="75" t="s">
        <v>206</v>
      </c>
      <c r="B210" s="85"/>
      <c r="C210" s="36" t="s">
        <v>217</v>
      </c>
      <c r="D210" s="86" t="s">
        <v>155</v>
      </c>
      <c r="E210" s="55" t="s">
        <v>156</v>
      </c>
      <c r="F210" s="65">
        <v>0</v>
      </c>
      <c r="G210" s="65">
        <v>0</v>
      </c>
      <c r="H210" s="65">
        <v>0</v>
      </c>
      <c r="I210" s="65">
        <v>0</v>
      </c>
      <c r="J210" s="65">
        <v>0</v>
      </c>
      <c r="K210" s="65">
        <v>0</v>
      </c>
      <c r="L210" s="65">
        <v>0</v>
      </c>
      <c r="M210" s="65">
        <v>0</v>
      </c>
      <c r="N210" s="65">
        <v>0</v>
      </c>
      <c r="O210" s="65">
        <v>0</v>
      </c>
      <c r="P210" s="65">
        <v>0</v>
      </c>
      <c r="Q210" s="65">
        <v>0</v>
      </c>
      <c r="R210" s="65">
        <v>1627.5</v>
      </c>
      <c r="S210" s="65">
        <v>0</v>
      </c>
      <c r="T210" s="65">
        <v>0</v>
      </c>
      <c r="U210" s="65">
        <v>0</v>
      </c>
      <c r="V210" s="65">
        <v>0</v>
      </c>
      <c r="W210" s="65">
        <v>0</v>
      </c>
      <c r="X210" s="65">
        <v>0</v>
      </c>
      <c r="Y210" s="40">
        <f t="shared" si="90"/>
        <v>1627.5</v>
      </c>
      <c r="Z210" s="87"/>
    </row>
    <row r="211" spans="1:26" ht="35.1" customHeight="1">
      <c r="A211" s="84" t="s">
        <v>208</v>
      </c>
      <c r="B211" s="85"/>
      <c r="C211" s="36" t="s">
        <v>217</v>
      </c>
      <c r="D211" s="86" t="s">
        <v>159</v>
      </c>
      <c r="E211" s="55" t="s">
        <v>160</v>
      </c>
      <c r="F211" s="65">
        <v>0</v>
      </c>
      <c r="G211" s="65">
        <v>0</v>
      </c>
      <c r="H211" s="65">
        <v>0</v>
      </c>
      <c r="I211" s="65">
        <v>18503.82</v>
      </c>
      <c r="J211" s="65">
        <v>0</v>
      </c>
      <c r="K211" s="65">
        <v>0</v>
      </c>
      <c r="L211" s="65">
        <v>0</v>
      </c>
      <c r="M211" s="65">
        <v>848.8</v>
      </c>
      <c r="N211" s="65">
        <v>190</v>
      </c>
      <c r="O211" s="65">
        <v>1382.5</v>
      </c>
      <c r="P211" s="65">
        <v>0</v>
      </c>
      <c r="Q211" s="65">
        <v>0</v>
      </c>
      <c r="R211" s="65">
        <v>0</v>
      </c>
      <c r="S211" s="65">
        <v>0</v>
      </c>
      <c r="T211" s="65">
        <v>0</v>
      </c>
      <c r="U211" s="65">
        <v>0</v>
      </c>
      <c r="V211" s="65">
        <v>0</v>
      </c>
      <c r="W211" s="65">
        <v>0</v>
      </c>
      <c r="X211" s="65">
        <v>3935</v>
      </c>
      <c r="Y211" s="40">
        <f t="shared" si="90"/>
        <v>24860.12</v>
      </c>
      <c r="Z211" s="87"/>
    </row>
    <row r="212" spans="1:26" ht="35.1" customHeight="1">
      <c r="A212" s="84" t="s">
        <v>209</v>
      </c>
      <c r="B212" s="85"/>
      <c r="C212" s="36" t="s">
        <v>217</v>
      </c>
      <c r="D212" s="86" t="s">
        <v>161</v>
      </c>
      <c r="E212" s="55" t="s">
        <v>162</v>
      </c>
      <c r="F212" s="65">
        <v>0</v>
      </c>
      <c r="G212" s="65">
        <v>0</v>
      </c>
      <c r="H212" s="65">
        <v>0</v>
      </c>
      <c r="I212" s="65">
        <v>0</v>
      </c>
      <c r="J212" s="65">
        <v>0</v>
      </c>
      <c r="K212" s="65">
        <v>0</v>
      </c>
      <c r="L212" s="65">
        <v>0</v>
      </c>
      <c r="M212" s="65">
        <v>0</v>
      </c>
      <c r="N212" s="65">
        <v>0</v>
      </c>
      <c r="O212" s="65">
        <v>0</v>
      </c>
      <c r="P212" s="65">
        <v>0</v>
      </c>
      <c r="Q212" s="65">
        <v>0</v>
      </c>
      <c r="R212" s="65">
        <v>0</v>
      </c>
      <c r="S212" s="65">
        <v>0</v>
      </c>
      <c r="T212" s="65">
        <v>0</v>
      </c>
      <c r="U212" s="65">
        <v>0</v>
      </c>
      <c r="V212" s="65">
        <v>0</v>
      </c>
      <c r="W212" s="65">
        <v>0</v>
      </c>
      <c r="X212" s="65">
        <v>0</v>
      </c>
      <c r="Y212" s="40">
        <f t="shared" si="90"/>
        <v>0</v>
      </c>
      <c r="Z212" s="87"/>
    </row>
    <row r="213" spans="1:26" ht="35.1" customHeight="1">
      <c r="A213" s="84" t="s">
        <v>206</v>
      </c>
      <c r="B213" s="85"/>
      <c r="C213" s="36" t="s">
        <v>217</v>
      </c>
      <c r="D213" s="86" t="s">
        <v>166</v>
      </c>
      <c r="E213" s="55" t="s">
        <v>167</v>
      </c>
      <c r="F213" s="65">
        <v>0</v>
      </c>
      <c r="G213" s="65">
        <v>0</v>
      </c>
      <c r="H213" s="65">
        <v>0</v>
      </c>
      <c r="I213" s="65">
        <v>0</v>
      </c>
      <c r="J213" s="65">
        <v>0</v>
      </c>
      <c r="K213" s="65">
        <v>0</v>
      </c>
      <c r="L213" s="65">
        <v>0</v>
      </c>
      <c r="M213" s="65">
        <v>0</v>
      </c>
      <c r="N213" s="65">
        <v>2805.33</v>
      </c>
      <c r="O213" s="65">
        <v>0</v>
      </c>
      <c r="P213" s="65">
        <v>0</v>
      </c>
      <c r="Q213" s="65">
        <v>114106.92</v>
      </c>
      <c r="R213" s="65">
        <v>23724.74</v>
      </c>
      <c r="S213" s="65">
        <v>0</v>
      </c>
      <c r="T213" s="65">
        <v>0</v>
      </c>
      <c r="U213" s="65">
        <v>0</v>
      </c>
      <c r="V213" s="65">
        <v>0</v>
      </c>
      <c r="W213" s="65">
        <v>0</v>
      </c>
      <c r="X213" s="65">
        <v>0</v>
      </c>
      <c r="Y213" s="40">
        <f t="shared" si="90"/>
        <v>140636.99</v>
      </c>
      <c r="Z213" s="87"/>
    </row>
    <row r="214" spans="1:26" ht="35.1" customHeight="1">
      <c r="A214" s="84" t="s">
        <v>7</v>
      </c>
      <c r="B214" s="85"/>
      <c r="C214" s="36" t="s">
        <v>217</v>
      </c>
      <c r="D214" s="86" t="s">
        <v>168</v>
      </c>
      <c r="E214" s="55" t="s">
        <v>169</v>
      </c>
      <c r="F214" s="65">
        <v>0</v>
      </c>
      <c r="G214" s="65">
        <v>0</v>
      </c>
      <c r="H214" s="65">
        <v>0</v>
      </c>
      <c r="I214" s="65">
        <v>0</v>
      </c>
      <c r="J214" s="65">
        <v>0</v>
      </c>
      <c r="K214" s="65">
        <v>0</v>
      </c>
      <c r="L214" s="65">
        <v>0</v>
      </c>
      <c r="M214" s="65">
        <v>0</v>
      </c>
      <c r="N214" s="65">
        <v>0</v>
      </c>
      <c r="O214" s="65">
        <v>0</v>
      </c>
      <c r="P214" s="65">
        <v>0</v>
      </c>
      <c r="Q214" s="65">
        <v>0</v>
      </c>
      <c r="R214" s="65">
        <v>0</v>
      </c>
      <c r="S214" s="65">
        <v>0</v>
      </c>
      <c r="T214" s="65">
        <v>0</v>
      </c>
      <c r="U214" s="65">
        <v>0</v>
      </c>
      <c r="V214" s="65">
        <v>0</v>
      </c>
      <c r="W214" s="65">
        <v>0</v>
      </c>
      <c r="X214" s="65">
        <v>0</v>
      </c>
      <c r="Y214" s="40">
        <f t="shared" si="90"/>
        <v>0</v>
      </c>
      <c r="Z214" s="87"/>
    </row>
    <row r="215" spans="1:26" s="77" customFormat="1" ht="35.1" customHeight="1">
      <c r="A215" s="84" t="s">
        <v>210</v>
      </c>
      <c r="B215" s="75"/>
      <c r="C215" s="78" t="s">
        <v>218</v>
      </c>
      <c r="D215" s="79"/>
      <c r="E215" s="80"/>
      <c r="F215" s="89">
        <f t="shared" ref="F215:Y215" si="91">+F216+F219</f>
        <v>0</v>
      </c>
      <c r="G215" s="89">
        <f t="shared" si="91"/>
        <v>0</v>
      </c>
      <c r="H215" s="89">
        <f t="shared" si="91"/>
        <v>130887.61</v>
      </c>
      <c r="I215" s="89">
        <f t="shared" si="91"/>
        <v>1362428.67</v>
      </c>
      <c r="J215" s="89">
        <f t="shared" si="91"/>
        <v>0</v>
      </c>
      <c r="K215" s="89">
        <f t="shared" si="91"/>
        <v>152510.14000000001</v>
      </c>
      <c r="L215" s="89">
        <f t="shared" si="91"/>
        <v>0</v>
      </c>
      <c r="M215" s="89">
        <f t="shared" si="91"/>
        <v>0</v>
      </c>
      <c r="N215" s="89">
        <f t="shared" si="91"/>
        <v>29350.39</v>
      </c>
      <c r="O215" s="89">
        <f t="shared" si="91"/>
        <v>2712.06</v>
      </c>
      <c r="P215" s="89">
        <f t="shared" si="91"/>
        <v>0</v>
      </c>
      <c r="Q215" s="89">
        <f t="shared" si="91"/>
        <v>0</v>
      </c>
      <c r="R215" s="89">
        <f t="shared" si="91"/>
        <v>65354.31</v>
      </c>
      <c r="S215" s="89">
        <f t="shared" si="91"/>
        <v>86663.66</v>
      </c>
      <c r="T215" s="89">
        <f t="shared" si="91"/>
        <v>0</v>
      </c>
      <c r="U215" s="89">
        <f t="shared" si="91"/>
        <v>0</v>
      </c>
      <c r="V215" s="89">
        <f t="shared" si="91"/>
        <v>25754.36</v>
      </c>
      <c r="W215" s="89">
        <f t="shared" si="91"/>
        <v>0</v>
      </c>
      <c r="X215" s="89">
        <f t="shared" si="91"/>
        <v>0</v>
      </c>
      <c r="Y215" s="81">
        <f t="shared" si="91"/>
        <v>1855661.2000000002</v>
      </c>
      <c r="Z215" s="76"/>
    </row>
    <row r="216" spans="1:26" s="77" customFormat="1" ht="35.1" customHeight="1">
      <c r="A216" s="88"/>
      <c r="B216" s="75"/>
      <c r="C216" s="46" t="s">
        <v>93</v>
      </c>
      <c r="D216" s="82" t="s">
        <v>94</v>
      </c>
      <c r="E216" s="83"/>
      <c r="F216" s="49">
        <f t="shared" ref="F216:Y216" si="92">SUM(F217:F218)</f>
        <v>0</v>
      </c>
      <c r="G216" s="49">
        <f t="shared" si="92"/>
        <v>0</v>
      </c>
      <c r="H216" s="49">
        <f t="shared" si="92"/>
        <v>0</v>
      </c>
      <c r="I216" s="49">
        <f t="shared" si="92"/>
        <v>0</v>
      </c>
      <c r="J216" s="49">
        <f t="shared" si="92"/>
        <v>0</v>
      </c>
      <c r="K216" s="49">
        <f t="shared" si="92"/>
        <v>0</v>
      </c>
      <c r="L216" s="49">
        <f t="shared" si="92"/>
        <v>0</v>
      </c>
      <c r="M216" s="49">
        <f t="shared" si="92"/>
        <v>0</v>
      </c>
      <c r="N216" s="49">
        <f t="shared" si="92"/>
        <v>29249.11</v>
      </c>
      <c r="O216" s="49">
        <f t="shared" si="92"/>
        <v>2712.06</v>
      </c>
      <c r="P216" s="49">
        <f t="shared" si="92"/>
        <v>0</v>
      </c>
      <c r="Q216" s="49">
        <f t="shared" si="92"/>
        <v>0</v>
      </c>
      <c r="R216" s="49">
        <f t="shared" si="92"/>
        <v>0</v>
      </c>
      <c r="S216" s="49">
        <f t="shared" si="92"/>
        <v>0</v>
      </c>
      <c r="T216" s="49">
        <f t="shared" si="92"/>
        <v>0</v>
      </c>
      <c r="U216" s="49">
        <f t="shared" si="92"/>
        <v>0</v>
      </c>
      <c r="V216" s="49">
        <f t="shared" si="92"/>
        <v>25754.36</v>
      </c>
      <c r="W216" s="49">
        <f t="shared" si="92"/>
        <v>0</v>
      </c>
      <c r="X216" s="49">
        <f t="shared" si="92"/>
        <v>0</v>
      </c>
      <c r="Y216" s="49">
        <f t="shared" si="92"/>
        <v>57715.53</v>
      </c>
      <c r="Z216" s="76"/>
    </row>
    <row r="217" spans="1:26" ht="35.1" customHeight="1">
      <c r="A217" s="88"/>
      <c r="B217" s="85"/>
      <c r="C217" s="36" t="s">
        <v>219</v>
      </c>
      <c r="D217" s="86" t="s">
        <v>100</v>
      </c>
      <c r="E217" s="55" t="s">
        <v>101</v>
      </c>
      <c r="F217" s="65">
        <v>0</v>
      </c>
      <c r="G217" s="65">
        <v>0</v>
      </c>
      <c r="H217" s="65">
        <v>0</v>
      </c>
      <c r="I217" s="65">
        <v>0</v>
      </c>
      <c r="J217" s="65">
        <v>0</v>
      </c>
      <c r="K217" s="65">
        <v>0</v>
      </c>
      <c r="L217" s="65">
        <v>0</v>
      </c>
      <c r="M217" s="65">
        <v>0</v>
      </c>
      <c r="N217" s="65">
        <v>0</v>
      </c>
      <c r="O217" s="65">
        <v>0</v>
      </c>
      <c r="P217" s="65">
        <v>0</v>
      </c>
      <c r="Q217" s="65">
        <v>0</v>
      </c>
      <c r="R217" s="65">
        <v>0</v>
      </c>
      <c r="S217" s="65">
        <v>0</v>
      </c>
      <c r="T217" s="65">
        <v>0</v>
      </c>
      <c r="U217" s="65">
        <v>0</v>
      </c>
      <c r="V217" s="65">
        <v>0</v>
      </c>
      <c r="W217" s="65">
        <v>0</v>
      </c>
      <c r="X217" s="65">
        <v>0</v>
      </c>
      <c r="Y217" s="40">
        <f>SUM(G217:X217)</f>
        <v>0</v>
      </c>
      <c r="Z217" s="87"/>
    </row>
    <row r="218" spans="1:26" ht="35.1" customHeight="1">
      <c r="A218" s="75"/>
      <c r="B218" s="85"/>
      <c r="C218" s="36" t="s">
        <v>219</v>
      </c>
      <c r="D218" s="86" t="s">
        <v>102</v>
      </c>
      <c r="E218" s="55" t="s">
        <v>103</v>
      </c>
      <c r="F218" s="65">
        <v>0</v>
      </c>
      <c r="G218" s="65">
        <v>0</v>
      </c>
      <c r="H218" s="65">
        <v>0</v>
      </c>
      <c r="I218" s="65">
        <v>0</v>
      </c>
      <c r="J218" s="65">
        <v>0</v>
      </c>
      <c r="K218" s="65">
        <v>0</v>
      </c>
      <c r="L218" s="65">
        <v>0</v>
      </c>
      <c r="M218" s="65">
        <v>0</v>
      </c>
      <c r="N218" s="65">
        <v>29249.11</v>
      </c>
      <c r="O218" s="65">
        <v>2712.06</v>
      </c>
      <c r="P218" s="65">
        <v>0</v>
      </c>
      <c r="Q218" s="65">
        <v>0</v>
      </c>
      <c r="R218" s="65">
        <v>0</v>
      </c>
      <c r="S218" s="65">
        <v>0</v>
      </c>
      <c r="T218" s="65">
        <v>0</v>
      </c>
      <c r="U218" s="65">
        <v>0</v>
      </c>
      <c r="V218" s="65">
        <v>25754.36</v>
      </c>
      <c r="W218" s="65">
        <v>0</v>
      </c>
      <c r="X218" s="65">
        <v>0</v>
      </c>
      <c r="Y218" s="40">
        <f>SUM(G218:X218)</f>
        <v>57715.53</v>
      </c>
      <c r="Z218" s="87"/>
    </row>
    <row r="219" spans="1:26" s="77" customFormat="1" ht="35.1" customHeight="1">
      <c r="A219" s="75"/>
      <c r="B219" s="75"/>
      <c r="C219" s="46" t="s">
        <v>147</v>
      </c>
      <c r="D219" s="82" t="s">
        <v>148</v>
      </c>
      <c r="E219" s="83"/>
      <c r="F219" s="49">
        <f t="shared" ref="F219:Y219" si="93">SUM(F220:F223)</f>
        <v>0</v>
      </c>
      <c r="G219" s="49">
        <f t="shared" si="93"/>
        <v>0</v>
      </c>
      <c r="H219" s="49">
        <f t="shared" si="93"/>
        <v>130887.61</v>
      </c>
      <c r="I219" s="49">
        <f t="shared" si="93"/>
        <v>1362428.67</v>
      </c>
      <c r="J219" s="49">
        <f t="shared" si="93"/>
        <v>0</v>
      </c>
      <c r="K219" s="49">
        <f t="shared" si="93"/>
        <v>152510.14000000001</v>
      </c>
      <c r="L219" s="49">
        <f t="shared" si="93"/>
        <v>0</v>
      </c>
      <c r="M219" s="49">
        <f t="shared" si="93"/>
        <v>0</v>
      </c>
      <c r="N219" s="49">
        <f t="shared" si="93"/>
        <v>101.28</v>
      </c>
      <c r="O219" s="49">
        <f t="shared" si="93"/>
        <v>0</v>
      </c>
      <c r="P219" s="49">
        <f t="shared" si="93"/>
        <v>0</v>
      </c>
      <c r="Q219" s="49">
        <f t="shared" si="93"/>
        <v>0</v>
      </c>
      <c r="R219" s="49">
        <f t="shared" si="93"/>
        <v>65354.31</v>
      </c>
      <c r="S219" s="49">
        <f t="shared" si="93"/>
        <v>86663.66</v>
      </c>
      <c r="T219" s="49">
        <f t="shared" si="93"/>
        <v>0</v>
      </c>
      <c r="U219" s="49">
        <f t="shared" si="93"/>
        <v>0</v>
      </c>
      <c r="V219" s="49">
        <f t="shared" si="93"/>
        <v>0</v>
      </c>
      <c r="W219" s="49">
        <f t="shared" si="93"/>
        <v>0</v>
      </c>
      <c r="X219" s="49">
        <f t="shared" si="93"/>
        <v>0</v>
      </c>
      <c r="Y219" s="49">
        <f t="shared" si="93"/>
        <v>1797945.6700000002</v>
      </c>
      <c r="Z219" s="76"/>
    </row>
    <row r="220" spans="1:26" ht="35.1" customHeight="1">
      <c r="A220" s="75" t="s">
        <v>7</v>
      </c>
      <c r="B220" s="85"/>
      <c r="C220" s="36" t="s">
        <v>219</v>
      </c>
      <c r="D220" s="86" t="s">
        <v>170</v>
      </c>
      <c r="E220" s="55" t="s">
        <v>171</v>
      </c>
      <c r="F220" s="65">
        <f>414800-414800</f>
        <v>0</v>
      </c>
      <c r="G220" s="65">
        <v>0</v>
      </c>
      <c r="H220" s="65">
        <v>0</v>
      </c>
      <c r="I220" s="65">
        <v>0</v>
      </c>
      <c r="J220" s="65">
        <v>0</v>
      </c>
      <c r="K220" s="65">
        <v>0</v>
      </c>
      <c r="L220" s="65">
        <v>0</v>
      </c>
      <c r="M220" s="65">
        <v>0</v>
      </c>
      <c r="N220" s="65">
        <v>0</v>
      </c>
      <c r="O220" s="65">
        <v>0</v>
      </c>
      <c r="P220" s="65">
        <v>0</v>
      </c>
      <c r="Q220" s="65">
        <v>0</v>
      </c>
      <c r="R220" s="65">
        <v>0</v>
      </c>
      <c r="S220" s="65">
        <v>0</v>
      </c>
      <c r="T220" s="65">
        <v>0</v>
      </c>
      <c r="U220" s="65">
        <v>0</v>
      </c>
      <c r="V220" s="65">
        <v>0</v>
      </c>
      <c r="W220" s="65">
        <v>0</v>
      </c>
      <c r="X220" s="65">
        <v>0</v>
      </c>
      <c r="Y220" s="40">
        <f>SUM(G220:X220)</f>
        <v>0</v>
      </c>
      <c r="Z220" s="87"/>
    </row>
    <row r="221" spans="1:26" ht="35.1" customHeight="1">
      <c r="A221" s="75" t="s">
        <v>29</v>
      </c>
      <c r="B221" s="85"/>
      <c r="C221" s="36" t="s">
        <v>219</v>
      </c>
      <c r="D221" s="86" t="s">
        <v>172</v>
      </c>
      <c r="E221" s="55" t="s">
        <v>173</v>
      </c>
      <c r="F221" s="65">
        <v>0</v>
      </c>
      <c r="G221" s="65">
        <v>0</v>
      </c>
      <c r="H221" s="65">
        <v>0</v>
      </c>
      <c r="I221" s="65">
        <v>0</v>
      </c>
      <c r="J221" s="65">
        <v>0</v>
      </c>
      <c r="K221" s="65">
        <v>0</v>
      </c>
      <c r="L221" s="65">
        <v>0</v>
      </c>
      <c r="M221" s="65">
        <v>0</v>
      </c>
      <c r="N221" s="65">
        <v>0</v>
      </c>
      <c r="O221" s="65">
        <v>0</v>
      </c>
      <c r="P221" s="65">
        <v>0</v>
      </c>
      <c r="Q221" s="65">
        <v>0</v>
      </c>
      <c r="R221" s="65">
        <v>0</v>
      </c>
      <c r="S221" s="65">
        <v>0</v>
      </c>
      <c r="T221" s="65">
        <v>0</v>
      </c>
      <c r="U221" s="65">
        <v>0</v>
      </c>
      <c r="V221" s="65">
        <v>0</v>
      </c>
      <c r="W221" s="65">
        <v>0</v>
      </c>
      <c r="X221" s="65">
        <v>0</v>
      </c>
      <c r="Y221" s="40">
        <f>SUM(G221:X221)</f>
        <v>0</v>
      </c>
      <c r="Z221" s="87"/>
    </row>
    <row r="222" spans="1:26" ht="35.1" customHeight="1">
      <c r="A222" s="75" t="s">
        <v>205</v>
      </c>
      <c r="B222" s="85"/>
      <c r="C222" s="36" t="s">
        <v>219</v>
      </c>
      <c r="D222" s="86" t="s">
        <v>164</v>
      </c>
      <c r="E222" s="55" t="s">
        <v>220</v>
      </c>
      <c r="F222" s="65">
        <v>0</v>
      </c>
      <c r="G222" s="65">
        <v>0</v>
      </c>
      <c r="H222" s="65">
        <v>1924.32</v>
      </c>
      <c r="I222" s="65">
        <v>0</v>
      </c>
      <c r="J222" s="65">
        <v>0</v>
      </c>
      <c r="K222" s="65">
        <v>0</v>
      </c>
      <c r="L222" s="65">
        <v>0</v>
      </c>
      <c r="M222" s="65">
        <v>0</v>
      </c>
      <c r="N222" s="65">
        <v>101.28</v>
      </c>
      <c r="O222" s="65">
        <v>0</v>
      </c>
      <c r="P222" s="65">
        <v>0</v>
      </c>
      <c r="Q222" s="65">
        <v>0</v>
      </c>
      <c r="R222" s="65">
        <v>0</v>
      </c>
      <c r="S222" s="65">
        <v>86663.66</v>
      </c>
      <c r="T222" s="65">
        <v>0</v>
      </c>
      <c r="U222" s="65">
        <v>0</v>
      </c>
      <c r="V222" s="65">
        <v>0</v>
      </c>
      <c r="W222" s="65">
        <v>0</v>
      </c>
      <c r="X222" s="65">
        <v>0</v>
      </c>
      <c r="Y222" s="40">
        <f>SUM(G222:X222)</f>
        <v>88689.260000000009</v>
      </c>
      <c r="Z222" s="87"/>
    </row>
    <row r="223" spans="1:26" ht="35.1" customHeight="1">
      <c r="A223" s="75" t="s">
        <v>206</v>
      </c>
      <c r="B223" s="85"/>
      <c r="C223" s="36" t="s">
        <v>219</v>
      </c>
      <c r="D223" s="86" t="s">
        <v>174</v>
      </c>
      <c r="E223" s="55" t="s">
        <v>175</v>
      </c>
      <c r="F223" s="65">
        <v>0</v>
      </c>
      <c r="G223" s="65">
        <v>0</v>
      </c>
      <c r="H223" s="65">
        <v>128963.29</v>
      </c>
      <c r="I223" s="65">
        <v>1362428.67</v>
      </c>
      <c r="J223" s="65">
        <v>0</v>
      </c>
      <c r="K223" s="65">
        <v>152510.14000000001</v>
      </c>
      <c r="L223" s="65">
        <v>0</v>
      </c>
      <c r="M223" s="65">
        <v>0</v>
      </c>
      <c r="N223" s="65">
        <v>0</v>
      </c>
      <c r="O223" s="65">
        <v>0</v>
      </c>
      <c r="P223" s="65">
        <v>0</v>
      </c>
      <c r="Q223" s="65">
        <v>0</v>
      </c>
      <c r="R223" s="65">
        <v>65354.31</v>
      </c>
      <c r="S223" s="65">
        <v>0</v>
      </c>
      <c r="T223" s="65">
        <v>0</v>
      </c>
      <c r="U223" s="65">
        <v>0</v>
      </c>
      <c r="V223" s="65">
        <v>0</v>
      </c>
      <c r="W223" s="65">
        <v>0</v>
      </c>
      <c r="X223" s="65">
        <v>0</v>
      </c>
      <c r="Y223" s="40">
        <f>SUM(G223:X223)</f>
        <v>1709256.4100000001</v>
      </c>
      <c r="Z223" s="87"/>
    </row>
    <row r="224" spans="1:26" s="77" customFormat="1" ht="35.1" customHeight="1">
      <c r="A224" s="84" t="s">
        <v>208</v>
      </c>
      <c r="B224" s="75"/>
      <c r="C224" s="78" t="s">
        <v>221</v>
      </c>
      <c r="D224" s="79"/>
      <c r="E224" s="80"/>
      <c r="F224" s="81">
        <f t="shared" ref="F224" si="94">+F225+F228</f>
        <v>0</v>
      </c>
      <c r="G224" s="81">
        <f>+G225+G228+G232</f>
        <v>0</v>
      </c>
      <c r="H224" s="81">
        <f t="shared" ref="H224:Y224" si="95">+H225+H228+H232</f>
        <v>0</v>
      </c>
      <c r="I224" s="81">
        <f t="shared" si="95"/>
        <v>0</v>
      </c>
      <c r="J224" s="81">
        <f t="shared" si="95"/>
        <v>0</v>
      </c>
      <c r="K224" s="81">
        <f t="shared" si="95"/>
        <v>0</v>
      </c>
      <c r="L224" s="81">
        <f t="shared" si="95"/>
        <v>0</v>
      </c>
      <c r="M224" s="81">
        <f t="shared" si="95"/>
        <v>0</v>
      </c>
      <c r="N224" s="81">
        <f t="shared" si="95"/>
        <v>104.13</v>
      </c>
      <c r="O224" s="81">
        <f t="shared" si="95"/>
        <v>190907.88</v>
      </c>
      <c r="P224" s="81">
        <f t="shared" si="95"/>
        <v>0</v>
      </c>
      <c r="Q224" s="81">
        <f t="shared" si="95"/>
        <v>0</v>
      </c>
      <c r="R224" s="81">
        <f t="shared" si="95"/>
        <v>0</v>
      </c>
      <c r="S224" s="81">
        <f t="shared" si="95"/>
        <v>0</v>
      </c>
      <c r="T224" s="81">
        <f t="shared" si="95"/>
        <v>0</v>
      </c>
      <c r="U224" s="81">
        <f t="shared" si="95"/>
        <v>0</v>
      </c>
      <c r="V224" s="81">
        <f t="shared" si="95"/>
        <v>6670</v>
      </c>
      <c r="W224" s="81">
        <f t="shared" si="95"/>
        <v>0</v>
      </c>
      <c r="X224" s="81">
        <f t="shared" si="95"/>
        <v>0</v>
      </c>
      <c r="Y224" s="81">
        <f t="shared" si="95"/>
        <v>197682.01</v>
      </c>
      <c r="Z224" s="76"/>
    </row>
    <row r="225" spans="1:26" s="77" customFormat="1" ht="35.1" customHeight="1">
      <c r="A225" s="84" t="s">
        <v>209</v>
      </c>
      <c r="B225" s="75"/>
      <c r="C225" s="46" t="s">
        <v>93</v>
      </c>
      <c r="D225" s="82" t="s">
        <v>94</v>
      </c>
      <c r="E225" s="83"/>
      <c r="F225" s="49">
        <f t="shared" ref="F225" si="96">+F226</f>
        <v>0</v>
      </c>
      <c r="G225" s="49">
        <f>SUM(G226:G227)</f>
        <v>0</v>
      </c>
      <c r="H225" s="49">
        <f t="shared" ref="H225:Y225" si="97">SUM(H226:H227)</f>
        <v>0</v>
      </c>
      <c r="I225" s="49">
        <f t="shared" si="97"/>
        <v>0</v>
      </c>
      <c r="J225" s="49">
        <f t="shared" si="97"/>
        <v>0</v>
      </c>
      <c r="K225" s="49">
        <f t="shared" si="97"/>
        <v>0</v>
      </c>
      <c r="L225" s="49">
        <f t="shared" si="97"/>
        <v>0</v>
      </c>
      <c r="M225" s="49">
        <f t="shared" si="97"/>
        <v>0</v>
      </c>
      <c r="N225" s="49">
        <f t="shared" si="97"/>
        <v>104.13</v>
      </c>
      <c r="O225" s="49">
        <f t="shared" si="97"/>
        <v>190907.88</v>
      </c>
      <c r="P225" s="49">
        <f t="shared" si="97"/>
        <v>0</v>
      </c>
      <c r="Q225" s="49">
        <f t="shared" si="97"/>
        <v>0</v>
      </c>
      <c r="R225" s="49">
        <f t="shared" si="97"/>
        <v>0</v>
      </c>
      <c r="S225" s="49">
        <f t="shared" si="97"/>
        <v>0</v>
      </c>
      <c r="T225" s="49">
        <f t="shared" si="97"/>
        <v>0</v>
      </c>
      <c r="U225" s="49">
        <f t="shared" si="97"/>
        <v>0</v>
      </c>
      <c r="V225" s="49">
        <f t="shared" si="97"/>
        <v>0</v>
      </c>
      <c r="W225" s="49">
        <f t="shared" si="97"/>
        <v>0</v>
      </c>
      <c r="X225" s="49">
        <f t="shared" si="97"/>
        <v>0</v>
      </c>
      <c r="Y225" s="49">
        <f t="shared" si="97"/>
        <v>191012.01</v>
      </c>
      <c r="Z225" s="76"/>
    </row>
    <row r="226" spans="1:26" ht="35.1" customHeight="1">
      <c r="A226" s="84" t="s">
        <v>206</v>
      </c>
      <c r="B226" s="85"/>
      <c r="C226" s="36" t="s">
        <v>178</v>
      </c>
      <c r="D226" s="86" t="s">
        <v>129</v>
      </c>
      <c r="E226" s="55" t="s">
        <v>130</v>
      </c>
      <c r="F226" s="65">
        <v>0</v>
      </c>
      <c r="G226" s="65">
        <v>0</v>
      </c>
      <c r="H226" s="65">
        <v>0</v>
      </c>
      <c r="I226" s="65">
        <v>0</v>
      </c>
      <c r="J226" s="65">
        <v>0</v>
      </c>
      <c r="K226" s="65">
        <v>0</v>
      </c>
      <c r="L226" s="65">
        <v>0</v>
      </c>
      <c r="M226" s="65">
        <v>0</v>
      </c>
      <c r="N226" s="65">
        <v>0</v>
      </c>
      <c r="O226" s="65">
        <v>190907.88</v>
      </c>
      <c r="P226" s="65">
        <v>0</v>
      </c>
      <c r="Q226" s="65">
        <v>0</v>
      </c>
      <c r="R226" s="65">
        <v>0</v>
      </c>
      <c r="S226" s="65">
        <v>0</v>
      </c>
      <c r="T226" s="65">
        <v>0</v>
      </c>
      <c r="U226" s="65">
        <v>0</v>
      </c>
      <c r="V226" s="65">
        <v>0</v>
      </c>
      <c r="W226" s="65">
        <v>0</v>
      </c>
      <c r="X226" s="65">
        <v>0</v>
      </c>
      <c r="Y226" s="40">
        <f>SUM(G226:X226)</f>
        <v>190907.88</v>
      </c>
      <c r="Z226" s="87"/>
    </row>
    <row r="227" spans="1:26" ht="35.1" customHeight="1">
      <c r="A227" s="84" t="s">
        <v>7</v>
      </c>
      <c r="B227" s="85"/>
      <c r="C227" s="36" t="s">
        <v>178</v>
      </c>
      <c r="D227" s="86" t="s">
        <v>131</v>
      </c>
      <c r="E227" s="55" t="s">
        <v>132</v>
      </c>
      <c r="F227" s="65"/>
      <c r="G227" s="65">
        <v>0</v>
      </c>
      <c r="H227" s="65">
        <v>0</v>
      </c>
      <c r="I227" s="65">
        <v>0</v>
      </c>
      <c r="J227" s="65">
        <v>0</v>
      </c>
      <c r="K227" s="65">
        <v>0</v>
      </c>
      <c r="L227" s="65">
        <v>0</v>
      </c>
      <c r="M227" s="65">
        <v>0</v>
      </c>
      <c r="N227" s="65">
        <v>104.13</v>
      </c>
      <c r="O227" s="65">
        <v>0</v>
      </c>
      <c r="P227" s="65">
        <v>0</v>
      </c>
      <c r="Q227" s="65">
        <v>0</v>
      </c>
      <c r="R227" s="65">
        <v>0</v>
      </c>
      <c r="S227" s="65">
        <v>0</v>
      </c>
      <c r="T227" s="65">
        <v>0</v>
      </c>
      <c r="U227" s="65">
        <v>0</v>
      </c>
      <c r="V227" s="65">
        <v>0</v>
      </c>
      <c r="W227" s="65">
        <v>0</v>
      </c>
      <c r="X227" s="65">
        <v>0</v>
      </c>
      <c r="Y227" s="40">
        <f>SUM(G227:X227)</f>
        <v>104.13</v>
      </c>
      <c r="Z227" s="87"/>
    </row>
    <row r="228" spans="1:26" s="77" customFormat="1" ht="35.1" customHeight="1">
      <c r="A228" s="84" t="s">
        <v>210</v>
      </c>
      <c r="B228" s="75"/>
      <c r="C228" s="46" t="s">
        <v>176</v>
      </c>
      <c r="D228" s="82" t="s">
        <v>177</v>
      </c>
      <c r="E228" s="83"/>
      <c r="F228" s="49">
        <f t="shared" ref="F228" si="98">SUM(F229:F233)</f>
        <v>0</v>
      </c>
      <c r="G228" s="49">
        <f>SUM(G229:G231)</f>
        <v>0</v>
      </c>
      <c r="H228" s="49">
        <f t="shared" ref="H228:Y228" si="99">SUM(H229:H231)</f>
        <v>0</v>
      </c>
      <c r="I228" s="49">
        <f t="shared" si="99"/>
        <v>0</v>
      </c>
      <c r="J228" s="49">
        <f t="shared" si="99"/>
        <v>0</v>
      </c>
      <c r="K228" s="49">
        <f t="shared" si="99"/>
        <v>0</v>
      </c>
      <c r="L228" s="49">
        <f t="shared" si="99"/>
        <v>0</v>
      </c>
      <c r="M228" s="49">
        <f t="shared" si="99"/>
        <v>0</v>
      </c>
      <c r="N228" s="49">
        <f>SUM(N229:N231)</f>
        <v>0</v>
      </c>
      <c r="O228" s="49">
        <f t="shared" si="99"/>
        <v>0</v>
      </c>
      <c r="P228" s="49">
        <f t="shared" si="99"/>
        <v>0</v>
      </c>
      <c r="Q228" s="49">
        <f t="shared" si="99"/>
        <v>0</v>
      </c>
      <c r="R228" s="49">
        <f t="shared" si="99"/>
        <v>0</v>
      </c>
      <c r="S228" s="49">
        <f t="shared" si="99"/>
        <v>0</v>
      </c>
      <c r="T228" s="49">
        <f t="shared" si="99"/>
        <v>0</v>
      </c>
      <c r="U228" s="49">
        <f t="shared" si="99"/>
        <v>0</v>
      </c>
      <c r="V228" s="49">
        <f t="shared" si="99"/>
        <v>6670</v>
      </c>
      <c r="W228" s="49">
        <f t="shared" si="99"/>
        <v>0</v>
      </c>
      <c r="X228" s="49">
        <f t="shared" si="99"/>
        <v>0</v>
      </c>
      <c r="Y228" s="49">
        <f t="shared" si="99"/>
        <v>6670</v>
      </c>
      <c r="Z228" s="76"/>
    </row>
    <row r="229" spans="1:26" ht="35.1" customHeight="1">
      <c r="A229" s="88"/>
      <c r="B229" s="85"/>
      <c r="C229" s="36" t="s">
        <v>178</v>
      </c>
      <c r="D229" s="86" t="s">
        <v>179</v>
      </c>
      <c r="E229" s="55" t="s">
        <v>180</v>
      </c>
      <c r="F229" s="65">
        <v>0</v>
      </c>
      <c r="G229" s="65">
        <v>0</v>
      </c>
      <c r="H229" s="65">
        <v>0</v>
      </c>
      <c r="I229" s="65">
        <v>0</v>
      </c>
      <c r="J229" s="65">
        <v>0</v>
      </c>
      <c r="K229" s="65">
        <v>0</v>
      </c>
      <c r="L229" s="65">
        <v>0</v>
      </c>
      <c r="M229" s="65">
        <v>0</v>
      </c>
      <c r="N229" s="65">
        <v>0</v>
      </c>
      <c r="O229" s="65">
        <v>0</v>
      </c>
      <c r="P229" s="65">
        <v>0</v>
      </c>
      <c r="Q229" s="65">
        <v>0</v>
      </c>
      <c r="R229" s="65">
        <v>0</v>
      </c>
      <c r="S229" s="65">
        <v>0</v>
      </c>
      <c r="T229" s="65">
        <v>0</v>
      </c>
      <c r="U229" s="65">
        <v>0</v>
      </c>
      <c r="V229" s="65">
        <v>0</v>
      </c>
      <c r="W229" s="65">
        <v>0</v>
      </c>
      <c r="X229" s="65">
        <v>0</v>
      </c>
      <c r="Y229" s="40">
        <f>SUM(G229:X229)</f>
        <v>0</v>
      </c>
      <c r="Z229" s="87"/>
    </row>
    <row r="230" spans="1:26" ht="35.1" customHeight="1">
      <c r="A230" s="88"/>
      <c r="B230" s="85"/>
      <c r="C230" s="36" t="s">
        <v>178</v>
      </c>
      <c r="D230" s="86" t="s">
        <v>181</v>
      </c>
      <c r="E230" s="55" t="s">
        <v>182</v>
      </c>
      <c r="F230" s="65">
        <v>0</v>
      </c>
      <c r="G230" s="65">
        <v>0</v>
      </c>
      <c r="H230" s="65">
        <v>0</v>
      </c>
      <c r="I230" s="65">
        <v>0</v>
      </c>
      <c r="J230" s="65">
        <v>0</v>
      </c>
      <c r="K230" s="65">
        <v>0</v>
      </c>
      <c r="L230" s="65">
        <v>0</v>
      </c>
      <c r="M230" s="65">
        <v>0</v>
      </c>
      <c r="N230" s="65">
        <v>0</v>
      </c>
      <c r="O230" s="65">
        <v>0</v>
      </c>
      <c r="P230" s="65">
        <v>0</v>
      </c>
      <c r="Q230" s="65">
        <v>0</v>
      </c>
      <c r="R230" s="65">
        <v>0</v>
      </c>
      <c r="S230" s="65">
        <v>0</v>
      </c>
      <c r="T230" s="65">
        <v>0</v>
      </c>
      <c r="U230" s="65">
        <v>0</v>
      </c>
      <c r="V230" s="65">
        <v>6670</v>
      </c>
      <c r="W230" s="65">
        <v>0</v>
      </c>
      <c r="X230" s="65">
        <v>0</v>
      </c>
      <c r="Y230" s="40">
        <f>SUM(G230:X230)</f>
        <v>6670</v>
      </c>
      <c r="Z230" s="87"/>
    </row>
    <row r="231" spans="1:26" ht="35.1" customHeight="1">
      <c r="A231" s="88"/>
      <c r="B231" s="85"/>
      <c r="C231" s="36" t="s">
        <v>178</v>
      </c>
      <c r="D231" s="86" t="s">
        <v>183</v>
      </c>
      <c r="E231" s="55" t="s">
        <v>184</v>
      </c>
      <c r="F231" s="65">
        <v>0</v>
      </c>
      <c r="G231" s="65">
        <v>0</v>
      </c>
      <c r="H231" s="65">
        <v>0</v>
      </c>
      <c r="I231" s="65">
        <v>0</v>
      </c>
      <c r="J231" s="65">
        <v>0</v>
      </c>
      <c r="K231" s="65">
        <v>0</v>
      </c>
      <c r="L231" s="65">
        <v>0</v>
      </c>
      <c r="M231" s="65">
        <v>0</v>
      </c>
      <c r="N231" s="65">
        <v>0</v>
      </c>
      <c r="O231" s="65">
        <v>0</v>
      </c>
      <c r="P231" s="65">
        <v>0</v>
      </c>
      <c r="Q231" s="65">
        <v>0</v>
      </c>
      <c r="R231" s="65">
        <v>0</v>
      </c>
      <c r="S231" s="65">
        <v>0</v>
      </c>
      <c r="T231" s="65">
        <v>0</v>
      </c>
      <c r="U231" s="65">
        <v>0</v>
      </c>
      <c r="V231" s="65">
        <v>0</v>
      </c>
      <c r="W231" s="65">
        <v>0</v>
      </c>
      <c r="X231" s="65">
        <v>0</v>
      </c>
      <c r="Y231" s="40">
        <f>SUM(G231:X231)</f>
        <v>0</v>
      </c>
      <c r="Z231" s="87"/>
    </row>
    <row r="232" spans="1:26" s="77" customFormat="1" ht="35.1" customHeight="1">
      <c r="A232" s="91"/>
      <c r="B232" s="75"/>
      <c r="C232" s="46" t="s">
        <v>185</v>
      </c>
      <c r="D232" s="82" t="s">
        <v>186</v>
      </c>
      <c r="E232" s="83"/>
      <c r="F232" s="49"/>
      <c r="G232" s="49">
        <f>+G233</f>
        <v>0</v>
      </c>
      <c r="H232" s="49">
        <f t="shared" ref="H232:Y232" si="100">+H233</f>
        <v>0</v>
      </c>
      <c r="I232" s="49">
        <f t="shared" si="100"/>
        <v>0</v>
      </c>
      <c r="J232" s="49">
        <f t="shared" si="100"/>
        <v>0</v>
      </c>
      <c r="K232" s="49">
        <f t="shared" si="100"/>
        <v>0</v>
      </c>
      <c r="L232" s="49">
        <f t="shared" si="100"/>
        <v>0</v>
      </c>
      <c r="M232" s="49">
        <f t="shared" si="100"/>
        <v>0</v>
      </c>
      <c r="N232" s="49">
        <f t="shared" si="100"/>
        <v>0</v>
      </c>
      <c r="O232" s="49">
        <f t="shared" si="100"/>
        <v>0</v>
      </c>
      <c r="P232" s="49">
        <f t="shared" si="100"/>
        <v>0</v>
      </c>
      <c r="Q232" s="49">
        <f t="shared" si="100"/>
        <v>0</v>
      </c>
      <c r="R232" s="49">
        <f t="shared" si="100"/>
        <v>0</v>
      </c>
      <c r="S232" s="49">
        <f t="shared" si="100"/>
        <v>0</v>
      </c>
      <c r="T232" s="49">
        <f t="shared" si="100"/>
        <v>0</v>
      </c>
      <c r="U232" s="49">
        <f t="shared" si="100"/>
        <v>0</v>
      </c>
      <c r="V232" s="49">
        <f t="shared" si="100"/>
        <v>0</v>
      </c>
      <c r="W232" s="49">
        <f t="shared" si="100"/>
        <v>0</v>
      </c>
      <c r="X232" s="49">
        <f t="shared" si="100"/>
        <v>0</v>
      </c>
      <c r="Y232" s="49">
        <f t="shared" si="100"/>
        <v>0</v>
      </c>
      <c r="Z232" s="76"/>
    </row>
    <row r="233" spans="1:26" ht="35.1" customHeight="1">
      <c r="A233" s="88"/>
      <c r="B233" s="85"/>
      <c r="C233" s="36" t="s">
        <v>178</v>
      </c>
      <c r="D233" s="86" t="s">
        <v>187</v>
      </c>
      <c r="E233" s="55" t="s">
        <v>188</v>
      </c>
      <c r="F233" s="65">
        <v>0</v>
      </c>
      <c r="G233" s="65">
        <v>0</v>
      </c>
      <c r="H233" s="65">
        <v>0</v>
      </c>
      <c r="I233" s="65">
        <v>0</v>
      </c>
      <c r="J233" s="65">
        <v>0</v>
      </c>
      <c r="K233" s="65">
        <v>0</v>
      </c>
      <c r="L233" s="65">
        <v>0</v>
      </c>
      <c r="M233" s="65">
        <v>0</v>
      </c>
      <c r="N233" s="65">
        <v>0</v>
      </c>
      <c r="O233" s="65">
        <v>0</v>
      </c>
      <c r="P233" s="65">
        <v>0</v>
      </c>
      <c r="Q233" s="65">
        <v>0</v>
      </c>
      <c r="R233" s="65">
        <v>0</v>
      </c>
      <c r="S233" s="65">
        <v>0</v>
      </c>
      <c r="T233" s="65">
        <v>0</v>
      </c>
      <c r="U233" s="65">
        <v>0</v>
      </c>
      <c r="V233" s="65">
        <v>0</v>
      </c>
      <c r="W233" s="65">
        <v>0</v>
      </c>
      <c r="X233" s="65">
        <v>0</v>
      </c>
      <c r="Y233" s="40">
        <f>SUM(G233:X233)</f>
        <v>0</v>
      </c>
      <c r="Z233" s="87"/>
    </row>
    <row r="234" spans="1:26" ht="35.1" customHeight="1">
      <c r="A234" s="85"/>
      <c r="B234" s="85"/>
      <c r="C234" s="92"/>
      <c r="D234" s="92"/>
      <c r="E234" s="93"/>
      <c r="F234" s="94"/>
      <c r="G234" s="94"/>
      <c r="H234" s="94"/>
      <c r="I234" s="94"/>
      <c r="J234" s="94"/>
      <c r="K234" s="94"/>
      <c r="L234" s="94"/>
      <c r="M234" s="94"/>
      <c r="N234" s="94"/>
      <c r="O234" s="94"/>
      <c r="P234" s="94"/>
      <c r="Q234" s="94"/>
      <c r="R234" s="94"/>
      <c r="S234" s="94"/>
      <c r="T234" s="94"/>
      <c r="U234" s="94"/>
      <c r="V234" s="94"/>
      <c r="W234" s="94"/>
      <c r="X234" s="94"/>
      <c r="Y234" s="95"/>
      <c r="Z234" s="87"/>
    </row>
    <row r="235" spans="1:26" s="21" customFormat="1" ht="35.1" hidden="1" customHeight="1">
      <c r="C235" s="96"/>
      <c r="D235" s="97"/>
      <c r="E235" s="98" t="s">
        <v>222</v>
      </c>
      <c r="F235" s="99"/>
      <c r="G235" s="99">
        <f t="shared" ref="G235:X235" si="101">+G110-G25</f>
        <v>0</v>
      </c>
      <c r="H235" s="99">
        <f t="shared" si="101"/>
        <v>0</v>
      </c>
      <c r="I235" s="99">
        <f t="shared" si="101"/>
        <v>0</v>
      </c>
      <c r="J235" s="99">
        <f t="shared" si="101"/>
        <v>0</v>
      </c>
      <c r="K235" s="99">
        <f t="shared" si="101"/>
        <v>0</v>
      </c>
      <c r="L235" s="99">
        <f t="shared" si="101"/>
        <v>0</v>
      </c>
      <c r="M235" s="99">
        <f t="shared" si="101"/>
        <v>0</v>
      </c>
      <c r="N235" s="99">
        <f t="shared" si="101"/>
        <v>0</v>
      </c>
      <c r="O235" s="99">
        <f t="shared" si="101"/>
        <v>0</v>
      </c>
      <c r="P235" s="99">
        <f t="shared" si="101"/>
        <v>0</v>
      </c>
      <c r="Q235" s="99">
        <f t="shared" si="101"/>
        <v>0</v>
      </c>
      <c r="R235" s="99">
        <f t="shared" si="101"/>
        <v>0</v>
      </c>
      <c r="S235" s="99">
        <f t="shared" si="101"/>
        <v>0</v>
      </c>
      <c r="T235" s="99">
        <f t="shared" si="101"/>
        <v>0</v>
      </c>
      <c r="U235" s="99">
        <f t="shared" si="101"/>
        <v>0</v>
      </c>
      <c r="V235" s="99">
        <f t="shared" si="101"/>
        <v>0</v>
      </c>
      <c r="W235" s="99">
        <f t="shared" si="101"/>
        <v>0</v>
      </c>
      <c r="X235" s="99">
        <f t="shared" si="101"/>
        <v>0</v>
      </c>
      <c r="Y235" s="100"/>
    </row>
    <row r="236" spans="1:26" s="1" customFormat="1" ht="35.1" hidden="1" customHeight="1">
      <c r="C236" s="7"/>
      <c r="D236" s="18"/>
      <c r="E236" s="18"/>
      <c r="F236" s="73"/>
      <c r="G236" s="73"/>
      <c r="H236" s="73"/>
      <c r="I236" s="73"/>
      <c r="J236" s="73"/>
      <c r="K236" s="73"/>
      <c r="L236" s="73"/>
      <c r="M236" s="73"/>
      <c r="N236" s="73"/>
      <c r="O236" s="73"/>
      <c r="P236" s="73"/>
      <c r="Q236" s="73"/>
      <c r="R236" s="73"/>
      <c r="S236" s="73"/>
      <c r="T236" s="73"/>
      <c r="U236" s="73"/>
      <c r="V236" s="73"/>
      <c r="W236" s="73"/>
      <c r="X236" s="73"/>
      <c r="Y236" s="74"/>
    </row>
    <row r="237" spans="1:26" ht="35.1" hidden="1" customHeight="1">
      <c r="C237" s="2"/>
      <c r="D237" s="3"/>
      <c r="E237" s="3"/>
      <c r="G237" s="101"/>
      <c r="H237" s="101"/>
      <c r="I237" s="101"/>
      <c r="J237" s="101"/>
      <c r="K237" s="101"/>
      <c r="L237" s="101"/>
      <c r="M237" s="101"/>
      <c r="N237" s="101"/>
      <c r="O237" s="101"/>
      <c r="P237" s="101"/>
      <c r="Q237" s="101"/>
      <c r="R237" s="101"/>
      <c r="S237" s="101"/>
      <c r="T237" s="101"/>
      <c r="U237" s="101"/>
      <c r="V237" s="101"/>
      <c r="W237" s="101"/>
      <c r="X237" s="101"/>
      <c r="Y237" s="102"/>
    </row>
    <row r="238" spans="1:26" s="103" customFormat="1" ht="35.1" hidden="1" customHeight="1">
      <c r="B238" s="104"/>
      <c r="C238" s="105"/>
      <c r="E238" s="106" t="s">
        <v>223</v>
      </c>
      <c r="F238" s="107">
        <v>0</v>
      </c>
      <c r="G238" s="108">
        <v>-4.9999593757092953E-3</v>
      </c>
      <c r="H238" s="108">
        <v>-4.9999579787254333E-3</v>
      </c>
      <c r="I238" s="108">
        <v>-4.9999598413705826E-3</v>
      </c>
      <c r="J238" s="108">
        <v>-4.9999598413705826E-3</v>
      </c>
      <c r="K238" s="108">
        <v>-4.9999561160802841E-3</v>
      </c>
      <c r="L238" s="108">
        <v>-4.9999579787254333E-3</v>
      </c>
      <c r="M238" s="108">
        <v>-4.9999579787254333E-3</v>
      </c>
      <c r="N238" s="108">
        <v>-4.9999570474028587E-3</v>
      </c>
      <c r="O238" s="108">
        <v>-4.9999570474028587E-3</v>
      </c>
      <c r="P238" s="108">
        <v>-4.9999561160802841E-3</v>
      </c>
      <c r="Q238" s="108">
        <v>-4.9999561160802841E-3</v>
      </c>
      <c r="R238" s="108">
        <v>-4.9999561160802841E-3</v>
      </c>
      <c r="S238" s="108">
        <v>-4.9999561160802841E-3</v>
      </c>
      <c r="T238" s="108">
        <v>-4.9999561160802841E-3</v>
      </c>
      <c r="U238" s="108">
        <v>-4.9999570474028587E-3</v>
      </c>
      <c r="V238" s="108">
        <v>-4.9999579787254333E-3</v>
      </c>
      <c r="W238" s="108">
        <v>-4.9999579787254333E-3</v>
      </c>
      <c r="X238" s="108">
        <v>-4.9999607726931572E-3</v>
      </c>
      <c r="Y238" s="109"/>
    </row>
    <row r="239" spans="1:26" ht="67.5" hidden="1" customHeight="1">
      <c r="C239" s="2"/>
      <c r="D239" s="3"/>
      <c r="E239" s="3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</row>
    <row r="240" spans="1:26" ht="35.1" customHeight="1">
      <c r="C240" s="110" t="s">
        <v>224</v>
      </c>
      <c r="D240" s="111" t="s">
        <v>225</v>
      </c>
      <c r="E240" s="112"/>
      <c r="F240" s="113">
        <v>0</v>
      </c>
      <c r="G240" s="113">
        <v>83.63</v>
      </c>
      <c r="H240" s="113">
        <f>315243.08-493.5-314152.82-50</f>
        <v>546.76000000000931</v>
      </c>
      <c r="I240" s="113">
        <f>10636.97-1374-8791.85-439.96</f>
        <v>31.159999999999002</v>
      </c>
      <c r="J240" s="113">
        <f>7976.56-7639.4-87.16</f>
        <v>250.00000000000077</v>
      </c>
      <c r="K240" s="113">
        <f>20675.31-16643.79-3889.69</f>
        <v>141.83000000000038</v>
      </c>
      <c r="L240" s="113">
        <f>912.5-200</f>
        <v>712.5</v>
      </c>
      <c r="M240" s="113">
        <f>2910.32-2433.99</f>
        <v>476.33000000000038</v>
      </c>
      <c r="N240" s="113">
        <f>11820.42-493.5</f>
        <v>11326.92</v>
      </c>
      <c r="O240" s="113">
        <f>12913.12-12913.12</f>
        <v>0</v>
      </c>
      <c r="P240" s="113">
        <f>7744.88-7744.88</f>
        <v>0</v>
      </c>
      <c r="Q240" s="113">
        <f>56098.83-55587.06</f>
        <v>511.77000000000407</v>
      </c>
      <c r="R240" s="113">
        <v>513.13</v>
      </c>
      <c r="S240" s="113">
        <f>40993.36-40893.36</f>
        <v>100</v>
      </c>
      <c r="T240" s="113">
        <f>21230.67-687-19930.15</f>
        <v>613.5199999999968</v>
      </c>
      <c r="U240" s="113">
        <f>3762.1-880.5-2777.53</f>
        <v>104.06999999999971</v>
      </c>
      <c r="V240" s="113">
        <f>1374-1374</f>
        <v>0</v>
      </c>
      <c r="W240" s="113">
        <v>4932.34</v>
      </c>
      <c r="X240" s="113">
        <v>991.31</v>
      </c>
      <c r="Y240" s="114">
        <f>SUM(G240:X240)</f>
        <v>21335.270000000011</v>
      </c>
    </row>
    <row r="241" spans="7:24" ht="35.1" customHeight="1"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</row>
    <row r="242" spans="7:24" ht="35.1" customHeight="1"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</row>
    <row r="243" spans="7:24" ht="35.1" customHeight="1"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</row>
    <row r="244" spans="7:24" ht="35.1" customHeight="1"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</row>
    <row r="245" spans="7:24" ht="35.1" customHeight="1"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</row>
    <row r="246" spans="7:24" ht="35.1" customHeight="1"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</row>
    <row r="247" spans="7:24" ht="35.1" customHeight="1"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</row>
    <row r="248" spans="7:24" ht="35.1" customHeight="1"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</row>
    <row r="249" spans="7:24" ht="35.1" customHeight="1"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</row>
    <row r="250" spans="7:24" ht="35.1" customHeight="1"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</row>
    <row r="251" spans="7:24" ht="35.1" customHeight="1"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</row>
    <row r="252" spans="7:24" ht="35.1" customHeight="1"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</row>
    <row r="253" spans="7:24" ht="35.1" customHeight="1"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</row>
    <row r="254" spans="7:24"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</row>
  </sheetData>
  <autoFilter ref="B2:B254">
    <filterColumn colId="0"/>
  </autoFilter>
  <mergeCells count="30">
    <mergeCell ref="D216:E216"/>
    <mergeCell ref="D219:E219"/>
    <mergeCell ref="C224:E224"/>
    <mergeCell ref="D225:E225"/>
    <mergeCell ref="D228:E228"/>
    <mergeCell ref="D232:E232"/>
    <mergeCell ref="C178:E178"/>
    <mergeCell ref="D179:E179"/>
    <mergeCell ref="D196:E196"/>
    <mergeCell ref="D201:E201"/>
    <mergeCell ref="D206:E206"/>
    <mergeCell ref="C215:E215"/>
    <mergeCell ref="D110:E110"/>
    <mergeCell ref="C111:E111"/>
    <mergeCell ref="D112:E112"/>
    <mergeCell ref="D134:E134"/>
    <mergeCell ref="D141:E141"/>
    <mergeCell ref="D167:E167"/>
    <mergeCell ref="D26:E26"/>
    <mergeCell ref="D48:E48"/>
    <mergeCell ref="D56:E56"/>
    <mergeCell ref="D82:E82"/>
    <mergeCell ref="D96:E96"/>
    <mergeCell ref="D108:E108"/>
    <mergeCell ref="D2:E2"/>
    <mergeCell ref="D3:E3"/>
    <mergeCell ref="D5:E5"/>
    <mergeCell ref="D6:E6"/>
    <mergeCell ref="D10:E10"/>
    <mergeCell ref="D25:E25"/>
  </mergeCells>
  <pageMargins left="0.19685039370078741" right="0.19685039370078741" top="0.59055118110236227" bottom="0.98425196850393704" header="0.31496062992125984" footer="0.59055118110236227"/>
  <pageSetup paperSize="8" scale="50" fitToWidth="2" orientation="landscape" r:id="rId1"/>
  <headerFooter alignWithMargins="0">
    <oddHeader>&amp;R&amp;"Arial,Negrito"&amp;20&amp;P  /  &amp;N</oddHeader>
    <oddFooter>&amp;L&amp;"Arial,Negrito"&amp;20&amp;D   &amp;T</oddFooter>
  </headerFooter>
  <colBreaks count="1" manualBreakCount="1">
    <brk id="15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10</vt:i4>
      </vt:variant>
    </vt:vector>
  </HeadingPairs>
  <TitlesOfParts>
    <vt:vector size="11" baseType="lpstr">
      <vt:lpstr>gestao</vt:lpstr>
      <vt:lpstr>gestao!Area_de_impressao</vt:lpstr>
      <vt:lpstr>BENEFICIOS</vt:lpstr>
      <vt:lpstr>DESPGER</vt:lpstr>
      <vt:lpstr>ENCARGOS</vt:lpstr>
      <vt:lpstr>FORNECEDOR</vt:lpstr>
      <vt:lpstr>INVESTIMENTO</vt:lpstr>
      <vt:lpstr>LANÇAMENTO</vt:lpstr>
      <vt:lpstr>OUTPESS</vt:lpstr>
      <vt:lpstr>TERCEIRIZACAO</vt:lpstr>
      <vt:lpstr>gestao!Titulos_de_impressao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Sptrans</dc:creator>
  <cp:lastModifiedBy>Sptrans</cp:lastModifiedBy>
  <dcterms:created xsi:type="dcterms:W3CDTF">2018-03-12T18:04:58Z</dcterms:created>
  <dcterms:modified xsi:type="dcterms:W3CDTF">2018-03-12T18:06:19Z</dcterms:modified>
</cp:coreProperties>
</file>