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<sst xmlns="http://schemas.openxmlformats.org/spreadsheetml/2006/main" count="109" uniqueCount="107">
  <si>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</si>
  <si>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</si>
  <si>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</si>
  <si>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</si>
  <si>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</si>
  <si>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</si>
  <si>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</si>
  <si>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</si>
  <si>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</si>
  <si>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</si>
  <si>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</si>
  <si>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</si>
  <si>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</si>
  <si>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</si>
  <si>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</si>
  <si>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</si>
  <si>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</si>
  <si>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</si>
  <si>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</si>
  <si>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</si>
  <si>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</si>
  <si>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</si>
  <si>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</si>
  <si>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</si>
  <si>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</si>
  <si>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</si>
  <si>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</si>
  <si>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</si>
  <si>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</si>
  <si>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</si>
  <si>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</si>
  <si>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</si>
  <si>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</si>
  <si>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</si>
  <si>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</si>
  <si>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</si>
  <si>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</si>
  <si>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</si>
  <si>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</si>
  <si>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</si>
  <si>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</si>
  <si>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</si>
  <si>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</si>
  <si>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</si>
  <si>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</si>
  <si>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</si>
  <si>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</si>
  <si>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</si>
  <si>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</si>
  <si>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</si>
  <si>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</si>
  <si>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</si>
  <si>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</si>
  <si>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</si>
  <si>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</si>
  <si>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</si>
  <si>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</si>
  <si>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</si>
  <si>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</si>
  <si>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</si>
  <si>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</si>
  <si>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</si>
  <si>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</si>
  <si>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</si>
  <si>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</si>
  <si>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</si>
  <si>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</si>
  <si>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</si>
  <si>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</si>
  <si>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</si>
  <si>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</si>
  <si>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</si>
  <si>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</si>
  <si>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</si>
  <si>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</si>
  <si>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</si>
  <si>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</si>
  <si>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</si>
  <si>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</si>
  <si>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</si>
  <si>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</si>
  <si>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</si>
  <si>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</si>
  <si>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</si>
  <si>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</si>
  <si>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</si>
  <si>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</si>
  <si>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</si>
  <si>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</si>
  <si>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</si>
  <si>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</si>
  <si>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</si>
  <si>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</si>
  <si>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</si>
  <si>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28/09/17 - VENCIMENTO 05/10/17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</si>
  <si>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</si>
  <si>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</si>
  <si>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</si>
  <si>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</si>
  <si>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</si>
  <si>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</si>
  <si>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7.7. Movebuss</t>
  </si>
  <si>
    <t>8.7. Movebuss</t>
  </si>
  <si>
    <t>5.2.8. Ajuste de Remuneração Previsto Contratualmente (1)</t>
  </si>
  <si>
    <t>Nota:</t>
  </si>
  <si>
    <t>(1) Ajuste de remuneração, previsto contratualmente, período de 25/08 a 24/09/17, parcela 03/20.
(2) Tarifa de remuneração de cada empresa considerando o  reequilibrio interno estabelecido e informado pelo consórcio. Não consideram os acertos financeiros previstos no item 7.</t>
  </si>
  <si>
    <t>8. Tarifa de Remuneração por Passageiro (2)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</si>
</sst>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  <numFmt numFmtId="186" formatCode="_(* #,##0.000_);_(* \(#,##0.000\);_(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46" fillId="0" borderId="0" xfId="52" applyNumberFormat="1" applyFont="1" applyAlignment="1">
      <alignment/>
    </xf>
    <xf numFmtId="172" fontId="46" fillId="0" borderId="0" xfId="52" applyNumberFormat="1" applyFont="1" applyFill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9076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125" style="1" bestFit="1" customWidth="1"/>
    <col min="18" max="18" width="9.625" style="1" bestFit="1" customWidth="1"/>
    <col min="19" max="19" width="11.50390625" style="1" bestFit="1" customWidth="1"/>
    <col min="20" max="20" width="11.25390625" style="1" bestFit="1" customWidth="1"/>
    <col min="21" max="16384" width="9.00390625" style="1" customWidth="1"/>
  </cols>
  <sheetData>
    <row r="1" spans="1:15" ht="2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1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69" t="s">
        <v>1</v>
      </c>
      <c r="B4" s="69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 t="s">
        <v>2</v>
      </c>
    </row>
    <row r="5" spans="1:15" ht="42" customHeight="1">
      <c r="A5" s="69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69"/>
    </row>
    <row r="6" spans="1:15" ht="20.25" customHeight="1">
      <c r="A6" s="69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69"/>
    </row>
    <row r="7" spans="1:26" ht="18.75" customHeight="1">
      <c r="A7" s="9" t="s">
        <v>3</v>
      </c>
      <c r="B7" s="10">
        <f>B8+B20+B24</f>
        <v>512296</v>
      </c>
      <c r="C7" s="10">
        <f>C8+C20+C24</f>
        <v>381862</v>
      </c>
      <c r="D7" s="10">
        <f>D8+D20+D24</f>
        <v>384156</v>
      </c>
      <c r="E7" s="10">
        <f>E8+E20+E24</f>
        <v>52596</v>
      </c>
      <c r="F7" s="10">
        <f aca="true" t="shared" si="0" ref="F7:N7">F8+F20+F24</f>
        <v>330832</v>
      </c>
      <c r="G7" s="10">
        <f t="shared" si="0"/>
        <v>526894</v>
      </c>
      <c r="H7" s="10">
        <f>H8+H20+H24</f>
        <v>370466</v>
      </c>
      <c r="I7" s="10">
        <f>I8+I20+I24</f>
        <v>108222</v>
      </c>
      <c r="J7" s="10">
        <f>J8+J20+J24</f>
        <v>426432</v>
      </c>
      <c r="K7" s="10">
        <f>K8+K20+K24</f>
        <v>304237</v>
      </c>
      <c r="L7" s="10">
        <f>L8+L20+L24</f>
        <v>380697</v>
      </c>
      <c r="M7" s="10">
        <f t="shared" si="0"/>
        <v>153982</v>
      </c>
      <c r="N7" s="10">
        <f t="shared" si="0"/>
        <v>92868</v>
      </c>
      <c r="O7" s="10">
        <f>+O8+O20+O24</f>
        <v>4025540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216831</v>
      </c>
      <c r="C8" s="12">
        <f>+C9+C12+C16</f>
        <v>174578</v>
      </c>
      <c r="D8" s="12">
        <f>+D9+D12+D16</f>
        <v>188857</v>
      </c>
      <c r="E8" s="12">
        <f>+E9+E12+E16</f>
        <v>23099</v>
      </c>
      <c r="F8" s="12">
        <f aca="true" t="shared" si="1" ref="F8:N8">+F9+F12+F16</f>
        <v>150160</v>
      </c>
      <c r="G8" s="12">
        <f t="shared" si="1"/>
        <v>245293</v>
      </c>
      <c r="H8" s="12">
        <f>+H9+H12+H16</f>
        <v>165216</v>
      </c>
      <c r="I8" s="12">
        <f>+I9+I12+I16</f>
        <v>50939</v>
      </c>
      <c r="J8" s="12">
        <f>+J9+J12+J16</f>
        <v>197388</v>
      </c>
      <c r="K8" s="12">
        <f>+K9+K12+K16</f>
        <v>141313</v>
      </c>
      <c r="L8" s="12">
        <f>+L9+L12+L16</f>
        <v>164331</v>
      </c>
      <c r="M8" s="12">
        <f t="shared" si="1"/>
        <v>76505</v>
      </c>
      <c r="N8" s="12">
        <f t="shared" si="1"/>
        <v>47813</v>
      </c>
      <c r="O8" s="12">
        <f>SUM(B8:N8)</f>
        <v>1842323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18987</v>
      </c>
      <c r="C9" s="14">
        <v>19536</v>
      </c>
      <c r="D9" s="14">
        <v>13596</v>
      </c>
      <c r="E9" s="14">
        <v>1371</v>
      </c>
      <c r="F9" s="14">
        <v>11288</v>
      </c>
      <c r="G9" s="14">
        <v>21097</v>
      </c>
      <c r="H9" s="14">
        <v>19020</v>
      </c>
      <c r="I9" s="14">
        <v>5995</v>
      </c>
      <c r="J9" s="14">
        <v>11077</v>
      </c>
      <c r="K9" s="14">
        <v>14743</v>
      </c>
      <c r="L9" s="14">
        <v>11610</v>
      </c>
      <c r="M9" s="14">
        <f>8093+41</f>
        <v>8134</v>
      </c>
      <c r="N9" s="14">
        <v>5338</v>
      </c>
      <c r="O9" s="12">
        <f aca="true" t="shared" si="2" ref="O9:O19">SUM(B9:N9)</f>
        <v>161792</v>
      </c>
      <c r="P9"/>
      <c r="Q9"/>
      <c r="R9"/>
      <c r="S9"/>
      <c r="T9" s="72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18987</v>
      </c>
      <c r="C10" s="14">
        <f>+C9-C11</f>
        <v>19536</v>
      </c>
      <c r="D10" s="14">
        <f>+D9-D11</f>
        <v>13596</v>
      </c>
      <c r="E10" s="14">
        <f>+E9-E11</f>
        <v>1371</v>
      </c>
      <c r="F10" s="14">
        <f aca="true" t="shared" si="3" ref="F10:N10">+F9-F11</f>
        <v>11288</v>
      </c>
      <c r="G10" s="14">
        <f t="shared" si="3"/>
        <v>21097</v>
      </c>
      <c r="H10" s="14">
        <f>+H9-H11</f>
        <v>19020</v>
      </c>
      <c r="I10" s="14">
        <f>+I9-I11</f>
        <v>5995</v>
      </c>
      <c r="J10" s="14">
        <f>+J9-J11</f>
        <v>11077</v>
      </c>
      <c r="K10" s="14">
        <f>+K9-K11</f>
        <v>14743</v>
      </c>
      <c r="L10" s="14">
        <f>+L9-L11</f>
        <v>11610</v>
      </c>
      <c r="M10" s="14">
        <f t="shared" si="3"/>
        <v>8134</v>
      </c>
      <c r="N10" s="14">
        <f t="shared" si="3"/>
        <v>5338</v>
      </c>
      <c r="O10" s="12">
        <f t="shared" si="2"/>
        <v>161792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186128</v>
      </c>
      <c r="C12" s="14">
        <f>C13+C14+C15</f>
        <v>146205</v>
      </c>
      <c r="D12" s="14">
        <f>D13+D14+D15</f>
        <v>165974</v>
      </c>
      <c r="E12" s="14">
        <f>E13+E14+E15</f>
        <v>20561</v>
      </c>
      <c r="F12" s="14">
        <f aca="true" t="shared" si="4" ref="F12:N12">F13+F14+F15</f>
        <v>130854</v>
      </c>
      <c r="G12" s="14">
        <f t="shared" si="4"/>
        <v>210320</v>
      </c>
      <c r="H12" s="14">
        <f>H13+H14+H15</f>
        <v>137667</v>
      </c>
      <c r="I12" s="14">
        <f>I13+I14+I15</f>
        <v>42311</v>
      </c>
      <c r="J12" s="14">
        <f>J13+J14+J15</f>
        <v>174781</v>
      </c>
      <c r="K12" s="14">
        <f>K13+K14+K15</f>
        <v>119180</v>
      </c>
      <c r="L12" s="14">
        <f>L13+L14+L15</f>
        <v>142561</v>
      </c>
      <c r="M12" s="14">
        <f t="shared" si="4"/>
        <v>64648</v>
      </c>
      <c r="N12" s="14">
        <f t="shared" si="4"/>
        <v>40387</v>
      </c>
      <c r="O12" s="12">
        <f t="shared" si="2"/>
        <v>1581577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93492</v>
      </c>
      <c r="C13" s="14">
        <v>74293</v>
      </c>
      <c r="D13" s="14">
        <v>80782</v>
      </c>
      <c r="E13" s="14">
        <v>10418</v>
      </c>
      <c r="F13" s="14">
        <v>63727</v>
      </c>
      <c r="G13" s="14">
        <v>104145</v>
      </c>
      <c r="H13" s="14">
        <v>71792</v>
      </c>
      <c r="I13" s="14">
        <v>22304</v>
      </c>
      <c r="J13" s="14">
        <v>89967</v>
      </c>
      <c r="K13" s="14">
        <v>59808</v>
      </c>
      <c r="L13" s="14">
        <v>70706</v>
      </c>
      <c r="M13" s="14">
        <v>31439</v>
      </c>
      <c r="N13" s="14">
        <v>19091</v>
      </c>
      <c r="O13" s="12">
        <f t="shared" si="2"/>
        <v>791964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87754</v>
      </c>
      <c r="C14" s="14">
        <v>65763</v>
      </c>
      <c r="D14" s="14">
        <v>82027</v>
      </c>
      <c r="E14" s="14">
        <v>9434</v>
      </c>
      <c r="F14" s="14">
        <v>63002</v>
      </c>
      <c r="G14" s="14">
        <v>97455</v>
      </c>
      <c r="H14" s="14">
        <v>61379</v>
      </c>
      <c r="I14" s="14">
        <v>18596</v>
      </c>
      <c r="J14" s="14">
        <v>81532</v>
      </c>
      <c r="K14" s="14">
        <v>55736</v>
      </c>
      <c r="L14" s="14">
        <v>68315</v>
      </c>
      <c r="M14" s="14">
        <v>31116</v>
      </c>
      <c r="N14" s="14">
        <v>20298</v>
      </c>
      <c r="O14" s="12">
        <f t="shared" si="2"/>
        <v>742407</v>
      </c>
      <c r="P14"/>
      <c r="Q14"/>
      <c r="R14"/>
      <c r="S14" s="71"/>
      <c r="T14" s="71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4882</v>
      </c>
      <c r="C15" s="14">
        <v>6149</v>
      </c>
      <c r="D15" s="14">
        <v>3165</v>
      </c>
      <c r="E15" s="14">
        <v>709</v>
      </c>
      <c r="F15" s="14">
        <v>4125</v>
      </c>
      <c r="G15" s="14">
        <v>8720</v>
      </c>
      <c r="H15" s="14">
        <v>4496</v>
      </c>
      <c r="I15" s="14">
        <v>1411</v>
      </c>
      <c r="J15" s="14">
        <v>3282</v>
      </c>
      <c r="K15" s="14">
        <v>3636</v>
      </c>
      <c r="L15" s="14">
        <v>3540</v>
      </c>
      <c r="M15" s="14">
        <v>2093</v>
      </c>
      <c r="N15" s="14">
        <v>998</v>
      </c>
      <c r="O15" s="12">
        <f t="shared" si="2"/>
        <v>47206</v>
      </c>
      <c r="P15"/>
      <c r="Q15"/>
      <c r="R15" s="73"/>
      <c r="S15" s="73"/>
      <c r="T15" s="73"/>
      <c r="U15"/>
      <c r="V15"/>
      <c r="W15"/>
      <c r="X15"/>
      <c r="Y15"/>
      <c r="Z15"/>
    </row>
    <row r="16" spans="1:20" ht="18.75" customHeight="1">
      <c r="A16" s="16" t="s">
        <v>19</v>
      </c>
      <c r="B16" s="14">
        <f>B17+B18+B19</f>
        <v>11716</v>
      </c>
      <c r="C16" s="14">
        <f>C17+C18+C19</f>
        <v>8837</v>
      </c>
      <c r="D16" s="14">
        <f>D17+D18+D19</f>
        <v>9287</v>
      </c>
      <c r="E16" s="14">
        <f>E17+E18+E19</f>
        <v>1167</v>
      </c>
      <c r="F16" s="14">
        <f aca="true" t="shared" si="5" ref="F16:N16">F17+F18+F19</f>
        <v>8018</v>
      </c>
      <c r="G16" s="14">
        <f t="shared" si="5"/>
        <v>13876</v>
      </c>
      <c r="H16" s="14">
        <f>H17+H18+H19</f>
        <v>8529</v>
      </c>
      <c r="I16" s="14">
        <f>I17+I18+I19</f>
        <v>2633</v>
      </c>
      <c r="J16" s="14">
        <f>J17+J18+J19</f>
        <v>11530</v>
      </c>
      <c r="K16" s="14">
        <f>K17+K18+K19</f>
        <v>7390</v>
      </c>
      <c r="L16" s="14">
        <f>L17+L18+L19</f>
        <v>10160</v>
      </c>
      <c r="M16" s="14">
        <f t="shared" si="5"/>
        <v>3723</v>
      </c>
      <c r="N16" s="14">
        <f t="shared" si="5"/>
        <v>2088</v>
      </c>
      <c r="O16" s="12">
        <f t="shared" si="2"/>
        <v>98954</v>
      </c>
      <c r="R16" s="74"/>
      <c r="S16" s="74"/>
      <c r="T16" s="74"/>
    </row>
    <row r="17" spans="1:26" ht="18.75" customHeight="1">
      <c r="A17" s="15" t="s">
        <v>16</v>
      </c>
      <c r="B17" s="14">
        <v>11624</v>
      </c>
      <c r="C17" s="14">
        <v>8772</v>
      </c>
      <c r="D17" s="14">
        <v>9222</v>
      </c>
      <c r="E17" s="14">
        <v>1158</v>
      </c>
      <c r="F17" s="14">
        <v>7959</v>
      </c>
      <c r="G17" s="14">
        <v>13800</v>
      </c>
      <c r="H17" s="14">
        <v>8468</v>
      </c>
      <c r="I17" s="14">
        <v>2613</v>
      </c>
      <c r="J17" s="14">
        <v>11467</v>
      </c>
      <c r="K17" s="14">
        <v>7329</v>
      </c>
      <c r="L17" s="14">
        <v>10091</v>
      </c>
      <c r="M17" s="14">
        <f>1859+1831</f>
        <v>3690</v>
      </c>
      <c r="N17" s="14">
        <v>2058</v>
      </c>
      <c r="O17" s="12">
        <f t="shared" si="2"/>
        <v>98251</v>
      </c>
      <c r="P17"/>
      <c r="Q17"/>
      <c r="R17" s="73"/>
      <c r="S17" s="73"/>
      <c r="T17" s="73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80</v>
      </c>
      <c r="C18" s="14">
        <v>56</v>
      </c>
      <c r="D18" s="14">
        <v>54</v>
      </c>
      <c r="E18" s="14">
        <v>9</v>
      </c>
      <c r="F18" s="14">
        <v>51</v>
      </c>
      <c r="G18" s="14">
        <v>70</v>
      </c>
      <c r="H18" s="14">
        <v>57</v>
      </c>
      <c r="I18" s="14">
        <v>16</v>
      </c>
      <c r="J18" s="14">
        <v>57</v>
      </c>
      <c r="K18" s="14">
        <v>54</v>
      </c>
      <c r="L18" s="14">
        <v>66</v>
      </c>
      <c r="M18" s="14">
        <f>20+10</f>
        <v>30</v>
      </c>
      <c r="N18" s="14">
        <v>30</v>
      </c>
      <c r="O18" s="12">
        <f t="shared" si="2"/>
        <v>630</v>
      </c>
      <c r="P18"/>
      <c r="Q18"/>
      <c r="R18" s="73"/>
      <c r="S18" s="73"/>
      <c r="T18" s="73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9</v>
      </c>
      <c r="D19" s="14">
        <v>11</v>
      </c>
      <c r="E19" s="14">
        <v>0</v>
      </c>
      <c r="F19" s="14">
        <v>8</v>
      </c>
      <c r="G19" s="14">
        <v>6</v>
      </c>
      <c r="H19" s="14">
        <v>4</v>
      </c>
      <c r="I19" s="14">
        <v>4</v>
      </c>
      <c r="J19" s="14">
        <v>6</v>
      </c>
      <c r="K19" s="14">
        <v>7</v>
      </c>
      <c r="L19" s="14">
        <v>3</v>
      </c>
      <c r="M19" s="14">
        <f>2+1</f>
        <v>3</v>
      </c>
      <c r="N19" s="14">
        <v>0</v>
      </c>
      <c r="O19" s="12">
        <f t="shared" si="2"/>
        <v>73</v>
      </c>
      <c r="P19"/>
      <c r="Q19"/>
      <c r="R19" s="73"/>
      <c r="S19" s="73"/>
      <c r="T19" s="73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137613</v>
      </c>
      <c r="C20" s="18">
        <f>C21+C22+C23</f>
        <v>87093</v>
      </c>
      <c r="D20" s="18">
        <f>D21+D22+D23</f>
        <v>80538</v>
      </c>
      <c r="E20" s="18">
        <f>E21+E22+E23</f>
        <v>11169</v>
      </c>
      <c r="F20" s="18">
        <f aca="true" t="shared" si="6" ref="F20:N20">F21+F22+F23</f>
        <v>70285</v>
      </c>
      <c r="G20" s="18">
        <f t="shared" si="6"/>
        <v>112970</v>
      </c>
      <c r="H20" s="18">
        <f>H21+H22+H23</f>
        <v>92054</v>
      </c>
      <c r="I20" s="18">
        <f>I21+I22+I23</f>
        <v>26146</v>
      </c>
      <c r="J20" s="18">
        <f>J21+J22+J23</f>
        <v>110561</v>
      </c>
      <c r="K20" s="18">
        <f>K21+K22+K23</f>
        <v>73067</v>
      </c>
      <c r="L20" s="18">
        <f>L21+L22+L23</f>
        <v>115993</v>
      </c>
      <c r="M20" s="18">
        <f t="shared" si="6"/>
        <v>42818</v>
      </c>
      <c r="N20" s="18">
        <f t="shared" si="6"/>
        <v>24623</v>
      </c>
      <c r="O20" s="12">
        <f aca="true" t="shared" si="7" ref="O20:O26">SUM(B20:N20)</f>
        <v>984930</v>
      </c>
      <c r="P20"/>
      <c r="Q20"/>
      <c r="R20" s="73"/>
      <c r="S20" s="73"/>
      <c r="T20" s="73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74395</v>
      </c>
      <c r="C21" s="14">
        <v>49945</v>
      </c>
      <c r="D21" s="14">
        <v>43366</v>
      </c>
      <c r="E21" s="14">
        <v>6358</v>
      </c>
      <c r="F21" s="14">
        <v>38019</v>
      </c>
      <c r="G21" s="14">
        <v>62861</v>
      </c>
      <c r="H21" s="14">
        <v>53626</v>
      </c>
      <c r="I21" s="14">
        <v>15567</v>
      </c>
      <c r="J21" s="14">
        <v>62701</v>
      </c>
      <c r="K21" s="14">
        <v>40535</v>
      </c>
      <c r="L21" s="14">
        <v>62395</v>
      </c>
      <c r="M21" s="14">
        <v>23291</v>
      </c>
      <c r="N21" s="14">
        <v>12883</v>
      </c>
      <c r="O21" s="12">
        <f t="shared" si="7"/>
        <v>545942</v>
      </c>
      <c r="P21"/>
      <c r="Q21"/>
      <c r="R21" s="73"/>
      <c r="S21" s="73"/>
      <c r="T21" s="73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60722</v>
      </c>
      <c r="C22" s="14">
        <v>34908</v>
      </c>
      <c r="D22" s="14">
        <v>35939</v>
      </c>
      <c r="E22" s="14">
        <v>4552</v>
      </c>
      <c r="F22" s="14">
        <v>30718</v>
      </c>
      <c r="G22" s="14">
        <v>47125</v>
      </c>
      <c r="H22" s="14">
        <v>36653</v>
      </c>
      <c r="I22" s="14">
        <v>10082</v>
      </c>
      <c r="J22" s="14">
        <v>46129</v>
      </c>
      <c r="K22" s="14">
        <v>31079</v>
      </c>
      <c r="L22" s="14">
        <v>51706</v>
      </c>
      <c r="M22" s="14">
        <v>18634</v>
      </c>
      <c r="N22" s="14">
        <v>11310</v>
      </c>
      <c r="O22" s="12">
        <f t="shared" si="7"/>
        <v>419557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2496</v>
      </c>
      <c r="C23" s="14">
        <v>2240</v>
      </c>
      <c r="D23" s="14">
        <v>1233</v>
      </c>
      <c r="E23" s="14">
        <v>259</v>
      </c>
      <c r="F23" s="14">
        <v>1548</v>
      </c>
      <c r="G23" s="14">
        <v>2984</v>
      </c>
      <c r="H23" s="14">
        <v>1775</v>
      </c>
      <c r="I23" s="14">
        <v>497</v>
      </c>
      <c r="J23" s="14">
        <v>1731</v>
      </c>
      <c r="K23" s="14">
        <v>1453</v>
      </c>
      <c r="L23" s="14">
        <v>1892</v>
      </c>
      <c r="M23" s="14">
        <v>893</v>
      </c>
      <c r="N23" s="14">
        <v>430</v>
      </c>
      <c r="O23" s="12">
        <f t="shared" si="7"/>
        <v>19431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157852</v>
      </c>
      <c r="C24" s="14">
        <f>C25+C26</f>
        <v>120191</v>
      </c>
      <c r="D24" s="14">
        <f>D25+D26</f>
        <v>114761</v>
      </c>
      <c r="E24" s="14">
        <f>E25+E26</f>
        <v>18328</v>
      </c>
      <c r="F24" s="14">
        <f aca="true" t="shared" si="8" ref="F24:N24">F25+F26</f>
        <v>110387</v>
      </c>
      <c r="G24" s="14">
        <f t="shared" si="8"/>
        <v>168631</v>
      </c>
      <c r="H24" s="14">
        <f>H25+H26</f>
        <v>113196</v>
      </c>
      <c r="I24" s="14">
        <f>I25+I26</f>
        <v>31137</v>
      </c>
      <c r="J24" s="14">
        <f>J25+J26</f>
        <v>118483</v>
      </c>
      <c r="K24" s="14">
        <f>K25+K26</f>
        <v>89857</v>
      </c>
      <c r="L24" s="14">
        <f>L25+L26</f>
        <v>100373</v>
      </c>
      <c r="M24" s="14">
        <f t="shared" si="8"/>
        <v>34659</v>
      </c>
      <c r="N24" s="14">
        <f t="shared" si="8"/>
        <v>20432</v>
      </c>
      <c r="O24" s="12">
        <f t="shared" si="7"/>
        <v>1198287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69509</v>
      </c>
      <c r="C25" s="14">
        <v>59074</v>
      </c>
      <c r="D25" s="14">
        <v>55383</v>
      </c>
      <c r="E25" s="14">
        <v>10061</v>
      </c>
      <c r="F25" s="14">
        <v>54116</v>
      </c>
      <c r="G25" s="14">
        <v>87102</v>
      </c>
      <c r="H25" s="14">
        <v>58422</v>
      </c>
      <c r="I25" s="14">
        <v>17809</v>
      </c>
      <c r="J25" s="14">
        <v>54243</v>
      </c>
      <c r="K25" s="14">
        <v>46056</v>
      </c>
      <c r="L25" s="14">
        <v>46110</v>
      </c>
      <c r="M25" s="14">
        <v>15878</v>
      </c>
      <c r="N25" s="14">
        <v>7962</v>
      </c>
      <c r="O25" s="12">
        <f t="shared" si="7"/>
        <v>581725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88343</v>
      </c>
      <c r="C26" s="14">
        <v>61117</v>
      </c>
      <c r="D26" s="14">
        <v>59378</v>
      </c>
      <c r="E26" s="14">
        <v>8267</v>
      </c>
      <c r="F26" s="14">
        <v>56271</v>
      </c>
      <c r="G26" s="14">
        <v>81529</v>
      </c>
      <c r="H26" s="14">
        <v>54774</v>
      </c>
      <c r="I26" s="14">
        <v>13328</v>
      </c>
      <c r="J26" s="14">
        <v>64240</v>
      </c>
      <c r="K26" s="14">
        <v>43801</v>
      </c>
      <c r="L26" s="14">
        <v>54263</v>
      </c>
      <c r="M26" s="14">
        <v>18781</v>
      </c>
      <c r="N26" s="14">
        <v>12470</v>
      </c>
      <c r="O26" s="12">
        <f t="shared" si="7"/>
        <v>616562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1074287.4063361601</v>
      </c>
      <c r="C36" s="60">
        <f aca="true" t="shared" si="11" ref="C36:N36">C37+C38+C39+C40</f>
        <v>773598.116991</v>
      </c>
      <c r="D36" s="60">
        <f t="shared" si="11"/>
        <v>727897.0426078001</v>
      </c>
      <c r="E36" s="60">
        <f t="shared" si="11"/>
        <v>136760.43616639997</v>
      </c>
      <c r="F36" s="60">
        <f t="shared" si="11"/>
        <v>721701.8282856</v>
      </c>
      <c r="G36" s="60">
        <f t="shared" si="11"/>
        <v>911448.9312</v>
      </c>
      <c r="H36" s="60">
        <f>H37+H38+H39+H40</f>
        <v>757236.361</v>
      </c>
      <c r="I36" s="60">
        <f>I37+I38+I39+I40</f>
        <v>215475.5316444</v>
      </c>
      <c r="J36" s="60">
        <f>J37+J38+J39+J40</f>
        <v>846808.8214976</v>
      </c>
      <c r="K36" s="60">
        <f>K37+K38+K39+K40</f>
        <v>680768.7120290999</v>
      </c>
      <c r="L36" s="60">
        <f>L37+L38+L39+L40</f>
        <v>814290.0192827199</v>
      </c>
      <c r="M36" s="60">
        <f t="shared" si="11"/>
        <v>391430.1448542599</v>
      </c>
      <c r="N36" s="60">
        <f t="shared" si="11"/>
        <v>229887.41251008003</v>
      </c>
      <c r="O36" s="60">
        <f>O37+O38+O39+O40</f>
        <v>8281590.76440512</v>
      </c>
    </row>
    <row r="37" spans="1:15" ht="18.75" customHeight="1">
      <c r="A37" s="57" t="s">
        <v>50</v>
      </c>
      <c r="B37" s="54">
        <f aca="true" t="shared" si="12" ref="B37:N37">B29*B7</f>
        <v>1070135.1144</v>
      </c>
      <c r="C37" s="54">
        <f t="shared" si="12"/>
        <v>770597.516</v>
      </c>
      <c r="D37" s="54">
        <f t="shared" si="12"/>
        <v>717680.2392000001</v>
      </c>
      <c r="E37" s="54">
        <f t="shared" si="12"/>
        <v>136444.5432</v>
      </c>
      <c r="F37" s="54">
        <f t="shared" si="12"/>
        <v>721643.8415999999</v>
      </c>
      <c r="G37" s="54">
        <f t="shared" si="12"/>
        <v>911473.9306</v>
      </c>
      <c r="H37" s="54">
        <f>H29*H7</f>
        <v>753564.8906</v>
      </c>
      <c r="I37" s="54">
        <f>I29*I7</f>
        <v>215426.7132</v>
      </c>
      <c r="J37" s="54">
        <f>J29*J7</f>
        <v>842629.632</v>
      </c>
      <c r="K37" s="54">
        <f>K29*K7</f>
        <v>677079.4434999999</v>
      </c>
      <c r="L37" s="54">
        <f>L29*L7</f>
        <v>810009.0068999999</v>
      </c>
      <c r="M37" s="54">
        <f t="shared" si="12"/>
        <v>388958.53199999995</v>
      </c>
      <c r="N37" s="54">
        <f t="shared" si="12"/>
        <v>229848.30000000002</v>
      </c>
      <c r="O37" s="56">
        <f>SUM(B37:N37)</f>
        <v>8245491.7032</v>
      </c>
    </row>
    <row r="38" spans="1:15" ht="18.75" customHeight="1">
      <c r="A38" s="57" t="s">
        <v>51</v>
      </c>
      <c r="B38" s="54">
        <f aca="true" t="shared" si="13" ref="B38:N38">B30*B7</f>
        <v>-3173.4380638400003</v>
      </c>
      <c r="C38" s="54">
        <f t="shared" si="13"/>
        <v>-2241.339009</v>
      </c>
      <c r="D38" s="54">
        <f t="shared" si="13"/>
        <v>-2132.0465922</v>
      </c>
      <c r="E38" s="54">
        <f t="shared" si="13"/>
        <v>-330.3870336</v>
      </c>
      <c r="F38" s="54">
        <f t="shared" si="13"/>
        <v>-2103.4133144</v>
      </c>
      <c r="G38" s="54">
        <f t="shared" si="13"/>
        <v>-2687.1594</v>
      </c>
      <c r="H38" s="54">
        <f>H30*H7</f>
        <v>-2074.6096</v>
      </c>
      <c r="I38" s="54">
        <f>I30*I7</f>
        <v>-606.0215556</v>
      </c>
      <c r="J38" s="54">
        <f>J30*J7</f>
        <v>-2425.6305024</v>
      </c>
      <c r="K38" s="54">
        <f>K30*K7</f>
        <v>-1936.6814709</v>
      </c>
      <c r="L38" s="54">
        <f>L30*L7</f>
        <v>-2379.44761728</v>
      </c>
      <c r="M38" s="54">
        <f t="shared" si="13"/>
        <v>-1134.6271457399998</v>
      </c>
      <c r="N38" s="54">
        <f t="shared" si="13"/>
        <v>-679.92748992</v>
      </c>
      <c r="O38" s="25">
        <f>SUM(B38:N38)</f>
        <v>-23904.728794879997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-101917.70000000001</v>
      </c>
      <c r="C42" s="25">
        <f>+C43+C46+C55+C56</f>
        <v>-95343.87</v>
      </c>
      <c r="D42" s="25">
        <f>+D43+D46+D55+D56</f>
        <v>-72118.69</v>
      </c>
      <c r="E42" s="25">
        <f>+E43+E46+E55+E56</f>
        <v>-10150.869999999999</v>
      </c>
      <c r="F42" s="25">
        <f>+F43+F46+F55+F56</f>
        <v>-63601.01</v>
      </c>
      <c r="G42" s="25">
        <f>+G43+G46+G55+G56</f>
        <v>-105569.71</v>
      </c>
      <c r="H42" s="25">
        <f>+H43+H46+H55+H56</f>
        <v>-93138.36</v>
      </c>
      <c r="I42" s="25">
        <f>+I43+I46+I55+I56</f>
        <v>-30083.03</v>
      </c>
      <c r="J42" s="25">
        <f>+J43+J46+J55+J56</f>
        <v>-65833.9</v>
      </c>
      <c r="K42" s="25">
        <f>+K43+K46+K55+K56</f>
        <v>-74992.35</v>
      </c>
      <c r="L42" s="25">
        <f>+L43+L46+L55+L56</f>
        <v>-67287.61</v>
      </c>
      <c r="M42" s="25">
        <f>+M43+M46+M55+M56</f>
        <v>-41361.86</v>
      </c>
      <c r="N42" s="25">
        <f>+N43+N46+N55+N56</f>
        <v>-26363.68</v>
      </c>
      <c r="O42" s="25">
        <f>+O43+O46+O55+O56</f>
        <v>-847762.64</v>
      </c>
    </row>
    <row r="43" spans="1:15" ht="18.75" customHeight="1">
      <c r="A43" s="17" t="s">
        <v>55</v>
      </c>
      <c r="B43" s="26">
        <f>B44+B45</f>
        <v>-72150.6</v>
      </c>
      <c r="C43" s="26">
        <f>C44+C45</f>
        <v>-74236.8</v>
      </c>
      <c r="D43" s="26">
        <f>D44+D45</f>
        <v>-51664.8</v>
      </c>
      <c r="E43" s="26">
        <f>E44+E45</f>
        <v>-5209.8</v>
      </c>
      <c r="F43" s="26">
        <f aca="true" t="shared" si="15" ref="F43:N43">F44+F45</f>
        <v>-42894.4</v>
      </c>
      <c r="G43" s="26">
        <f t="shared" si="15"/>
        <v>-80168.6</v>
      </c>
      <c r="H43" s="26">
        <f>H44+H45</f>
        <v>-72276</v>
      </c>
      <c r="I43" s="26">
        <f>I44+I45</f>
        <v>-22781</v>
      </c>
      <c r="J43" s="26">
        <f>J44+J45</f>
        <v>-42092.6</v>
      </c>
      <c r="K43" s="26">
        <f>K44+K45</f>
        <v>-56023.4</v>
      </c>
      <c r="L43" s="26">
        <f>L44+L45</f>
        <v>-44118</v>
      </c>
      <c r="M43" s="26">
        <f t="shared" si="15"/>
        <v>-30909.2</v>
      </c>
      <c r="N43" s="26">
        <f t="shared" si="15"/>
        <v>-20284.4</v>
      </c>
      <c r="O43" s="25">
        <f aca="true" t="shared" si="16" ref="O43:O56">SUM(B43:N43)</f>
        <v>-614809.6</v>
      </c>
    </row>
    <row r="44" spans="1:26" ht="18.75" customHeight="1">
      <c r="A44" s="13" t="s">
        <v>56</v>
      </c>
      <c r="B44" s="20">
        <f>ROUND(-B9*$D$3,2)</f>
        <v>-72150.6</v>
      </c>
      <c r="C44" s="20">
        <f>ROUND(-C9*$D$3,2)</f>
        <v>-74236.8</v>
      </c>
      <c r="D44" s="20">
        <f>ROUND(-D9*$D$3,2)</f>
        <v>-51664.8</v>
      </c>
      <c r="E44" s="20">
        <f>ROUND(-E9*$D$3,2)</f>
        <v>-5209.8</v>
      </c>
      <c r="F44" s="20">
        <f aca="true" t="shared" si="17" ref="F44:N44">ROUND(-F9*$D$3,2)</f>
        <v>-42894.4</v>
      </c>
      <c r="G44" s="20">
        <f t="shared" si="17"/>
        <v>-80168.6</v>
      </c>
      <c r="H44" s="20">
        <f>ROUND(-H9*$D$3,2)</f>
        <v>-72276</v>
      </c>
      <c r="I44" s="20">
        <f>ROUND(-I9*$D$3,2)</f>
        <v>-22781</v>
      </c>
      <c r="J44" s="20">
        <f>ROUND(-J9*$D$3,2)</f>
        <v>-42092.6</v>
      </c>
      <c r="K44" s="20">
        <f>ROUND(-K9*$D$3,2)</f>
        <v>-56023.4</v>
      </c>
      <c r="L44" s="20">
        <f>ROUND(-L9*$D$3,2)</f>
        <v>-44118</v>
      </c>
      <c r="M44" s="20">
        <f t="shared" si="17"/>
        <v>-30909.2</v>
      </c>
      <c r="N44" s="20">
        <f t="shared" si="17"/>
        <v>-20284.4</v>
      </c>
      <c r="O44" s="46">
        <f t="shared" si="16"/>
        <v>-614809.6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SUM(B47:B54)</f>
        <v>-29767.100000000002</v>
      </c>
      <c r="C46" s="26">
        <f aca="true" t="shared" si="19" ref="C46:O46">SUM(C47:C54)</f>
        <v>-21107.07</v>
      </c>
      <c r="D46" s="26">
        <f t="shared" si="19"/>
        <v>-20453.89</v>
      </c>
      <c r="E46" s="26">
        <f t="shared" si="19"/>
        <v>-4941.07</v>
      </c>
      <c r="F46" s="26">
        <f t="shared" si="19"/>
        <v>-20706.61</v>
      </c>
      <c r="G46" s="26">
        <f t="shared" si="19"/>
        <v>-25401.11</v>
      </c>
      <c r="H46" s="26">
        <f t="shared" si="19"/>
        <v>-20862.36</v>
      </c>
      <c r="I46" s="26">
        <f t="shared" si="19"/>
        <v>-7302.03</v>
      </c>
      <c r="J46" s="26">
        <f t="shared" si="19"/>
        <v>-23741.3</v>
      </c>
      <c r="K46" s="26">
        <f t="shared" si="19"/>
        <v>-18968.95</v>
      </c>
      <c r="L46" s="26">
        <f t="shared" si="19"/>
        <v>-23169.61</v>
      </c>
      <c r="M46" s="26">
        <f t="shared" si="19"/>
        <v>-10452.66</v>
      </c>
      <c r="N46" s="26">
        <f t="shared" si="19"/>
        <v>-6079.28</v>
      </c>
      <c r="O46" s="26">
        <f t="shared" si="19"/>
        <v>-232953.04000000004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6"/>
        <v>-2500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103</v>
      </c>
      <c r="B54" s="24">
        <f>-5645.52-24121.58</f>
        <v>-29767.100000000002</v>
      </c>
      <c r="C54" s="24">
        <f>-6073.92-15033.15</f>
        <v>-21107.07</v>
      </c>
      <c r="D54" s="24">
        <f>-20453.89</f>
        <v>-20453.89</v>
      </c>
      <c r="E54" s="24">
        <v>-3941.07</v>
      </c>
      <c r="F54" s="24">
        <v>-20706.61</v>
      </c>
      <c r="G54" s="24">
        <v>-25401.11</v>
      </c>
      <c r="H54" s="24">
        <v>-20862.36</v>
      </c>
      <c r="I54" s="24">
        <v>-5802.03</v>
      </c>
      <c r="J54" s="24">
        <v>-23741.3</v>
      </c>
      <c r="K54" s="24">
        <v>-18968.95</v>
      </c>
      <c r="L54" s="24">
        <v>-23169.61</v>
      </c>
      <c r="M54" s="24">
        <v>-10452.66</v>
      </c>
      <c r="N54" s="24">
        <v>-6079.28</v>
      </c>
      <c r="O54" s="24">
        <f t="shared" si="16"/>
        <v>-230453.04000000004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20"/>
    </row>
    <row r="58" spans="1:26" ht="15.75">
      <c r="A58" s="2" t="s">
        <v>68</v>
      </c>
      <c r="B58" s="29">
        <f>+B36+B42</f>
        <v>972369.7063361602</v>
      </c>
      <c r="C58" s="29">
        <f>+C36+C42</f>
        <v>678254.246991</v>
      </c>
      <c r="D58" s="29">
        <f>+D36+D42</f>
        <v>655778.3526078002</v>
      </c>
      <c r="E58" s="29">
        <f>+E36+E42</f>
        <v>126609.56616639998</v>
      </c>
      <c r="F58" s="29">
        <f>+F36+F42</f>
        <v>658100.8182855999</v>
      </c>
      <c r="G58" s="29">
        <f>+G36+G42</f>
        <v>805879.2212</v>
      </c>
      <c r="H58" s="29">
        <f>+H36+H42</f>
        <v>664098.001</v>
      </c>
      <c r="I58" s="29">
        <f>+I36+I42</f>
        <v>185392.5016444</v>
      </c>
      <c r="J58" s="29">
        <f>+J36+J42</f>
        <v>780974.9214975999</v>
      </c>
      <c r="K58" s="29">
        <f>+K36+K42</f>
        <v>605776.3620291</v>
      </c>
      <c r="L58" s="29">
        <f>+L36+L42</f>
        <v>747002.40928272</v>
      </c>
      <c r="M58" s="29">
        <f>+M36+M42</f>
        <v>350068.2848542599</v>
      </c>
      <c r="N58" s="29">
        <f>+N36+N42</f>
        <v>203523.73251008004</v>
      </c>
      <c r="O58" s="29">
        <f>SUM(B58:N58)</f>
        <v>7433828.12440512</v>
      </c>
      <c r="P58"/>
      <c r="Q58"/>
      <c r="R58"/>
      <c r="S58"/>
      <c r="T58"/>
      <c r="U58"/>
      <c r="V58"/>
      <c r="W58"/>
      <c r="X58"/>
      <c r="Y58"/>
      <c r="Z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7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  <c r="Q60" s="79"/>
    </row>
    <row r="61" spans="1:15" ht="18.75" customHeight="1">
      <c r="A61" s="2" t="s">
        <v>69</v>
      </c>
      <c r="B61" s="36">
        <f>SUM(B62:B75)</f>
        <v>972369.7</v>
      </c>
      <c r="C61" s="36">
        <f aca="true" t="shared" si="20" ref="C61:N61">SUM(C62:C75)</f>
        <v>678254.24</v>
      </c>
      <c r="D61" s="36">
        <f t="shared" si="20"/>
        <v>655778.35</v>
      </c>
      <c r="E61" s="36">
        <f t="shared" si="20"/>
        <v>126609.56</v>
      </c>
      <c r="F61" s="36">
        <f t="shared" si="20"/>
        <v>658100.82</v>
      </c>
      <c r="G61" s="36">
        <f t="shared" si="20"/>
        <v>805879.22</v>
      </c>
      <c r="H61" s="36">
        <f t="shared" si="20"/>
        <v>664098</v>
      </c>
      <c r="I61" s="36">
        <f t="shared" si="20"/>
        <v>185392.5</v>
      </c>
      <c r="J61" s="36">
        <f t="shared" si="20"/>
        <v>780974.9199999999</v>
      </c>
      <c r="K61" s="36">
        <f t="shared" si="20"/>
        <v>605776.36</v>
      </c>
      <c r="L61" s="36">
        <f t="shared" si="20"/>
        <v>747002.4099999999</v>
      </c>
      <c r="M61" s="36">
        <f t="shared" si="20"/>
        <v>350068.28</v>
      </c>
      <c r="N61" s="36">
        <f t="shared" si="20"/>
        <v>203523.73</v>
      </c>
      <c r="O61" s="29">
        <f>SUM(O62:O75)</f>
        <v>7433828.090000001</v>
      </c>
    </row>
    <row r="62" spans="1:16" ht="18.75" customHeight="1">
      <c r="A62" s="17" t="s">
        <v>70</v>
      </c>
      <c r="B62" s="36">
        <f>187276.68+567.13</f>
        <v>187843.81</v>
      </c>
      <c r="C62" s="36">
        <v>192249.78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380093.58999999997</v>
      </c>
      <c r="P62"/>
    </row>
    <row r="63" spans="1:16" ht="18.75" customHeight="1">
      <c r="A63" s="17" t="s">
        <v>71</v>
      </c>
      <c r="B63" s="36">
        <f>781024.37+3501.52</f>
        <v>784525.89</v>
      </c>
      <c r="C63" s="36">
        <f>483155.04+2849.42</f>
        <v>486004.45999999996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1270530.35</v>
      </c>
      <c r="P63"/>
    </row>
    <row r="64" spans="1:17" ht="18.75" customHeight="1">
      <c r="A64" s="17" t="s">
        <v>72</v>
      </c>
      <c r="B64" s="35">
        <v>0</v>
      </c>
      <c r="C64" s="35">
        <v>0</v>
      </c>
      <c r="D64" s="26">
        <v>655778.35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655778.35</v>
      </c>
      <c r="Q64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126609.56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126609.56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658100.82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658100.82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805879.22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805879.22</v>
      </c>
      <c r="T67"/>
    </row>
    <row r="68" spans="1:21" ht="18.75" customHeight="1">
      <c r="A68" s="17" t="s">
        <v>101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660594.64+3503.36</f>
        <v>664098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664098</v>
      </c>
      <c r="U68"/>
    </row>
    <row r="69" spans="1:21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f>185392.5</f>
        <v>185392.5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185392.5</v>
      </c>
      <c r="U69"/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776916.7+4058.22</f>
        <v>780974.9199999999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780974.9199999999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602269.01+3507.35</f>
        <v>605776.36</v>
      </c>
      <c r="L71" s="35">
        <v>0</v>
      </c>
      <c r="M71" s="35">
        <v>0</v>
      </c>
      <c r="N71" s="35">
        <v>0</v>
      </c>
      <c r="O71" s="29">
        <f t="shared" si="21"/>
        <v>605776.36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742944.19+4058.22</f>
        <v>747002.4099999999</v>
      </c>
      <c r="M72" s="35">
        <v>0</v>
      </c>
      <c r="N72" s="35">
        <v>0</v>
      </c>
      <c r="O72" s="26">
        <f t="shared" si="21"/>
        <v>747002.4099999999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347733.2+2335.08</f>
        <v>350068.28</v>
      </c>
      <c r="N73" s="35">
        <v>0</v>
      </c>
      <c r="O73" s="29">
        <f t="shared" si="21"/>
        <v>350068.28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203523.73</v>
      </c>
      <c r="O74" s="26">
        <f t="shared" si="21"/>
        <v>203523.73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106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2.332937415662582</v>
      </c>
      <c r="C79" s="44">
        <v>2.3023722258328267</v>
      </c>
      <c r="D79" s="44">
        <v>0</v>
      </c>
      <c r="E79" s="44">
        <v>0</v>
      </c>
      <c r="F79" s="35">
        <v>0</v>
      </c>
      <c r="G79" s="35">
        <v>0</v>
      </c>
      <c r="H79" s="35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2.0385588105700925</v>
      </c>
      <c r="C80" s="44">
        <v>1.923826346067918</v>
      </c>
      <c r="D80" s="44">
        <v>0</v>
      </c>
      <c r="E80" s="44">
        <v>0</v>
      </c>
      <c r="F80" s="35">
        <v>0</v>
      </c>
      <c r="G80" s="35">
        <v>0</v>
      </c>
      <c r="H80" s="35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84</v>
      </c>
      <c r="B81" s="44">
        <v>0</v>
      </c>
      <c r="C81" s="44">
        <v>0</v>
      </c>
      <c r="D81" s="22">
        <f>(D$37+D$38+D$39)/D$7</f>
        <v>1.868276410124533</v>
      </c>
      <c r="E81" s="44">
        <v>0</v>
      </c>
      <c r="F81" s="35">
        <v>0</v>
      </c>
      <c r="G81" s="35">
        <v>0</v>
      </c>
      <c r="H81" s="35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2.60020602643547</v>
      </c>
      <c r="F82" s="35">
        <v>0</v>
      </c>
      <c r="G82" s="35">
        <v>0</v>
      </c>
      <c r="H82" s="35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2.181475275322822</v>
      </c>
      <c r="G83" s="35">
        <v>0</v>
      </c>
      <c r="H83" s="35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1.729852553264983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102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2.034553780913768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35">
        <v>0</v>
      </c>
      <c r="I86" s="44">
        <f>(I$37+I$38+I$39)/I$7</f>
        <v>1.9910510953817153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35">
        <v>0</v>
      </c>
      <c r="I87" s="44">
        <v>0</v>
      </c>
      <c r="J87" s="44">
        <f>(J$37+J$38+J$39)/J$7</f>
        <v>1.9762836782830555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35">
        <v>0</v>
      </c>
      <c r="I88" s="44">
        <v>0</v>
      </c>
      <c r="J88" s="44">
        <v>0</v>
      </c>
      <c r="K88" s="44">
        <f>(K$37+K$38+K$39)/K$7</f>
        <v>2.226097950049139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35">
        <v>0</v>
      </c>
      <c r="I89" s="44">
        <v>0</v>
      </c>
      <c r="J89" s="44">
        <v>0</v>
      </c>
      <c r="K89" s="44">
        <v>0</v>
      </c>
      <c r="L89" s="22">
        <f>(L$37+L$38+L$39)/L$7</f>
        <v>2.1282852223230546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35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2.5268866806137074</v>
      </c>
      <c r="N90" s="44">
        <v>0</v>
      </c>
      <c r="O90" s="61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2.4754211624034115</v>
      </c>
      <c r="O91" s="50"/>
      <c r="P91"/>
      <c r="Z91"/>
    </row>
    <row r="92" spans="1:14" ht="21" customHeight="1">
      <c r="A92" s="75" t="s">
        <v>104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7"/>
    </row>
    <row r="93" spans="1:14" ht="48.75" customHeight="1">
      <c r="A93" s="78" t="s">
        <v>105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3:N93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2017-10-04T14:59:10Z</dcterms:modified>
  <cp:category/>
  <cp:version/>
  <cp:contentType/>
  <cp:contentStatus/>
</cp:coreProperties>
</file>