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<sst xmlns="http://schemas.openxmlformats.org/spreadsheetml/2006/main" count="109" uniqueCount="107">
  <si>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</si>
  <si>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</si>
  <si>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</si>
  <si>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</si>
  <si>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</si>
  <si>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</si>
  <si>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</si>
  <si>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</si>
  <si>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</si>
  <si>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</si>
  <si>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</si>
  <si>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</si>
  <si>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</si>
  <si>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</si>
  <si>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</si>
  <si>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</si>
  <si>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</si>
  <si>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</si>
  <si>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</si>
  <si>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</si>
  <si>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</si>
  <si>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</si>
  <si>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</si>
  <si>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</si>
  <si>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</si>
  <si>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</si>
  <si>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</si>
  <si>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</si>
  <si>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</si>
  <si>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</si>
  <si>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</si>
  <si>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</si>
  <si>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</si>
  <si>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</si>
  <si>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</si>
  <si>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</si>
  <si>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</si>
  <si>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</si>
  <si>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</si>
  <si>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</si>
  <si>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</si>
  <si>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</si>
  <si>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</si>
  <si>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</si>
  <si>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</si>
  <si>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</si>
  <si>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</si>
  <si>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</si>
  <si>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</si>
  <si>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</si>
  <si>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</si>
  <si>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</si>
  <si>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</si>
  <si>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</si>
  <si>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</si>
  <si>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</si>
  <si>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</si>
  <si>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</si>
  <si>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</si>
  <si>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</si>
  <si>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</si>
  <si>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</si>
  <si>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</si>
  <si>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</si>
  <si>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</si>
  <si>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</si>
  <si>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</si>
  <si>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</si>
  <si>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</si>
  <si>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</si>
  <si>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</si>
  <si>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</si>
  <si>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</si>
  <si>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</si>
  <si>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</si>
  <si>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</si>
  <si>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</si>
  <si>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</si>
  <si>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</si>
  <si>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</si>
  <si>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</si>
  <si>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</si>
  <si>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</si>
  <si>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</si>
  <si>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</si>
  <si>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</si>
  <si>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</si>
  <si>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</si>
  <si>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</si>
  <si>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</si>
  <si>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</si>
  <si>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</si>
  <si>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</si>
  <si>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</si>
  <si>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27/09/17 - VENCIMENTO 04/10/17</t>
  </si>
  <si>
    <t>8.7. Movebuss</t>
  </si>
  <si>
    <t>7.7. Movebuss</t>
  </si>
  <si>
    <t>Movebuss Soluções em Mobilidde Urbana Ltda</t>
  </si>
  <si>
    <t>Imperial Transportes Urbanos Ltda</t>
  </si>
  <si>
    <t>Área 3.1</t>
  </si>
  <si>
    <t>Área 4.0</t>
  </si>
  <si>
    <t>Área 4.1</t>
  </si>
  <si>
    <t>Átea 5.1</t>
  </si>
  <si>
    <t>8. Tarifa de Remuneração por Passageiro (2)</t>
  </si>
  <si>
    <t>Nota:</t>
  </si>
  <si>
    <t>(1) Ajuste de remuneração, previsto contratualmente, período de 25/08 a 24/09/17, parcela 02/20.
(2) Tarifa de remuneração de cada empresa considerando o  reequilibrio interno estabelecido e informado pelo consórcio. Não consideram os acertos financeiros previstos no item 7.</t>
  </si>
  <si>
    <t>5.2.8. Ajuste de Remuneração Previsto Contratualmente (1)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</si>
</sst>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9" fontId="0" fillId="0" borderId="0" xfId="0" applyNumberFormat="1" applyAlignment="1">
      <alignment/>
    </xf>
    <xf numFmtId="172" fontId="0" fillId="0" borderId="0" xfId="52" applyNumberFormat="1" applyFont="1" applyAlignment="1">
      <alignment/>
    </xf>
    <xf numFmtId="172" fontId="0" fillId="0" borderId="0" xfId="52" applyNumberFormat="1" applyFont="1" applyFill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170" fontId="42" fillId="0" borderId="0" xfId="45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0" xfId="0" applyFont="1" applyFill="1" applyAlignment="1">
      <alignment horizontal="left" vertical="center" wrapText="1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96</xdr:row>
      <xdr:rowOff>0</xdr:rowOff>
    </xdr:from>
    <xdr:to>
      <xdr:col>2</xdr:col>
      <xdr:colOff>638175</xdr:colOff>
      <xdr:row>96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993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638175</xdr:colOff>
      <xdr:row>96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993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638175</xdr:colOff>
      <xdr:row>96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993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9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8" width="17.50390625" style="1" customWidth="1"/>
    <col min="9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00390625" style="1" customWidth="1"/>
    <col min="17" max="17" width="13.125" style="1" bestFit="1" customWidth="1"/>
    <col min="18" max="16384" width="9.00390625" style="1" customWidth="1"/>
  </cols>
  <sheetData>
    <row r="1" spans="1:15" ht="21">
      <c r="A1" s="70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21">
      <c r="A2" s="71" t="s">
        <v>94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2" t="s">
        <v>1</v>
      </c>
      <c r="B4" s="72" t="s">
        <v>38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 t="s">
        <v>2</v>
      </c>
    </row>
    <row r="5" spans="1:15" ht="42" customHeight="1">
      <c r="A5" s="72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97</v>
      </c>
      <c r="I5" s="4" t="s">
        <v>98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2"/>
    </row>
    <row r="6" spans="1:15" ht="20.25" customHeight="1">
      <c r="A6" s="72"/>
      <c r="B6" s="3" t="s">
        <v>21</v>
      </c>
      <c r="C6" s="3" t="s">
        <v>22</v>
      </c>
      <c r="D6" s="3" t="s">
        <v>23</v>
      </c>
      <c r="E6" s="3" t="s">
        <v>99</v>
      </c>
      <c r="F6" s="3" t="s">
        <v>100</v>
      </c>
      <c r="G6" s="3" t="s">
        <v>101</v>
      </c>
      <c r="H6" s="3" t="s">
        <v>29</v>
      </c>
      <c r="I6" s="3" t="s">
        <v>102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2"/>
    </row>
    <row r="7" spans="1:26" ht="18.75" customHeight="1">
      <c r="A7" s="9" t="s">
        <v>3</v>
      </c>
      <c r="B7" s="10">
        <f>B8+B20+B24</f>
        <v>519982</v>
      </c>
      <c r="C7" s="10">
        <f>C8+C20+C24</f>
        <v>387359</v>
      </c>
      <c r="D7" s="10">
        <f>D8+D20+D24</f>
        <v>393368</v>
      </c>
      <c r="E7" s="10">
        <f>E8+E20+E24</f>
        <v>54031</v>
      </c>
      <c r="F7" s="10">
        <f aca="true" t="shared" si="0" ref="F7:N7">F8+F20+F24</f>
        <v>338970</v>
      </c>
      <c r="G7" s="10">
        <f t="shared" si="0"/>
        <v>541451</v>
      </c>
      <c r="H7" s="10">
        <f t="shared" si="0"/>
        <v>378767</v>
      </c>
      <c r="I7" s="10">
        <f t="shared" si="0"/>
        <v>104969</v>
      </c>
      <c r="J7" s="10">
        <f t="shared" si="0"/>
        <v>430507</v>
      </c>
      <c r="K7" s="10">
        <f t="shared" si="0"/>
        <v>308094</v>
      </c>
      <c r="L7" s="10">
        <f t="shared" si="0"/>
        <v>384963</v>
      </c>
      <c r="M7" s="10">
        <f t="shared" si="0"/>
        <v>153960</v>
      </c>
      <c r="N7" s="10">
        <f t="shared" si="0"/>
        <v>92982</v>
      </c>
      <c r="O7" s="10">
        <f>+O8+O20+O24</f>
        <v>4089403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216742</v>
      </c>
      <c r="C8" s="12">
        <f>+C9+C12+C16</f>
        <v>174285</v>
      </c>
      <c r="D8" s="12">
        <f>+D9+D12+D16</f>
        <v>189344</v>
      </c>
      <c r="E8" s="12">
        <f>+E9+E12+E16</f>
        <v>23525</v>
      </c>
      <c r="F8" s="12">
        <f aca="true" t="shared" si="1" ref="F8:N8">+F9+F12+F16</f>
        <v>150413</v>
      </c>
      <c r="G8" s="12">
        <f t="shared" si="1"/>
        <v>247450</v>
      </c>
      <c r="H8" s="12">
        <f t="shared" si="1"/>
        <v>166628</v>
      </c>
      <c r="I8" s="12">
        <f t="shared" si="1"/>
        <v>48541</v>
      </c>
      <c r="J8" s="12">
        <f t="shared" si="1"/>
        <v>196838</v>
      </c>
      <c r="K8" s="12">
        <f t="shared" si="1"/>
        <v>141053</v>
      </c>
      <c r="L8" s="12">
        <f t="shared" si="1"/>
        <v>163587</v>
      </c>
      <c r="M8" s="12">
        <f t="shared" si="1"/>
        <v>76345</v>
      </c>
      <c r="N8" s="12">
        <f t="shared" si="1"/>
        <v>47132</v>
      </c>
      <c r="O8" s="12">
        <f>SUM(B8:N8)</f>
        <v>1841883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18604</v>
      </c>
      <c r="C9" s="14">
        <v>18937</v>
      </c>
      <c r="D9" s="14">
        <v>13549</v>
      </c>
      <c r="E9" s="14">
        <v>1379</v>
      </c>
      <c r="F9" s="14">
        <v>11497</v>
      </c>
      <c r="G9" s="14">
        <v>21168</v>
      </c>
      <c r="H9" s="14">
        <v>19047</v>
      </c>
      <c r="I9" s="14">
        <v>5580</v>
      </c>
      <c r="J9" s="14">
        <v>11199</v>
      </c>
      <c r="K9" s="14">
        <v>14628</v>
      </c>
      <c r="L9" s="14">
        <v>11132</v>
      </c>
      <c r="M9" s="14">
        <f>7910+29</f>
        <v>7939</v>
      </c>
      <c r="N9" s="14">
        <v>5043</v>
      </c>
      <c r="O9" s="12">
        <f aca="true" t="shared" si="2" ref="O9:O19">SUM(B9:N9)</f>
        <v>159702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18604</v>
      </c>
      <c r="C10" s="14">
        <f>+C9-C11</f>
        <v>18937</v>
      </c>
      <c r="D10" s="14">
        <f>+D9-D11</f>
        <v>13549</v>
      </c>
      <c r="E10" s="14">
        <f>+E9-E11</f>
        <v>1379</v>
      </c>
      <c r="F10" s="14">
        <f aca="true" t="shared" si="3" ref="F10:N10">+F9-F11</f>
        <v>11497</v>
      </c>
      <c r="G10" s="14">
        <f t="shared" si="3"/>
        <v>21168</v>
      </c>
      <c r="H10" s="14">
        <f t="shared" si="3"/>
        <v>19047</v>
      </c>
      <c r="I10" s="14">
        <f t="shared" si="3"/>
        <v>5580</v>
      </c>
      <c r="J10" s="14">
        <f t="shared" si="3"/>
        <v>11199</v>
      </c>
      <c r="K10" s="14">
        <f t="shared" si="3"/>
        <v>14628</v>
      </c>
      <c r="L10" s="14">
        <f t="shared" si="3"/>
        <v>11132</v>
      </c>
      <c r="M10" s="14">
        <f t="shared" si="3"/>
        <v>7939</v>
      </c>
      <c r="N10" s="14">
        <f t="shared" si="3"/>
        <v>5043</v>
      </c>
      <c r="O10" s="12">
        <f t="shared" si="2"/>
        <v>159702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186235</v>
      </c>
      <c r="C12" s="14">
        <f>C13+C14+C15</f>
        <v>146352</v>
      </c>
      <c r="D12" s="14">
        <f>D13+D14+D15</f>
        <v>166474</v>
      </c>
      <c r="E12" s="14">
        <f>E13+E14+E15</f>
        <v>20967</v>
      </c>
      <c r="F12" s="14">
        <f aca="true" t="shared" si="4" ref="F12:N12">F13+F14+F15</f>
        <v>130605</v>
      </c>
      <c r="G12" s="14">
        <f t="shared" si="4"/>
        <v>211915</v>
      </c>
      <c r="H12" s="14">
        <f t="shared" si="4"/>
        <v>138968</v>
      </c>
      <c r="I12" s="14">
        <f t="shared" si="4"/>
        <v>40404</v>
      </c>
      <c r="J12" s="14">
        <f t="shared" si="4"/>
        <v>174094</v>
      </c>
      <c r="K12" s="14">
        <f t="shared" si="4"/>
        <v>118925</v>
      </c>
      <c r="L12" s="14">
        <f t="shared" si="4"/>
        <v>142148</v>
      </c>
      <c r="M12" s="14">
        <f t="shared" si="4"/>
        <v>64607</v>
      </c>
      <c r="N12" s="14">
        <f t="shared" si="4"/>
        <v>39948</v>
      </c>
      <c r="O12" s="12">
        <f t="shared" si="2"/>
        <v>1581642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93544</v>
      </c>
      <c r="C13" s="14">
        <v>74769</v>
      </c>
      <c r="D13" s="14">
        <v>81434</v>
      </c>
      <c r="E13" s="14">
        <v>10560</v>
      </c>
      <c r="F13" s="14">
        <v>64038</v>
      </c>
      <c r="G13" s="14">
        <v>105146</v>
      </c>
      <c r="H13" s="14">
        <v>72483</v>
      </c>
      <c r="I13" s="14">
        <v>21338</v>
      </c>
      <c r="J13" s="14">
        <v>89688</v>
      </c>
      <c r="K13" s="14">
        <v>59430</v>
      </c>
      <c r="L13" s="14">
        <v>70623</v>
      </c>
      <c r="M13" s="14">
        <v>31525</v>
      </c>
      <c r="N13" s="14">
        <v>18825</v>
      </c>
      <c r="O13" s="12">
        <f t="shared" si="2"/>
        <v>793403</v>
      </c>
      <c r="P13"/>
      <c r="Q13"/>
      <c r="R13"/>
      <c r="S13"/>
      <c r="T13" s="65"/>
      <c r="U13" s="65"/>
      <c r="V13"/>
      <c r="W13"/>
      <c r="X13"/>
      <c r="Y13"/>
      <c r="Z13"/>
    </row>
    <row r="14" spans="1:26" ht="18.75" customHeight="1">
      <c r="A14" s="15" t="s">
        <v>8</v>
      </c>
      <c r="B14" s="14">
        <v>87438</v>
      </c>
      <c r="C14" s="14">
        <v>65201</v>
      </c>
      <c r="D14" s="14">
        <v>81684</v>
      </c>
      <c r="E14" s="14">
        <v>9689</v>
      </c>
      <c r="F14" s="14">
        <v>62170</v>
      </c>
      <c r="G14" s="14">
        <v>97719</v>
      </c>
      <c r="H14" s="14">
        <v>61773</v>
      </c>
      <c r="I14" s="14">
        <v>17657</v>
      </c>
      <c r="J14" s="14">
        <v>81081</v>
      </c>
      <c r="K14" s="14">
        <v>55742</v>
      </c>
      <c r="L14" s="14">
        <v>67976</v>
      </c>
      <c r="M14" s="14">
        <v>30947</v>
      </c>
      <c r="N14" s="14">
        <v>20115</v>
      </c>
      <c r="O14" s="12">
        <f t="shared" si="2"/>
        <v>739192</v>
      </c>
      <c r="P14"/>
      <c r="Q14"/>
      <c r="R14"/>
      <c r="S14"/>
      <c r="T14" s="66"/>
      <c r="U14" s="66"/>
      <c r="V14"/>
      <c r="W14"/>
      <c r="X14"/>
      <c r="Y14"/>
      <c r="Z14"/>
    </row>
    <row r="15" spans="1:26" ht="18.75" customHeight="1">
      <c r="A15" s="15" t="s">
        <v>9</v>
      </c>
      <c r="B15" s="14">
        <v>5253</v>
      </c>
      <c r="C15" s="14">
        <v>6382</v>
      </c>
      <c r="D15" s="14">
        <v>3356</v>
      </c>
      <c r="E15" s="14">
        <v>718</v>
      </c>
      <c r="F15" s="14">
        <v>4397</v>
      </c>
      <c r="G15" s="14">
        <v>9050</v>
      </c>
      <c r="H15" s="14">
        <v>4712</v>
      </c>
      <c r="I15" s="14">
        <v>1409</v>
      </c>
      <c r="J15" s="14">
        <v>3325</v>
      </c>
      <c r="K15" s="14">
        <v>3753</v>
      </c>
      <c r="L15" s="14">
        <v>3549</v>
      </c>
      <c r="M15" s="14">
        <v>2135</v>
      </c>
      <c r="N15" s="14">
        <v>1008</v>
      </c>
      <c r="O15" s="12">
        <f t="shared" si="2"/>
        <v>49047</v>
      </c>
      <c r="P15"/>
      <c r="Q15"/>
      <c r="R15"/>
      <c r="S15"/>
      <c r="T15" s="66"/>
      <c r="U15" s="66"/>
      <c r="V15"/>
      <c r="W15"/>
      <c r="X15"/>
      <c r="Y15"/>
      <c r="Z15"/>
    </row>
    <row r="16" spans="1:21" ht="18.75" customHeight="1">
      <c r="A16" s="16" t="s">
        <v>19</v>
      </c>
      <c r="B16" s="14">
        <f>B17+B18+B19</f>
        <v>11903</v>
      </c>
      <c r="C16" s="14">
        <f>C17+C18+C19</f>
        <v>8996</v>
      </c>
      <c r="D16" s="14">
        <f>D17+D18+D19</f>
        <v>9321</v>
      </c>
      <c r="E16" s="14">
        <f>E17+E18+E19</f>
        <v>1179</v>
      </c>
      <c r="F16" s="14">
        <f aca="true" t="shared" si="5" ref="F16:N16">F17+F18+F19</f>
        <v>8311</v>
      </c>
      <c r="G16" s="14">
        <f t="shared" si="5"/>
        <v>14367</v>
      </c>
      <c r="H16" s="14">
        <f t="shared" si="5"/>
        <v>8613</v>
      </c>
      <c r="I16" s="14">
        <f t="shared" si="5"/>
        <v>2557</v>
      </c>
      <c r="J16" s="14">
        <f t="shared" si="5"/>
        <v>11545</v>
      </c>
      <c r="K16" s="14">
        <f t="shared" si="5"/>
        <v>7500</v>
      </c>
      <c r="L16" s="14">
        <f t="shared" si="5"/>
        <v>10307</v>
      </c>
      <c r="M16" s="14">
        <f t="shared" si="5"/>
        <v>3799</v>
      </c>
      <c r="N16" s="14">
        <f t="shared" si="5"/>
        <v>2141</v>
      </c>
      <c r="O16" s="12">
        <f t="shared" si="2"/>
        <v>100539</v>
      </c>
      <c r="T16" s="67"/>
      <c r="U16" s="67"/>
    </row>
    <row r="17" spans="1:26" ht="18.75" customHeight="1">
      <c r="A17" s="15" t="s">
        <v>16</v>
      </c>
      <c r="B17" s="14">
        <v>11830</v>
      </c>
      <c r="C17" s="14">
        <v>8935</v>
      </c>
      <c r="D17" s="14">
        <v>9271</v>
      </c>
      <c r="E17" s="14">
        <v>1171</v>
      </c>
      <c r="F17" s="14">
        <v>8273</v>
      </c>
      <c r="G17" s="14">
        <v>14288</v>
      </c>
      <c r="H17" s="14">
        <v>8550</v>
      </c>
      <c r="I17" s="14">
        <v>2536</v>
      </c>
      <c r="J17" s="14">
        <v>11488</v>
      </c>
      <c r="K17" s="14">
        <v>7444</v>
      </c>
      <c r="L17" s="14">
        <v>10234</v>
      </c>
      <c r="M17" s="14">
        <f>1898+1868</f>
        <v>3766</v>
      </c>
      <c r="N17" s="14">
        <v>2115</v>
      </c>
      <c r="O17" s="12">
        <f t="shared" si="2"/>
        <v>99901</v>
      </c>
      <c r="P17"/>
      <c r="Q17"/>
      <c r="R17"/>
      <c r="S17"/>
      <c r="T17" s="66"/>
      <c r="U17" s="66"/>
      <c r="V17"/>
      <c r="W17"/>
      <c r="X17"/>
      <c r="Y17"/>
      <c r="Z17"/>
    </row>
    <row r="18" spans="1:26" ht="18.75" customHeight="1">
      <c r="A18" s="15" t="s">
        <v>17</v>
      </c>
      <c r="B18" s="14">
        <v>62</v>
      </c>
      <c r="C18" s="14">
        <v>49</v>
      </c>
      <c r="D18" s="14">
        <v>45</v>
      </c>
      <c r="E18" s="14">
        <v>8</v>
      </c>
      <c r="F18" s="14">
        <v>34</v>
      </c>
      <c r="G18" s="14">
        <v>70</v>
      </c>
      <c r="H18" s="14">
        <v>59</v>
      </c>
      <c r="I18" s="14">
        <v>17</v>
      </c>
      <c r="J18" s="14">
        <v>49</v>
      </c>
      <c r="K18" s="14">
        <v>49</v>
      </c>
      <c r="L18" s="14">
        <v>69</v>
      </c>
      <c r="M18" s="14">
        <f>21+8</f>
        <v>29</v>
      </c>
      <c r="N18" s="14">
        <v>26</v>
      </c>
      <c r="O18" s="12">
        <f t="shared" si="2"/>
        <v>566</v>
      </c>
      <c r="P18"/>
      <c r="Q18"/>
      <c r="R18"/>
      <c r="S18"/>
      <c r="T18" s="66"/>
      <c r="U18" s="66"/>
      <c r="V18"/>
      <c r="W18"/>
      <c r="X18"/>
      <c r="Y18"/>
      <c r="Z18"/>
    </row>
    <row r="19" spans="1:26" ht="18.75" customHeight="1">
      <c r="A19" s="15" t="s">
        <v>18</v>
      </c>
      <c r="B19" s="14">
        <v>11</v>
      </c>
      <c r="C19" s="14">
        <v>12</v>
      </c>
      <c r="D19" s="14">
        <v>5</v>
      </c>
      <c r="E19" s="14">
        <v>0</v>
      </c>
      <c r="F19" s="14">
        <v>4</v>
      </c>
      <c r="G19" s="14">
        <v>9</v>
      </c>
      <c r="H19" s="14">
        <v>4</v>
      </c>
      <c r="I19" s="14">
        <v>4</v>
      </c>
      <c r="J19" s="14">
        <v>8</v>
      </c>
      <c r="K19" s="14">
        <v>7</v>
      </c>
      <c r="L19" s="14">
        <v>4</v>
      </c>
      <c r="M19" s="14">
        <f>2+2</f>
        <v>4</v>
      </c>
      <c r="N19" s="14">
        <v>0</v>
      </c>
      <c r="O19" s="12">
        <f t="shared" si="2"/>
        <v>72</v>
      </c>
      <c r="P19"/>
      <c r="Q19"/>
      <c r="R19"/>
      <c r="S19"/>
      <c r="T19" s="66"/>
      <c r="U19" s="66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138139</v>
      </c>
      <c r="C20" s="18">
        <f>C21+C22+C23</f>
        <v>87839</v>
      </c>
      <c r="D20" s="18">
        <f>D21+D22+D23</f>
        <v>81534</v>
      </c>
      <c r="E20" s="18">
        <f>E21+E22+E23</f>
        <v>11377</v>
      </c>
      <c r="F20" s="18">
        <f aca="true" t="shared" si="6" ref="F20:N20">F21+F22+F23</f>
        <v>70653</v>
      </c>
      <c r="G20" s="18">
        <f t="shared" si="6"/>
        <v>114570</v>
      </c>
      <c r="H20" s="18">
        <f t="shared" si="6"/>
        <v>92746</v>
      </c>
      <c r="I20" s="18">
        <f t="shared" si="6"/>
        <v>25273</v>
      </c>
      <c r="J20" s="18">
        <f t="shared" si="6"/>
        <v>110656</v>
      </c>
      <c r="K20" s="18">
        <f t="shared" si="6"/>
        <v>73013</v>
      </c>
      <c r="L20" s="18">
        <f t="shared" si="6"/>
        <v>115332</v>
      </c>
      <c r="M20" s="18">
        <f t="shared" si="6"/>
        <v>42762</v>
      </c>
      <c r="N20" s="18">
        <f t="shared" si="6"/>
        <v>24625</v>
      </c>
      <c r="O20" s="12">
        <f aca="true" t="shared" si="7" ref="O20:O26">SUM(B20:N20)</f>
        <v>988519</v>
      </c>
      <c r="P20"/>
      <c r="Q20"/>
      <c r="R20"/>
      <c r="S20"/>
      <c r="T20" s="66"/>
      <c r="U20" s="66"/>
      <c r="V20"/>
      <c r="W20"/>
      <c r="X20"/>
      <c r="Y20"/>
      <c r="Z20"/>
    </row>
    <row r="21" spans="1:26" ht="18.75" customHeight="1">
      <c r="A21" s="13" t="s">
        <v>11</v>
      </c>
      <c r="B21" s="14">
        <v>75170</v>
      </c>
      <c r="C21" s="14">
        <v>50743</v>
      </c>
      <c r="D21" s="14">
        <v>44989</v>
      </c>
      <c r="E21" s="14">
        <v>6541</v>
      </c>
      <c r="F21" s="14">
        <v>39038</v>
      </c>
      <c r="G21" s="14">
        <v>64575</v>
      </c>
      <c r="H21" s="14">
        <v>54390</v>
      </c>
      <c r="I21" s="14">
        <v>15212</v>
      </c>
      <c r="J21" s="14">
        <v>62870</v>
      </c>
      <c r="K21" s="14">
        <v>40936</v>
      </c>
      <c r="L21" s="14">
        <v>62253</v>
      </c>
      <c r="M21" s="14">
        <v>23325</v>
      </c>
      <c r="N21" s="14">
        <v>13022</v>
      </c>
      <c r="O21" s="12">
        <f t="shared" si="7"/>
        <v>553064</v>
      </c>
      <c r="P21"/>
      <c r="Q21"/>
      <c r="R21"/>
      <c r="S21"/>
      <c r="T21" s="66"/>
      <c r="U21" s="66"/>
      <c r="V21"/>
      <c r="W21"/>
      <c r="X21"/>
      <c r="Y21"/>
      <c r="Z21"/>
    </row>
    <row r="22" spans="1:26" ht="18.75" customHeight="1">
      <c r="A22" s="13" t="s">
        <v>12</v>
      </c>
      <c r="B22" s="14">
        <v>60324</v>
      </c>
      <c r="C22" s="14">
        <v>34805</v>
      </c>
      <c r="D22" s="14">
        <v>35309</v>
      </c>
      <c r="E22" s="14">
        <v>4567</v>
      </c>
      <c r="F22" s="14">
        <v>30039</v>
      </c>
      <c r="G22" s="14">
        <v>46839</v>
      </c>
      <c r="H22" s="14">
        <v>36447</v>
      </c>
      <c r="I22" s="14">
        <v>9584</v>
      </c>
      <c r="J22" s="14">
        <v>46032</v>
      </c>
      <c r="K22" s="14">
        <v>30616</v>
      </c>
      <c r="L22" s="14">
        <v>51106</v>
      </c>
      <c r="M22" s="14">
        <v>18573</v>
      </c>
      <c r="N22" s="14">
        <v>11184</v>
      </c>
      <c r="O22" s="12">
        <f t="shared" si="7"/>
        <v>415425</v>
      </c>
      <c r="P22"/>
      <c r="Q22"/>
      <c r="R22"/>
      <c r="S22"/>
      <c r="T22" s="66"/>
      <c r="U22" s="66"/>
      <c r="V22"/>
      <c r="W22"/>
      <c r="X22"/>
      <c r="Y22"/>
      <c r="Z22"/>
    </row>
    <row r="23" spans="1:26" ht="18.75" customHeight="1">
      <c r="A23" s="13" t="s">
        <v>13</v>
      </c>
      <c r="B23" s="14">
        <v>2645</v>
      </c>
      <c r="C23" s="14">
        <v>2291</v>
      </c>
      <c r="D23" s="14">
        <v>1236</v>
      </c>
      <c r="E23" s="14">
        <v>269</v>
      </c>
      <c r="F23" s="14">
        <v>1576</v>
      </c>
      <c r="G23" s="14">
        <v>3156</v>
      </c>
      <c r="H23" s="14">
        <v>1909</v>
      </c>
      <c r="I23" s="14">
        <v>477</v>
      </c>
      <c r="J23" s="14">
        <v>1754</v>
      </c>
      <c r="K23" s="14">
        <v>1461</v>
      </c>
      <c r="L23" s="14">
        <v>1973</v>
      </c>
      <c r="M23" s="14">
        <v>864</v>
      </c>
      <c r="N23" s="14">
        <v>419</v>
      </c>
      <c r="O23" s="12">
        <f t="shared" si="7"/>
        <v>20030</v>
      </c>
      <c r="P23"/>
      <c r="Q23"/>
      <c r="R23"/>
      <c r="S23"/>
      <c r="T23" s="66"/>
      <c r="U23" s="66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165101</v>
      </c>
      <c r="C24" s="14">
        <f>C25+C26</f>
        <v>125235</v>
      </c>
      <c r="D24" s="14">
        <f>D25+D26</f>
        <v>122490</v>
      </c>
      <c r="E24" s="14">
        <f>E25+E26</f>
        <v>19129</v>
      </c>
      <c r="F24" s="14">
        <f aca="true" t="shared" si="8" ref="F24:N24">F25+F26</f>
        <v>117904</v>
      </c>
      <c r="G24" s="14">
        <f t="shared" si="8"/>
        <v>179431</v>
      </c>
      <c r="H24" s="14">
        <f t="shared" si="8"/>
        <v>119393</v>
      </c>
      <c r="I24" s="14">
        <f t="shared" si="8"/>
        <v>31155</v>
      </c>
      <c r="J24" s="14">
        <f t="shared" si="8"/>
        <v>123013</v>
      </c>
      <c r="K24" s="14">
        <f t="shared" si="8"/>
        <v>94028</v>
      </c>
      <c r="L24" s="14">
        <f t="shared" si="8"/>
        <v>106044</v>
      </c>
      <c r="M24" s="14">
        <f t="shared" si="8"/>
        <v>34853</v>
      </c>
      <c r="N24" s="14">
        <f t="shared" si="8"/>
        <v>21225</v>
      </c>
      <c r="O24" s="12">
        <f t="shared" si="7"/>
        <v>1259001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71659</v>
      </c>
      <c r="C25" s="14">
        <v>60949</v>
      </c>
      <c r="D25" s="14">
        <v>58869</v>
      </c>
      <c r="E25" s="14">
        <v>10393</v>
      </c>
      <c r="F25" s="14">
        <v>56991</v>
      </c>
      <c r="G25" s="14">
        <v>91844</v>
      </c>
      <c r="H25" s="14">
        <v>61279</v>
      </c>
      <c r="I25" s="14">
        <v>17667</v>
      </c>
      <c r="J25" s="14">
        <v>55821</v>
      </c>
      <c r="K25" s="14">
        <v>47878</v>
      </c>
      <c r="L25" s="14">
        <v>47741</v>
      </c>
      <c r="M25" s="14">
        <v>15674</v>
      </c>
      <c r="N25" s="14">
        <v>8391</v>
      </c>
      <c r="O25" s="12">
        <f t="shared" si="7"/>
        <v>605156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93442</v>
      </c>
      <c r="C26" s="14">
        <v>64286</v>
      </c>
      <c r="D26" s="14">
        <v>63621</v>
      </c>
      <c r="E26" s="14">
        <v>8736</v>
      </c>
      <c r="F26" s="14">
        <v>60913</v>
      </c>
      <c r="G26" s="14">
        <v>87587</v>
      </c>
      <c r="H26" s="14">
        <v>58114</v>
      </c>
      <c r="I26" s="14">
        <v>13488</v>
      </c>
      <c r="J26" s="14">
        <v>67192</v>
      </c>
      <c r="K26" s="14">
        <v>46150</v>
      </c>
      <c r="L26" s="14">
        <v>58303</v>
      </c>
      <c r="M26" s="14">
        <v>19179</v>
      </c>
      <c r="N26" s="14">
        <v>12834</v>
      </c>
      <c r="O26" s="12">
        <f t="shared" si="7"/>
        <v>653845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2.08270546</v>
      </c>
      <c r="C28" s="23">
        <f aca="true" t="shared" si="9" ref="C28:I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 t="shared" si="9"/>
        <v>2.0285</v>
      </c>
      <c r="I28" s="23">
        <f t="shared" si="9"/>
        <v>1.9850002</v>
      </c>
      <c r="J28" s="23">
        <f>J29+J30</f>
        <v>1.9703118</v>
      </c>
      <c r="K28" s="23">
        <f>K29+K30</f>
        <v>2.2191343</v>
      </c>
      <c r="L28" s="23">
        <f>L29+L30</f>
        <v>2.12144976</v>
      </c>
      <c r="M28" s="23">
        <f>M29+M30</f>
        <v>2.5186314299999997</v>
      </c>
      <c r="N28" s="23">
        <f>N29+N30</f>
        <v>2.46767856</v>
      </c>
      <c r="O28" s="63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2.0341</v>
      </c>
      <c r="I29" s="23">
        <v>1.9906</v>
      </c>
      <c r="J29" s="23">
        <v>1.976</v>
      </c>
      <c r="K29" s="23">
        <v>2.2255</v>
      </c>
      <c r="L29" s="23">
        <v>2.1277</v>
      </c>
      <c r="M29" s="23">
        <v>2.526</v>
      </c>
      <c r="N29" s="23">
        <v>2.475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4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I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>M33*M34</f>
        <v>1271.16</v>
      </c>
      <c r="N32" s="56">
        <f>N33*N34</f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1090295.08050172</v>
      </c>
      <c r="C36" s="60">
        <f aca="true" t="shared" si="11" ref="C36:N36">C37+C38+C39+C40</f>
        <v>784658.7983495</v>
      </c>
      <c r="D36" s="60">
        <f t="shared" si="11"/>
        <v>745055.7748684</v>
      </c>
      <c r="E36" s="60">
        <f t="shared" si="11"/>
        <v>140474.09907039997</v>
      </c>
      <c r="F36" s="60">
        <f t="shared" si="11"/>
        <v>739401.5066884999</v>
      </c>
      <c r="G36" s="60">
        <f t="shared" si="11"/>
        <v>936556.8448000001</v>
      </c>
      <c r="H36" s="60">
        <f>H37+H38+H39+H40</f>
        <v>774074.9395</v>
      </c>
      <c r="I36" s="60">
        <f>I37+I38+I39+I40</f>
        <v>209018.32599379998</v>
      </c>
      <c r="J36" s="60">
        <f>J37+J38+J39+J40</f>
        <v>854837.8420825999</v>
      </c>
      <c r="K36" s="60">
        <f>K37+K38+K39+K40</f>
        <v>689327.9130241999</v>
      </c>
      <c r="L36" s="60">
        <f>L37+L38+L39+L40</f>
        <v>823340.12395888</v>
      </c>
      <c r="M36" s="60">
        <f t="shared" si="11"/>
        <v>391374.73496279994</v>
      </c>
      <c r="N36" s="60">
        <f t="shared" si="11"/>
        <v>230168.72786592002</v>
      </c>
      <c r="O36" s="60">
        <f>O37+O38+O39+O40</f>
        <v>8408584.711666718</v>
      </c>
    </row>
    <row r="37" spans="1:15" ht="18.75" customHeight="1">
      <c r="A37" s="57" t="s">
        <v>50</v>
      </c>
      <c r="B37" s="54">
        <f aca="true" t="shared" si="12" ref="B37:N37">B29*B7</f>
        <v>1086190.3998</v>
      </c>
      <c r="C37" s="54">
        <f t="shared" si="12"/>
        <v>781690.4619999999</v>
      </c>
      <c r="D37" s="54">
        <f t="shared" si="12"/>
        <v>734890.0976</v>
      </c>
      <c r="E37" s="54">
        <f t="shared" si="12"/>
        <v>140167.22019999998</v>
      </c>
      <c r="F37" s="54">
        <f t="shared" si="12"/>
        <v>739395.2609999999</v>
      </c>
      <c r="G37" s="54">
        <f t="shared" si="12"/>
        <v>936656.0849</v>
      </c>
      <c r="H37" s="54">
        <f>H29*H7</f>
        <v>770449.9547</v>
      </c>
      <c r="I37" s="54">
        <f>I29*I7</f>
        <v>208951.2914</v>
      </c>
      <c r="J37" s="54">
        <f>J29*J7</f>
        <v>850681.8319999999</v>
      </c>
      <c r="K37" s="54">
        <f>K29*K7</f>
        <v>685663.1969999999</v>
      </c>
      <c r="L37" s="54">
        <f>L29*L7</f>
        <v>819085.7751</v>
      </c>
      <c r="M37" s="54">
        <f t="shared" si="12"/>
        <v>388902.95999999996</v>
      </c>
      <c r="N37" s="54">
        <f t="shared" si="12"/>
        <v>230130.45</v>
      </c>
      <c r="O37" s="56">
        <f>SUM(B37:N37)</f>
        <v>8372854.985699999</v>
      </c>
    </row>
    <row r="38" spans="1:15" ht="18.75" customHeight="1">
      <c r="A38" s="57" t="s">
        <v>51</v>
      </c>
      <c r="B38" s="54">
        <f aca="true" t="shared" si="13" ref="B38:N38">B30*B7</f>
        <v>-3221.04929828</v>
      </c>
      <c r="C38" s="54">
        <f t="shared" si="13"/>
        <v>-2273.6036504999997</v>
      </c>
      <c r="D38" s="54">
        <f t="shared" si="13"/>
        <v>-2183.1727315999997</v>
      </c>
      <c r="E38" s="54">
        <f t="shared" si="13"/>
        <v>-339.4011296</v>
      </c>
      <c r="F38" s="54">
        <f t="shared" si="13"/>
        <v>-2155.1543115</v>
      </c>
      <c r="G38" s="54">
        <f t="shared" si="13"/>
        <v>-2761.4001000000003</v>
      </c>
      <c r="H38" s="54">
        <f>H30*H7</f>
        <v>-2121.0952</v>
      </c>
      <c r="I38" s="54">
        <f>I30*I7</f>
        <v>-587.8054062</v>
      </c>
      <c r="J38" s="54">
        <f>J30*J7</f>
        <v>-2448.8099174</v>
      </c>
      <c r="K38" s="54">
        <f>K30*K7</f>
        <v>-1961.2339758</v>
      </c>
      <c r="L38" s="54">
        <f>L30*L7</f>
        <v>-2406.11114112</v>
      </c>
      <c r="M38" s="54">
        <f t="shared" si="13"/>
        <v>-1134.4650371999999</v>
      </c>
      <c r="N38" s="54">
        <f t="shared" si="13"/>
        <v>-680.76213408</v>
      </c>
      <c r="O38" s="25">
        <f>SUM(B38:N38)</f>
        <v>-24274.06403328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>H32</f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4068.65</v>
      </c>
      <c r="C40" s="54">
        <v>2849.42</v>
      </c>
      <c r="D40" s="54">
        <v>10187.45</v>
      </c>
      <c r="E40" s="54">
        <v>0</v>
      </c>
      <c r="F40" s="54">
        <v>0</v>
      </c>
      <c r="G40" s="54">
        <v>0</v>
      </c>
      <c r="H40" s="54">
        <v>3503.36</v>
      </c>
      <c r="I40" s="54">
        <v>0</v>
      </c>
      <c r="J40" s="54">
        <v>4058.22</v>
      </c>
      <c r="K40" s="54">
        <v>3507.35</v>
      </c>
      <c r="L40" s="54">
        <v>4058.22</v>
      </c>
      <c r="M40" s="54">
        <v>2335.08</v>
      </c>
      <c r="N40" s="54">
        <v>0</v>
      </c>
      <c r="O40" s="56">
        <f>SUM(B40:N40)</f>
        <v>34567.75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+B43+B46+B55+B56</f>
        <v>-100462.3</v>
      </c>
      <c r="C42" s="25">
        <f>+C43+C46+C55+C56</f>
        <v>-93067.67000000001</v>
      </c>
      <c r="D42" s="25">
        <f>+D43+D46+D55+D56</f>
        <v>-71940.09</v>
      </c>
      <c r="E42" s="25">
        <f>+E43+E46+E55+E56</f>
        <v>-10181.27</v>
      </c>
      <c r="F42" s="25">
        <f>+F43+F46+F55+F56</f>
        <v>-64395.21</v>
      </c>
      <c r="G42" s="25">
        <f>+G43+G46+G55+G56</f>
        <v>-105839.51</v>
      </c>
      <c r="H42" s="25">
        <f>+H43+H46+H55+H56</f>
        <v>-93240.96</v>
      </c>
      <c r="I42" s="25">
        <f>+I43+I46+I55+I56</f>
        <v>-28506.03</v>
      </c>
      <c r="J42" s="25">
        <f>+J43+J46+J55+J56</f>
        <v>-66297.5</v>
      </c>
      <c r="K42" s="25">
        <f>+K43+K46+K55+K56</f>
        <v>-74555.35</v>
      </c>
      <c r="L42" s="25">
        <f>+L43+L46+L55+L56</f>
        <v>-65471.21</v>
      </c>
      <c r="M42" s="25">
        <f>+M43+M46+M55+M56</f>
        <v>-40620.86</v>
      </c>
      <c r="N42" s="25">
        <f>+N43+N46+N55+N56</f>
        <v>-25242.68</v>
      </c>
      <c r="O42" s="25">
        <f>+O43+O46+O55+O56</f>
        <v>-839820.6400000001</v>
      </c>
    </row>
    <row r="43" spans="1:15" ht="18.75" customHeight="1">
      <c r="A43" s="17" t="s">
        <v>55</v>
      </c>
      <c r="B43" s="26">
        <f>B44+B45</f>
        <v>-70695.2</v>
      </c>
      <c r="C43" s="26">
        <f>C44+C45</f>
        <v>-71960.6</v>
      </c>
      <c r="D43" s="26">
        <f>D44+D45</f>
        <v>-51486.2</v>
      </c>
      <c r="E43" s="26">
        <f>E44+E45</f>
        <v>-5240.2</v>
      </c>
      <c r="F43" s="26">
        <f aca="true" t="shared" si="15" ref="F43:N43">F44+F45</f>
        <v>-43688.6</v>
      </c>
      <c r="G43" s="26">
        <f t="shared" si="15"/>
        <v>-80438.4</v>
      </c>
      <c r="H43" s="26">
        <f t="shared" si="15"/>
        <v>-72378.6</v>
      </c>
      <c r="I43" s="26">
        <f t="shared" si="15"/>
        <v>-21204</v>
      </c>
      <c r="J43" s="26">
        <f t="shared" si="15"/>
        <v>-42556.2</v>
      </c>
      <c r="K43" s="26">
        <f t="shared" si="15"/>
        <v>-55586.4</v>
      </c>
      <c r="L43" s="26">
        <f t="shared" si="15"/>
        <v>-42301.6</v>
      </c>
      <c r="M43" s="26">
        <f t="shared" si="15"/>
        <v>-30168.2</v>
      </c>
      <c r="N43" s="26">
        <f t="shared" si="15"/>
        <v>-19163.4</v>
      </c>
      <c r="O43" s="25">
        <f aca="true" t="shared" si="16" ref="O43:O56">SUM(B43:N43)</f>
        <v>-606867.6000000001</v>
      </c>
    </row>
    <row r="44" spans="1:26" ht="18.75" customHeight="1">
      <c r="A44" s="13" t="s">
        <v>56</v>
      </c>
      <c r="B44" s="20">
        <f>ROUND(-B9*$D$3,2)</f>
        <v>-70695.2</v>
      </c>
      <c r="C44" s="20">
        <f>ROUND(-C9*$D$3,2)</f>
        <v>-71960.6</v>
      </c>
      <c r="D44" s="20">
        <f>ROUND(-D9*$D$3,2)</f>
        <v>-51486.2</v>
      </c>
      <c r="E44" s="20">
        <f>ROUND(-E9*$D$3,2)</f>
        <v>-5240.2</v>
      </c>
      <c r="F44" s="20">
        <f aca="true" t="shared" si="17" ref="F44:N44">ROUND(-F9*$D$3,2)</f>
        <v>-43688.6</v>
      </c>
      <c r="G44" s="20">
        <f t="shared" si="17"/>
        <v>-80438.4</v>
      </c>
      <c r="H44" s="20">
        <f t="shared" si="17"/>
        <v>-72378.6</v>
      </c>
      <c r="I44" s="20">
        <f t="shared" si="17"/>
        <v>-21204</v>
      </c>
      <c r="J44" s="20">
        <f t="shared" si="17"/>
        <v>-42556.2</v>
      </c>
      <c r="K44" s="20">
        <f t="shared" si="17"/>
        <v>-55586.4</v>
      </c>
      <c r="L44" s="20">
        <f t="shared" si="17"/>
        <v>-42301.6</v>
      </c>
      <c r="M44" s="20">
        <f t="shared" si="17"/>
        <v>-30168.2</v>
      </c>
      <c r="N44" s="20">
        <f t="shared" si="17"/>
        <v>-19163.4</v>
      </c>
      <c r="O44" s="46">
        <f t="shared" si="16"/>
        <v>-606867.6000000001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8" ref="F45:N45">ROUND(F11*$D$3,2)</f>
        <v>0</v>
      </c>
      <c r="G45" s="20">
        <f t="shared" si="18"/>
        <v>0</v>
      </c>
      <c r="H45" s="20">
        <f t="shared" si="18"/>
        <v>0</v>
      </c>
      <c r="I45" s="20">
        <f t="shared" si="18"/>
        <v>0</v>
      </c>
      <c r="J45" s="20">
        <f t="shared" si="18"/>
        <v>0</v>
      </c>
      <c r="K45" s="20">
        <f t="shared" si="18"/>
        <v>0</v>
      </c>
      <c r="L45" s="20">
        <f t="shared" si="18"/>
        <v>0</v>
      </c>
      <c r="M45" s="20">
        <f t="shared" si="18"/>
        <v>0</v>
      </c>
      <c r="N45" s="20">
        <f t="shared" si="18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 aca="true" t="shared" si="19" ref="B46:N46">SUM(B47:B54)</f>
        <v>-29767.100000000002</v>
      </c>
      <c r="C46" s="26">
        <f t="shared" si="19"/>
        <v>-21107.07</v>
      </c>
      <c r="D46" s="26">
        <f t="shared" si="19"/>
        <v>-20453.89</v>
      </c>
      <c r="E46" s="26">
        <f t="shared" si="19"/>
        <v>-4941.07</v>
      </c>
      <c r="F46" s="26">
        <f t="shared" si="19"/>
        <v>-20706.61</v>
      </c>
      <c r="G46" s="26">
        <f t="shared" si="19"/>
        <v>-25401.11</v>
      </c>
      <c r="H46" s="26">
        <f t="shared" si="19"/>
        <v>-20862.36</v>
      </c>
      <c r="I46" s="26">
        <f t="shared" si="19"/>
        <v>-7302.03</v>
      </c>
      <c r="J46" s="26">
        <f t="shared" si="19"/>
        <v>-23741.3</v>
      </c>
      <c r="K46" s="26">
        <f t="shared" si="19"/>
        <v>-18968.95</v>
      </c>
      <c r="L46" s="26">
        <f t="shared" si="19"/>
        <v>-23169.61</v>
      </c>
      <c r="M46" s="26">
        <f t="shared" si="19"/>
        <v>-10452.66</v>
      </c>
      <c r="N46" s="26">
        <f t="shared" si="19"/>
        <v>-6079.28</v>
      </c>
      <c r="O46" s="26">
        <f>SUM(O47:O54)</f>
        <v>-232953.04000000004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6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6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0</v>
      </c>
      <c r="E49" s="24">
        <v>-1000</v>
      </c>
      <c r="F49" s="24">
        <v>0</v>
      </c>
      <c r="G49" s="24">
        <v>0</v>
      </c>
      <c r="H49" s="24">
        <v>0</v>
      </c>
      <c r="I49" s="24">
        <v>-1500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6"/>
        <v>-2500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6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6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6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6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106</v>
      </c>
      <c r="B54" s="24">
        <f>-5645.52-24121.58</f>
        <v>-29767.100000000002</v>
      </c>
      <c r="C54" s="24">
        <f>-6073.92-15033.15</f>
        <v>-21107.07</v>
      </c>
      <c r="D54" s="24">
        <f>-20453.89</f>
        <v>-20453.89</v>
      </c>
      <c r="E54" s="24">
        <v>-3941.07</v>
      </c>
      <c r="F54" s="24">
        <v>-20706.61</v>
      </c>
      <c r="G54" s="24">
        <v>-25401.11</v>
      </c>
      <c r="H54" s="24">
        <v>-20862.36</v>
      </c>
      <c r="I54" s="24">
        <v>-5802.03</v>
      </c>
      <c r="J54" s="24">
        <v>-23741.3</v>
      </c>
      <c r="K54" s="24">
        <v>-18968.95</v>
      </c>
      <c r="L54" s="24">
        <v>-23169.61</v>
      </c>
      <c r="M54" s="24">
        <v>-10452.66</v>
      </c>
      <c r="N54" s="24">
        <v>-6079.28</v>
      </c>
      <c r="O54" s="24">
        <f t="shared" si="16"/>
        <v>-230453.04000000004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7" t="s">
        <v>66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4">
        <f t="shared" si="16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7" t="s">
        <v>67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4">
        <f t="shared" si="16"/>
        <v>0</v>
      </c>
      <c r="P56"/>
      <c r="Q56"/>
      <c r="R56"/>
      <c r="S56"/>
      <c r="T56"/>
      <c r="U56"/>
      <c r="V56"/>
      <c r="W56"/>
      <c r="X56"/>
      <c r="Y56"/>
      <c r="Z56"/>
    </row>
    <row r="57" spans="1:17" ht="15" customHeight="1">
      <c r="A57" s="3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20"/>
      <c r="Q57" s="79"/>
    </row>
    <row r="58" spans="1:26" ht="15.75">
      <c r="A58" s="2" t="s">
        <v>68</v>
      </c>
      <c r="B58" s="29">
        <f>+B36+B42</f>
        <v>989832.78050172</v>
      </c>
      <c r="C58" s="29">
        <f>+C36+C42</f>
        <v>691591.1283495</v>
      </c>
      <c r="D58" s="29">
        <f>+D36+D42</f>
        <v>673115.6848684</v>
      </c>
      <c r="E58" s="29">
        <f>+E36+E42</f>
        <v>130292.82907039997</v>
      </c>
      <c r="F58" s="29">
        <f>+F36+F42</f>
        <v>675006.2966885</v>
      </c>
      <c r="G58" s="29">
        <f>+G36+G42</f>
        <v>830717.3348000001</v>
      </c>
      <c r="H58" s="29">
        <f>+H36+H42</f>
        <v>680833.9795</v>
      </c>
      <c r="I58" s="29">
        <f>+I36+I42</f>
        <v>180512.29599379998</v>
      </c>
      <c r="J58" s="29">
        <f>+J36+J42</f>
        <v>788540.3420825999</v>
      </c>
      <c r="K58" s="29">
        <f>+K36+K42</f>
        <v>614772.5630241999</v>
      </c>
      <c r="L58" s="29">
        <f>+L36+L42</f>
        <v>757868.91395888</v>
      </c>
      <c r="M58" s="29">
        <f>+M36+M42</f>
        <v>350753.87496279995</v>
      </c>
      <c r="N58" s="29">
        <f>+N36+N42</f>
        <v>204926.04786592003</v>
      </c>
      <c r="O58" s="29">
        <f>SUM(B58:N58)</f>
        <v>7568764.07166672</v>
      </c>
      <c r="P58"/>
      <c r="Q58" s="80"/>
      <c r="R58"/>
      <c r="S58"/>
      <c r="T58"/>
      <c r="U58"/>
      <c r="V58"/>
      <c r="W58"/>
      <c r="X58"/>
      <c r="Y58"/>
      <c r="Z58"/>
    </row>
    <row r="59" spans="1:17" ht="15" customHeight="1">
      <c r="A59" s="34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8"/>
      <c r="Q59" s="79"/>
    </row>
    <row r="60" spans="1:17" ht="15" customHeight="1">
      <c r="A60" s="28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  <c r="Q60" s="79"/>
    </row>
    <row r="61" spans="1:15" ht="18.75" customHeight="1">
      <c r="A61" s="2" t="s">
        <v>69</v>
      </c>
      <c r="B61" s="36">
        <f>SUM(B62:B75)</f>
        <v>989832.78</v>
      </c>
      <c r="C61" s="36">
        <f aca="true" t="shared" si="20" ref="C61:N61">SUM(C62:C75)</f>
        <v>691591.13</v>
      </c>
      <c r="D61" s="36">
        <f t="shared" si="20"/>
        <v>673115.69</v>
      </c>
      <c r="E61" s="36">
        <f t="shared" si="20"/>
        <v>130292.83</v>
      </c>
      <c r="F61" s="36">
        <f t="shared" si="20"/>
        <v>675006.3</v>
      </c>
      <c r="G61" s="36">
        <f t="shared" si="20"/>
        <v>830717.33</v>
      </c>
      <c r="H61" s="36">
        <f t="shared" si="20"/>
        <v>680833.98</v>
      </c>
      <c r="I61" s="36">
        <f t="shared" si="20"/>
        <v>180512.29</v>
      </c>
      <c r="J61" s="36">
        <f t="shared" si="20"/>
        <v>788540.34</v>
      </c>
      <c r="K61" s="36">
        <f t="shared" si="20"/>
        <v>614772.57</v>
      </c>
      <c r="L61" s="36">
        <f t="shared" si="20"/>
        <v>757868.9199999999</v>
      </c>
      <c r="M61" s="36">
        <f t="shared" si="20"/>
        <v>350753.87</v>
      </c>
      <c r="N61" s="36">
        <f t="shared" si="20"/>
        <v>204926.05</v>
      </c>
      <c r="O61" s="29">
        <f>SUM(O62:O75)</f>
        <v>7568764.080000001</v>
      </c>
    </row>
    <row r="62" spans="1:16" ht="18.75" customHeight="1">
      <c r="A62" s="17" t="s">
        <v>70</v>
      </c>
      <c r="B62" s="36">
        <f>191734.17+567.13</f>
        <v>192301.30000000002</v>
      </c>
      <c r="C62" s="36">
        <f>197936.06</f>
        <v>197936.06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29">
        <f>SUM(B62:N62)</f>
        <v>390237.36</v>
      </c>
      <c r="P62"/>
    </row>
    <row r="63" spans="1:16" ht="18.75" customHeight="1">
      <c r="A63" s="17" t="s">
        <v>71</v>
      </c>
      <c r="B63" s="36">
        <f>794029.96+3501.52</f>
        <v>797531.48</v>
      </c>
      <c r="C63" s="36">
        <f>490805.65+2849.42</f>
        <v>493655.07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29">
        <f aca="true" t="shared" si="21" ref="O63:O74">SUM(B63:N63)</f>
        <v>1291186.55</v>
      </c>
      <c r="P63"/>
    </row>
    <row r="64" spans="1:18" ht="18.75" customHeight="1">
      <c r="A64" s="17" t="s">
        <v>72</v>
      </c>
      <c r="B64" s="35">
        <v>0</v>
      </c>
      <c r="C64" s="35">
        <v>0</v>
      </c>
      <c r="D64" s="26">
        <f>662928.24+10187.45</f>
        <v>673115.69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26">
        <f t="shared" si="21"/>
        <v>673115.69</v>
      </c>
      <c r="Q64"/>
      <c r="R64"/>
    </row>
    <row r="65" spans="1:19" ht="18.75" customHeight="1">
      <c r="A65" s="17" t="s">
        <v>73</v>
      </c>
      <c r="B65" s="35">
        <v>0</v>
      </c>
      <c r="C65" s="35">
        <v>0</v>
      </c>
      <c r="D65" s="35">
        <v>0</v>
      </c>
      <c r="E65" s="26">
        <f>130292.83</f>
        <v>130292.83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 t="shared" si="21"/>
        <v>130292.83</v>
      </c>
      <c r="S65"/>
    </row>
    <row r="66" spans="1:20" ht="18.75" customHeight="1">
      <c r="A66" s="17" t="s">
        <v>74</v>
      </c>
      <c r="B66" s="35">
        <v>0</v>
      </c>
      <c r="C66" s="35">
        <v>0</v>
      </c>
      <c r="D66" s="35">
        <v>0</v>
      </c>
      <c r="E66" s="35">
        <v>0</v>
      </c>
      <c r="F66" s="26">
        <f>675006.3</f>
        <v>675006.3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6">
        <f t="shared" si="21"/>
        <v>675006.3</v>
      </c>
      <c r="T66"/>
    </row>
    <row r="67" spans="1:21" ht="18.75" customHeight="1">
      <c r="A67" s="17" t="s">
        <v>75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6">
        <f>830717.33</f>
        <v>830717.33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9">
        <f t="shared" si="21"/>
        <v>830717.33</v>
      </c>
      <c r="U67"/>
    </row>
    <row r="68" spans="1:15" ht="18.75" customHeight="1">
      <c r="A68" s="17" t="s">
        <v>96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f>677330.62+3503.36</f>
        <v>680833.98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1"/>
        <v>680833.98</v>
      </c>
    </row>
    <row r="69" spans="1:15" ht="18.75" customHeight="1">
      <c r="A69" s="17" t="s">
        <v>76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6">
        <f>180512.29</f>
        <v>180512.29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9">
        <f t="shared" si="21"/>
        <v>180512.29</v>
      </c>
    </row>
    <row r="70" spans="1:22" ht="18.75" customHeight="1">
      <c r="A70" s="17" t="s">
        <v>77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f>784482.12+4058.22</f>
        <v>788540.34</v>
      </c>
      <c r="K70" s="35">
        <v>0</v>
      </c>
      <c r="L70" s="35">
        <v>0</v>
      </c>
      <c r="M70" s="35">
        <v>0</v>
      </c>
      <c r="N70" s="35">
        <v>0</v>
      </c>
      <c r="O70" s="26">
        <f t="shared" si="21"/>
        <v>788540.34</v>
      </c>
      <c r="V70"/>
    </row>
    <row r="71" spans="1:23" ht="18.75" customHeight="1">
      <c r="A71" s="17" t="s">
        <v>78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f>611265.22+3507.35</f>
        <v>614772.57</v>
      </c>
      <c r="L71" s="35">
        <v>0</v>
      </c>
      <c r="M71" s="35">
        <v>0</v>
      </c>
      <c r="N71" s="35">
        <v>0</v>
      </c>
      <c r="O71" s="29">
        <f t="shared" si="21"/>
        <v>614772.57</v>
      </c>
      <c r="W71"/>
    </row>
    <row r="72" spans="1:24" ht="18.75" customHeight="1">
      <c r="A72" s="17" t="s">
        <v>79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f>753810.7+4058.22</f>
        <v>757868.9199999999</v>
      </c>
      <c r="M72" s="35">
        <v>0</v>
      </c>
      <c r="N72" s="35">
        <v>0</v>
      </c>
      <c r="O72" s="26">
        <f t="shared" si="21"/>
        <v>757868.9199999999</v>
      </c>
      <c r="X72"/>
    </row>
    <row r="73" spans="1:25" ht="18.75" customHeight="1">
      <c r="A73" s="17" t="s">
        <v>80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f>348418.79+2335.08</f>
        <v>350753.87</v>
      </c>
      <c r="N73" s="35">
        <v>0</v>
      </c>
      <c r="O73" s="29">
        <f t="shared" si="21"/>
        <v>350753.87</v>
      </c>
      <c r="Y73"/>
    </row>
    <row r="74" spans="1:26" ht="18.75" customHeight="1">
      <c r="A74" s="17" t="s">
        <v>81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  <c r="N74" s="26">
        <v>204926.05</v>
      </c>
      <c r="O74" s="26">
        <f t="shared" si="21"/>
        <v>204926.05</v>
      </c>
      <c r="P74"/>
      <c r="Z74"/>
    </row>
    <row r="75" spans="1:26" ht="18.75" customHeight="1">
      <c r="A75" s="34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/>
      <c r="Q75"/>
      <c r="R75"/>
      <c r="S75"/>
      <c r="T75"/>
      <c r="U75"/>
      <c r="V75"/>
      <c r="W75"/>
      <c r="X75"/>
      <c r="Y75"/>
      <c r="Z75"/>
    </row>
    <row r="76" spans="1:15" ht="17.25" customHeight="1">
      <c r="A76" s="68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</row>
    <row r="77" spans="1:15" ht="15" customHeight="1">
      <c r="A77" s="37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9"/>
    </row>
    <row r="78" spans="1:15" ht="18.75" customHeight="1">
      <c r="A78" s="2" t="s">
        <v>103</v>
      </c>
      <c r="B78" s="35">
        <v>0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29"/>
    </row>
    <row r="79" spans="1:16" ht="18.75" customHeight="1">
      <c r="A79" s="17" t="s">
        <v>82</v>
      </c>
      <c r="B79" s="44">
        <v>2.331252916908256</v>
      </c>
      <c r="C79" s="44">
        <v>2.2981262514438754</v>
      </c>
      <c r="D79" s="44">
        <v>0</v>
      </c>
      <c r="E79" s="44">
        <v>0</v>
      </c>
      <c r="F79" s="35">
        <v>0</v>
      </c>
      <c r="G79" s="35">
        <v>0</v>
      </c>
      <c r="H79" s="35">
        <v>0</v>
      </c>
      <c r="I79" s="44">
        <v>0</v>
      </c>
      <c r="J79" s="44">
        <v>0</v>
      </c>
      <c r="K79" s="44">
        <v>0</v>
      </c>
      <c r="L79" s="35">
        <v>0</v>
      </c>
      <c r="M79" s="44">
        <v>0</v>
      </c>
      <c r="N79" s="44">
        <v>0</v>
      </c>
      <c r="O79" s="29"/>
      <c r="P79"/>
    </row>
    <row r="80" spans="1:16" ht="18.75" customHeight="1">
      <c r="A80" s="17" t="s">
        <v>83</v>
      </c>
      <c r="B80" s="44">
        <v>2.0384718106986326</v>
      </c>
      <c r="C80" s="44">
        <v>1.9237617437796166</v>
      </c>
      <c r="D80" s="44">
        <v>0</v>
      </c>
      <c r="E80" s="44">
        <v>0</v>
      </c>
      <c r="F80" s="35">
        <v>0</v>
      </c>
      <c r="G80" s="35">
        <v>0</v>
      </c>
      <c r="H80" s="35">
        <v>0</v>
      </c>
      <c r="I80" s="44">
        <v>0</v>
      </c>
      <c r="J80" s="44">
        <v>0</v>
      </c>
      <c r="K80" s="44">
        <v>0</v>
      </c>
      <c r="L80" s="35">
        <v>0</v>
      </c>
      <c r="M80" s="44">
        <v>0</v>
      </c>
      <c r="N80" s="44">
        <v>0</v>
      </c>
      <c r="O80" s="29"/>
      <c r="P80"/>
    </row>
    <row r="81" spans="1:18" ht="18.75" customHeight="1">
      <c r="A81" s="17" t="s">
        <v>84</v>
      </c>
      <c r="B81" s="44">
        <v>0</v>
      </c>
      <c r="C81" s="44">
        <v>0</v>
      </c>
      <c r="D81" s="22">
        <f>(D$37+D$38+D$39)/D$7</f>
        <v>1.8681446504758903</v>
      </c>
      <c r="E81" s="44">
        <v>0</v>
      </c>
      <c r="F81" s="35">
        <v>0</v>
      </c>
      <c r="G81" s="35">
        <v>0</v>
      </c>
      <c r="H81" s="35">
        <v>0</v>
      </c>
      <c r="I81" s="44">
        <v>0</v>
      </c>
      <c r="J81" s="44">
        <v>0</v>
      </c>
      <c r="K81" s="44">
        <v>0</v>
      </c>
      <c r="L81" s="35">
        <v>0</v>
      </c>
      <c r="M81" s="44">
        <v>0</v>
      </c>
      <c r="N81" s="44">
        <v>0</v>
      </c>
      <c r="O81" s="26"/>
      <c r="Q81"/>
      <c r="R81"/>
    </row>
    <row r="82" spans="1:19" ht="18.75" customHeight="1">
      <c r="A82" s="17" t="s">
        <v>85</v>
      </c>
      <c r="B82" s="44">
        <v>0</v>
      </c>
      <c r="C82" s="44">
        <v>0</v>
      </c>
      <c r="D82" s="44">
        <v>0</v>
      </c>
      <c r="E82" s="22">
        <f>(E$37+E$38+E$39)/E$7</f>
        <v>2.5998796814865535</v>
      </c>
      <c r="F82" s="35">
        <v>0</v>
      </c>
      <c r="G82" s="35">
        <v>0</v>
      </c>
      <c r="H82" s="35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S82"/>
    </row>
    <row r="83" spans="1:20" ht="18.75" customHeight="1">
      <c r="A83" s="17" t="s">
        <v>86</v>
      </c>
      <c r="B83" s="44">
        <v>0</v>
      </c>
      <c r="C83" s="44">
        <v>0</v>
      </c>
      <c r="D83" s="44">
        <v>0</v>
      </c>
      <c r="E83" s="44">
        <v>0</v>
      </c>
      <c r="F83" s="44">
        <f>(F$37+F$38+F$39)/F$7</f>
        <v>2.1813184254904563</v>
      </c>
      <c r="G83" s="35">
        <v>0</v>
      </c>
      <c r="H83" s="35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6"/>
      <c r="T83"/>
    </row>
    <row r="84" spans="1:21" ht="18.75" customHeight="1">
      <c r="A84" s="17" t="s">
        <v>87</v>
      </c>
      <c r="B84" s="44">
        <v>0</v>
      </c>
      <c r="C84" s="44">
        <v>0</v>
      </c>
      <c r="D84" s="44">
        <v>0</v>
      </c>
      <c r="E84" s="44">
        <v>0</v>
      </c>
      <c r="F84" s="35">
        <v>0</v>
      </c>
      <c r="G84" s="44">
        <f>(G$37+G$38+G$39)/G$7</f>
        <v>1.7297167145318784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9"/>
      <c r="U84"/>
    </row>
    <row r="85" spans="1:15" ht="18.75" customHeight="1">
      <c r="A85" s="17" t="s">
        <v>95</v>
      </c>
      <c r="B85" s="44">
        <v>0</v>
      </c>
      <c r="C85" s="44">
        <v>0</v>
      </c>
      <c r="D85" s="44">
        <v>0</v>
      </c>
      <c r="E85" s="44">
        <v>0</v>
      </c>
      <c r="F85" s="35">
        <v>0</v>
      </c>
      <c r="G85" s="35">
        <v>0</v>
      </c>
      <c r="H85" s="44">
        <f>(H$37+H$38+H$39)/H$7</f>
        <v>2.0344211071714273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</row>
    <row r="86" spans="1:15" ht="18.75" customHeight="1">
      <c r="A86" s="17" t="s">
        <v>88</v>
      </c>
      <c r="B86" s="44">
        <v>0</v>
      </c>
      <c r="C86" s="44">
        <v>0</v>
      </c>
      <c r="D86" s="44">
        <v>0</v>
      </c>
      <c r="E86" s="44">
        <v>0</v>
      </c>
      <c r="F86" s="35">
        <v>0</v>
      </c>
      <c r="G86" s="35">
        <v>0</v>
      </c>
      <c r="H86" s="35">
        <v>0</v>
      </c>
      <c r="I86" s="44">
        <f>(I$37+I$38+I$39)/I$7</f>
        <v>1.9912386132458153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9"/>
    </row>
    <row r="87" spans="1:22" ht="18.75" customHeight="1">
      <c r="A87" s="17" t="s">
        <v>89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35">
        <v>0</v>
      </c>
      <c r="H87" s="35">
        <v>0</v>
      </c>
      <c r="I87" s="44">
        <v>0</v>
      </c>
      <c r="J87" s="44">
        <f>(J$37+J$38+J$39)/J$7</f>
        <v>1.9762271509699028</v>
      </c>
      <c r="K87" s="44">
        <v>0</v>
      </c>
      <c r="L87" s="35">
        <v>0</v>
      </c>
      <c r="M87" s="44">
        <v>0</v>
      </c>
      <c r="N87" s="44">
        <v>0</v>
      </c>
      <c r="O87" s="26"/>
      <c r="V87"/>
    </row>
    <row r="88" spans="1:23" ht="18.75" customHeight="1">
      <c r="A88" s="17" t="s">
        <v>90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35">
        <v>0</v>
      </c>
      <c r="I88" s="44">
        <v>0</v>
      </c>
      <c r="J88" s="44">
        <v>0</v>
      </c>
      <c r="K88" s="44">
        <f>(K$37+K$38+K$39)/K$7</f>
        <v>2.226010772764805</v>
      </c>
      <c r="L88" s="35">
        <v>0</v>
      </c>
      <c r="M88" s="44">
        <v>0</v>
      </c>
      <c r="N88" s="44">
        <v>0</v>
      </c>
      <c r="O88" s="29"/>
      <c r="W88"/>
    </row>
    <row r="89" spans="1:24" ht="18.75" customHeight="1">
      <c r="A89" s="17" t="s">
        <v>91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35">
        <v>0</v>
      </c>
      <c r="I89" s="44">
        <v>0</v>
      </c>
      <c r="J89" s="44">
        <v>0</v>
      </c>
      <c r="K89" s="44">
        <v>0</v>
      </c>
      <c r="L89" s="22">
        <f>(L$37+L$38+L$39)/L$7</f>
        <v>2.128209474569972</v>
      </c>
      <c r="M89" s="44">
        <v>0</v>
      </c>
      <c r="N89" s="44">
        <v>0</v>
      </c>
      <c r="O89" s="26"/>
      <c r="X89"/>
    </row>
    <row r="90" spans="1:25" ht="18.75" customHeight="1">
      <c r="A90" s="17" t="s">
        <v>92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35">
        <v>0</v>
      </c>
      <c r="I90" s="44">
        <v>0</v>
      </c>
      <c r="J90" s="44">
        <v>0</v>
      </c>
      <c r="K90" s="44">
        <v>0</v>
      </c>
      <c r="L90" s="44">
        <v>0</v>
      </c>
      <c r="M90" s="44">
        <f>(M$37+M$38+M$39)/M$7</f>
        <v>2.5268878602416205</v>
      </c>
      <c r="N90" s="44">
        <v>0</v>
      </c>
      <c r="O90" s="61"/>
      <c r="Y90"/>
    </row>
    <row r="91" spans="1:26" ht="18.75" customHeight="1">
      <c r="A91" s="34" t="s">
        <v>93</v>
      </c>
      <c r="B91" s="45">
        <v>0</v>
      </c>
      <c r="C91" s="45">
        <v>0</v>
      </c>
      <c r="D91" s="45">
        <v>0</v>
      </c>
      <c r="E91" s="45">
        <v>0</v>
      </c>
      <c r="F91" s="45">
        <v>0</v>
      </c>
      <c r="G91" s="45">
        <v>0</v>
      </c>
      <c r="H91" s="45">
        <v>0</v>
      </c>
      <c r="I91" s="45">
        <v>0</v>
      </c>
      <c r="J91" s="45">
        <v>0</v>
      </c>
      <c r="K91" s="45">
        <v>0</v>
      </c>
      <c r="L91" s="45">
        <v>0</v>
      </c>
      <c r="M91" s="45">
        <v>0</v>
      </c>
      <c r="N91" s="49">
        <f>(N$37+N$38+N$39)/N$7</f>
        <v>2.475411669634123</v>
      </c>
      <c r="O91" s="50"/>
      <c r="P91"/>
      <c r="Z91"/>
    </row>
    <row r="92" spans="1:26" ht="18.75" customHeight="1">
      <c r="A92" s="77" t="s">
        <v>104</v>
      </c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5"/>
      <c r="O92" s="76"/>
      <c r="P92"/>
      <c r="Z92"/>
    </row>
    <row r="93" spans="1:14" ht="43.5" customHeight="1">
      <c r="A93" s="78" t="s">
        <v>105</v>
      </c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</row>
    <row r="96" ht="14.25">
      <c r="B96" s="40"/>
    </row>
    <row r="97" ht="14.25">
      <c r="I97" s="41"/>
    </row>
    <row r="99" spans="9:12" ht="14.25">
      <c r="I99" s="42"/>
      <c r="J99" s="43"/>
      <c r="K99" s="43"/>
      <c r="L99" s="43"/>
    </row>
  </sheetData>
  <sheetProtection/>
  <mergeCells count="7">
    <mergeCell ref="A93:N93"/>
    <mergeCell ref="A76:O76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2017-10-04T13:49:38Z</dcterms:modified>
  <cp:category/>
  <cp:version/>
  <cp:contentType/>
  <cp:contentStatus/>
</cp:coreProperties>
</file>