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<sst xmlns="http://schemas.openxmlformats.org/spreadsheetml/2006/main" count="111" uniqueCount="109">
  <si>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</si>
  <si>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</si>
  <si>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</si>
  <si>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</si>
  <si>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</si>
  <si>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</si>
  <si>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</si>
  <si>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</si>
  <si>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</si>
  <si>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</si>
  <si>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</si>
  <si>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</si>
  <si>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</si>
  <si>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</si>
  <si>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</si>
  <si>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</si>
  <si>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</si>
  <si>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</si>
  <si>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</si>
  <si>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</si>
  <si>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</si>
  <si>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</si>
  <si>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</si>
  <si>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</si>
  <si>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</si>
  <si>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</si>
  <si>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</si>
  <si>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</si>
  <si>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</si>
  <si>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</si>
  <si>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</si>
  <si>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</si>
  <si>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</si>
  <si>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</si>
  <si>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</si>
  <si>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</si>
  <si>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</si>
  <si>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</si>
  <si>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</si>
  <si>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</si>
  <si>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</si>
  <si>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</si>
  <si>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</si>
  <si>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</si>
  <si>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</si>
  <si>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</si>
  <si>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</si>
  <si>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</si>
  <si>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</si>
  <si>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</si>
  <si>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</si>
  <si>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</si>
  <si>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</si>
  <si>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</si>
  <si>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</si>
  <si>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</si>
  <si>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</si>
  <si>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</si>
  <si>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</si>
  <si>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</si>
  <si>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</si>
  <si>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</si>
  <si>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</si>
  <si>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</si>
  <si>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</si>
  <si>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</si>
  <si>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</si>
  <si>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</si>
  <si>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</si>
  <si>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</si>
  <si>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</si>
  <si>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</si>
  <si>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</si>
  <si>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</si>
  <si>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</si>
  <si>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</si>
  <si>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</si>
  <si>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</si>
  <si>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</si>
  <si>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</si>
  <si>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</si>
  <si>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</si>
  <si>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</si>
  <si>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</si>
  <si>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</si>
  <si>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</si>
  <si>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</si>
  <si>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</si>
  <si>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</si>
  <si>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</si>
  <si>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</si>
  <si>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</si>
  <si>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</si>
  <si>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26/09/17 - VENCIMENTO 03/10/17</t>
  </si>
  <si>
    <t>Movebuss Soluções em Mobilidde Urbana Ltda</t>
  </si>
  <si>
    <t>Imperial Transportes Urbanos Ltda</t>
  </si>
  <si>
    <t>Área 3.1</t>
  </si>
  <si>
    <t>Área 4.0</t>
  </si>
  <si>
    <t>Área 4.1</t>
  </si>
  <si>
    <t>Átea 5.1</t>
  </si>
  <si>
    <t>5.2.8. Ajuste de Remuneração Previsto Contratualmente (1)</t>
  </si>
  <si>
    <t>5.2.9. Ajuste de Remuneração Previsto Contratualmente  Ar-condicionado (-) (2)</t>
  </si>
  <si>
    <t>5.2.9. Ajuste de Remuneração Previsto Contratualmente  Ar-condicionado  (+) (2)</t>
  </si>
  <si>
    <t>5.3. Revisão de Remuneração pelo Transporte Coletivo (3)</t>
  </si>
  <si>
    <t>8. Tarifa de Remuneração por Passageiro (4)</t>
  </si>
  <si>
    <t>Nota:</t>
  </si>
  <si>
    <t>(1) Ajuste de remuneração, previsto contratualmente, período de 25/08 a 24/09/17, parcela 01/20.
(2) Revisão remuneração ar-condicionado, previsto contratualmente, períodos de 25/08 a 24/09/17.
(3) Revisão de passageiros transportados, período de 01 a 07/09/17, total de 496.324 passageiros.
(4) Tarifa de remuneração de cada empresa considerando o  reequilibrio interno estabelecido e informado pelo consórcio. Não consideram os acertos financeiros previstos no item 7.</t>
  </si>
  <si>
    <t>7.7. Movebuss</t>
  </si>
  <si>
    <t>8.7. Movebuss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</si>
</sst>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9" fontId="0" fillId="0" borderId="0" xfId="0" applyNumberFormat="1" applyAlignment="1">
      <alignment/>
    </xf>
    <xf numFmtId="172" fontId="0" fillId="0" borderId="0" xfId="52" applyNumberFormat="1" applyFont="1" applyAlignment="1">
      <alignment/>
    </xf>
    <xf numFmtId="172" fontId="0" fillId="0" borderId="0" xfId="52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70" fontId="42" fillId="0" borderId="0" xfId="45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9077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9077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9077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8" width="17.50390625" style="1" customWidth="1"/>
    <col min="9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0.12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93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94</v>
      </c>
      <c r="I5" s="4" t="s">
        <v>95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96</v>
      </c>
      <c r="F6" s="3" t="s">
        <v>97</v>
      </c>
      <c r="G6" s="3" t="s">
        <v>98</v>
      </c>
      <c r="H6" s="3" t="s">
        <v>29</v>
      </c>
      <c r="I6" s="3" t="s">
        <v>99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515845</v>
      </c>
      <c r="C7" s="10">
        <f>C8+C20+C24</f>
        <v>386556</v>
      </c>
      <c r="D7" s="10">
        <f>D8+D20+D24</f>
        <v>391771</v>
      </c>
      <c r="E7" s="10">
        <f>E8+E20+E24</f>
        <v>58030</v>
      </c>
      <c r="F7" s="10">
        <f aca="true" t="shared" si="0" ref="F7:N7">F8+F20+F24</f>
        <v>337217</v>
      </c>
      <c r="G7" s="10">
        <f t="shared" si="0"/>
        <v>538730</v>
      </c>
      <c r="H7" s="10">
        <f>H8+H20+H24</f>
        <v>380217</v>
      </c>
      <c r="I7" s="10">
        <f>I8+I20+I24</f>
        <v>101080</v>
      </c>
      <c r="J7" s="10">
        <f>J8+J20+J24</f>
        <v>426610</v>
      </c>
      <c r="K7" s="10">
        <f>K8+K20+K24</f>
        <v>305638</v>
      </c>
      <c r="L7" s="10">
        <f>L8+L20+L24</f>
        <v>381670</v>
      </c>
      <c r="M7" s="10">
        <f t="shared" si="0"/>
        <v>153000</v>
      </c>
      <c r="N7" s="10">
        <f t="shared" si="0"/>
        <v>95475</v>
      </c>
      <c r="O7" s="10">
        <f>+O8+O20+O24</f>
        <v>4071839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213360</v>
      </c>
      <c r="C8" s="12">
        <f>+C9+C12+C16</f>
        <v>172302</v>
      </c>
      <c r="D8" s="12">
        <f>+D9+D12+D16</f>
        <v>188245</v>
      </c>
      <c r="E8" s="12">
        <f>+E9+E12+E16</f>
        <v>25015</v>
      </c>
      <c r="F8" s="12">
        <f aca="true" t="shared" si="1" ref="F8:N8">+F9+F12+F16</f>
        <v>148677</v>
      </c>
      <c r="G8" s="12">
        <f t="shared" si="1"/>
        <v>245286</v>
      </c>
      <c r="H8" s="12">
        <f>+H9+H12+H16</f>
        <v>166612</v>
      </c>
      <c r="I8" s="12">
        <f>+I9+I12+I16</f>
        <v>46460</v>
      </c>
      <c r="J8" s="12">
        <f>+J9+J12+J16</f>
        <v>194345</v>
      </c>
      <c r="K8" s="12">
        <f>+K9+K12+K16</f>
        <v>139245</v>
      </c>
      <c r="L8" s="12">
        <f>+L9+L12+L16</f>
        <v>162244</v>
      </c>
      <c r="M8" s="12">
        <f t="shared" si="1"/>
        <v>75387</v>
      </c>
      <c r="N8" s="12">
        <f t="shared" si="1"/>
        <v>48387</v>
      </c>
      <c r="O8" s="12">
        <f>SUM(B8:N8)</f>
        <v>1825565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18886</v>
      </c>
      <c r="C9" s="14">
        <v>19259</v>
      </c>
      <c r="D9" s="14">
        <v>13804</v>
      </c>
      <c r="E9" s="14">
        <v>1503</v>
      </c>
      <c r="F9" s="14">
        <v>11301</v>
      </c>
      <c r="G9" s="14">
        <v>21345</v>
      </c>
      <c r="H9" s="14">
        <v>19062</v>
      </c>
      <c r="I9" s="14">
        <v>5408</v>
      </c>
      <c r="J9" s="14">
        <v>11411</v>
      </c>
      <c r="K9" s="14">
        <v>14716</v>
      </c>
      <c r="L9" s="14">
        <v>11621</v>
      </c>
      <c r="M9" s="14">
        <f>7888+46</f>
        <v>7934</v>
      </c>
      <c r="N9" s="14">
        <v>5399</v>
      </c>
      <c r="O9" s="12">
        <f aca="true" t="shared" si="2" ref="O9:O19">SUM(B9:N9)</f>
        <v>161649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18886</v>
      </c>
      <c r="C10" s="14">
        <f>+C9-C11</f>
        <v>19259</v>
      </c>
      <c r="D10" s="14">
        <f>+D9-D11</f>
        <v>13804</v>
      </c>
      <c r="E10" s="14">
        <f>+E9-E11</f>
        <v>1503</v>
      </c>
      <c r="F10" s="14">
        <f aca="true" t="shared" si="3" ref="F10:N10">+F9-F11</f>
        <v>11301</v>
      </c>
      <c r="G10" s="14">
        <f t="shared" si="3"/>
        <v>21345</v>
      </c>
      <c r="H10" s="14">
        <f>+H9-H11</f>
        <v>19062</v>
      </c>
      <c r="I10" s="14">
        <f>+I9-I11</f>
        <v>5408</v>
      </c>
      <c r="J10" s="14">
        <f>+J9-J11</f>
        <v>11411</v>
      </c>
      <c r="K10" s="14">
        <f>+K9-K11</f>
        <v>14716</v>
      </c>
      <c r="L10" s="14">
        <f>+L9-L11</f>
        <v>11621</v>
      </c>
      <c r="M10" s="14">
        <f t="shared" si="3"/>
        <v>7934</v>
      </c>
      <c r="N10" s="14">
        <f t="shared" si="3"/>
        <v>5399</v>
      </c>
      <c r="O10" s="12">
        <f t="shared" si="2"/>
        <v>161649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182819</v>
      </c>
      <c r="C12" s="14">
        <f>C13+C14+C15</f>
        <v>144185</v>
      </c>
      <c r="D12" s="14">
        <f>D13+D14+D15</f>
        <v>164904</v>
      </c>
      <c r="E12" s="14">
        <f>E13+E14+E15</f>
        <v>22230</v>
      </c>
      <c r="F12" s="14">
        <f aca="true" t="shared" si="4" ref="F12:N12">F13+F14+F15</f>
        <v>129277</v>
      </c>
      <c r="G12" s="14">
        <f t="shared" si="4"/>
        <v>209579</v>
      </c>
      <c r="H12" s="14">
        <f>H13+H14+H15</f>
        <v>138824</v>
      </c>
      <c r="I12" s="14">
        <f>I13+I14+I15</f>
        <v>38648</v>
      </c>
      <c r="J12" s="14">
        <f>J13+J14+J15</f>
        <v>171414</v>
      </c>
      <c r="K12" s="14">
        <f>K13+K14+K15</f>
        <v>117108</v>
      </c>
      <c r="L12" s="14">
        <f>L13+L14+L15</f>
        <v>140388</v>
      </c>
      <c r="M12" s="14">
        <f t="shared" si="4"/>
        <v>63821</v>
      </c>
      <c r="N12" s="14">
        <f t="shared" si="4"/>
        <v>40893</v>
      </c>
      <c r="O12" s="12">
        <f t="shared" si="2"/>
        <v>1564090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91582</v>
      </c>
      <c r="C13" s="14">
        <v>73259</v>
      </c>
      <c r="D13" s="14">
        <v>80599</v>
      </c>
      <c r="E13" s="14">
        <v>11170</v>
      </c>
      <c r="F13" s="14">
        <v>63300</v>
      </c>
      <c r="G13" s="14">
        <v>103282</v>
      </c>
      <c r="H13" s="14">
        <v>72142</v>
      </c>
      <c r="I13" s="14">
        <v>20301</v>
      </c>
      <c r="J13" s="14">
        <v>87991</v>
      </c>
      <c r="K13" s="14">
        <v>58365</v>
      </c>
      <c r="L13" s="14">
        <v>69657</v>
      </c>
      <c r="M13" s="14">
        <v>30961</v>
      </c>
      <c r="N13" s="14">
        <v>19199</v>
      </c>
      <c r="O13" s="12">
        <f t="shared" si="2"/>
        <v>781808</v>
      </c>
      <c r="P13"/>
      <c r="Q13"/>
      <c r="R13"/>
      <c r="S13" s="65"/>
      <c r="T13" s="65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85947</v>
      </c>
      <c r="C14" s="14">
        <v>64568</v>
      </c>
      <c r="D14" s="14">
        <v>81030</v>
      </c>
      <c r="E14" s="14">
        <v>10277</v>
      </c>
      <c r="F14" s="14">
        <v>61655</v>
      </c>
      <c r="G14" s="14">
        <v>97062</v>
      </c>
      <c r="H14" s="14">
        <v>61740</v>
      </c>
      <c r="I14" s="14">
        <v>16992</v>
      </c>
      <c r="J14" s="14">
        <v>80087</v>
      </c>
      <c r="K14" s="14">
        <v>54924</v>
      </c>
      <c r="L14" s="14">
        <v>67136</v>
      </c>
      <c r="M14" s="14">
        <v>30680</v>
      </c>
      <c r="N14" s="14">
        <v>20638</v>
      </c>
      <c r="O14" s="12">
        <f t="shared" si="2"/>
        <v>732736</v>
      </c>
      <c r="P14"/>
      <c r="Q14"/>
      <c r="R14"/>
      <c r="S14" s="66"/>
      <c r="T14" s="66"/>
      <c r="U14" s="66"/>
      <c r="V14" s="66"/>
      <c r="W14" s="66"/>
      <c r="X14"/>
      <c r="Y14"/>
      <c r="Z14"/>
    </row>
    <row r="15" spans="1:26" ht="18.75" customHeight="1">
      <c r="A15" s="15" t="s">
        <v>9</v>
      </c>
      <c r="B15" s="14">
        <v>5290</v>
      </c>
      <c r="C15" s="14">
        <v>6358</v>
      </c>
      <c r="D15" s="14">
        <v>3275</v>
      </c>
      <c r="E15" s="14">
        <v>783</v>
      </c>
      <c r="F15" s="14">
        <v>4322</v>
      </c>
      <c r="G15" s="14">
        <v>9235</v>
      </c>
      <c r="H15" s="14">
        <v>4942</v>
      </c>
      <c r="I15" s="14">
        <v>1355</v>
      </c>
      <c r="J15" s="14">
        <v>3336</v>
      </c>
      <c r="K15" s="14">
        <v>3819</v>
      </c>
      <c r="L15" s="14">
        <v>3595</v>
      </c>
      <c r="M15" s="14">
        <v>2180</v>
      </c>
      <c r="N15" s="14">
        <v>1056</v>
      </c>
      <c r="O15" s="12">
        <f t="shared" si="2"/>
        <v>49546</v>
      </c>
      <c r="P15"/>
      <c r="Q15"/>
      <c r="R15"/>
      <c r="S15" s="66"/>
      <c r="T15" s="66"/>
      <c r="U15" s="66"/>
      <c r="V15" s="66"/>
      <c r="W15" s="66"/>
      <c r="X15"/>
      <c r="Y15"/>
      <c r="Z15"/>
    </row>
    <row r="16" spans="1:23" ht="18.75" customHeight="1">
      <c r="A16" s="16" t="s">
        <v>19</v>
      </c>
      <c r="B16" s="14">
        <f>B17+B18+B19</f>
        <v>11655</v>
      </c>
      <c r="C16" s="14">
        <f>C17+C18+C19</f>
        <v>8858</v>
      </c>
      <c r="D16" s="14">
        <f>D17+D18+D19</f>
        <v>9537</v>
      </c>
      <c r="E16" s="14">
        <f>E17+E18+E19</f>
        <v>1282</v>
      </c>
      <c r="F16" s="14">
        <f aca="true" t="shared" si="5" ref="F16:N16">F17+F18+F19</f>
        <v>8099</v>
      </c>
      <c r="G16" s="14">
        <f t="shared" si="5"/>
        <v>14362</v>
      </c>
      <c r="H16" s="14">
        <f>H17+H18+H19</f>
        <v>8726</v>
      </c>
      <c r="I16" s="14">
        <f>I17+I18+I19</f>
        <v>2404</v>
      </c>
      <c r="J16" s="14">
        <f>J17+J18+J19</f>
        <v>11520</v>
      </c>
      <c r="K16" s="14">
        <f>K17+K18+K19</f>
        <v>7421</v>
      </c>
      <c r="L16" s="14">
        <f>L17+L18+L19</f>
        <v>10235</v>
      </c>
      <c r="M16" s="14">
        <f t="shared" si="5"/>
        <v>3632</v>
      </c>
      <c r="N16" s="14">
        <f t="shared" si="5"/>
        <v>2095</v>
      </c>
      <c r="O16" s="12">
        <f t="shared" si="2"/>
        <v>99826</v>
      </c>
      <c r="S16" s="67"/>
      <c r="T16" s="67"/>
      <c r="U16" s="67"/>
      <c r="V16" s="67"/>
      <c r="W16" s="67"/>
    </row>
    <row r="17" spans="1:26" ht="18.75" customHeight="1">
      <c r="A17" s="15" t="s">
        <v>16</v>
      </c>
      <c r="B17" s="14">
        <v>11589</v>
      </c>
      <c r="C17" s="14">
        <v>8797</v>
      </c>
      <c r="D17" s="14">
        <v>9476</v>
      </c>
      <c r="E17" s="14">
        <v>1272</v>
      </c>
      <c r="F17" s="14">
        <v>8051</v>
      </c>
      <c r="G17" s="14">
        <v>14276</v>
      </c>
      <c r="H17" s="14">
        <v>8662</v>
      </c>
      <c r="I17" s="14">
        <v>2384</v>
      </c>
      <c r="J17" s="14">
        <v>11451</v>
      </c>
      <c r="K17" s="14">
        <v>7356</v>
      </c>
      <c r="L17" s="14">
        <v>10176</v>
      </c>
      <c r="M17" s="14">
        <f>1844+1750</f>
        <v>3594</v>
      </c>
      <c r="N17" s="14">
        <v>2074</v>
      </c>
      <c r="O17" s="12">
        <f t="shared" si="2"/>
        <v>99158</v>
      </c>
      <c r="P17"/>
      <c r="Q17"/>
      <c r="R17"/>
      <c r="S17" s="66"/>
      <c r="T17" s="66"/>
      <c r="U17" s="66"/>
      <c r="V17" s="66"/>
      <c r="W17" s="66"/>
      <c r="X17"/>
      <c r="Y17"/>
      <c r="Z17"/>
    </row>
    <row r="18" spans="1:26" ht="18.75" customHeight="1">
      <c r="A18" s="15" t="s">
        <v>17</v>
      </c>
      <c r="B18" s="14">
        <v>55</v>
      </c>
      <c r="C18" s="14">
        <v>51</v>
      </c>
      <c r="D18" s="14">
        <v>57</v>
      </c>
      <c r="E18" s="14">
        <v>9</v>
      </c>
      <c r="F18" s="14">
        <v>43</v>
      </c>
      <c r="G18" s="14">
        <v>79</v>
      </c>
      <c r="H18" s="14">
        <v>62</v>
      </c>
      <c r="I18" s="14">
        <v>15</v>
      </c>
      <c r="J18" s="14">
        <v>65</v>
      </c>
      <c r="K18" s="14">
        <v>58</v>
      </c>
      <c r="L18" s="14">
        <v>55</v>
      </c>
      <c r="M18" s="14">
        <f>23+11</f>
        <v>34</v>
      </c>
      <c r="N18" s="14">
        <v>21</v>
      </c>
      <c r="O18" s="12">
        <f t="shared" si="2"/>
        <v>604</v>
      </c>
      <c r="P18"/>
      <c r="Q18"/>
      <c r="R18"/>
      <c r="S18" s="66"/>
      <c r="T18" s="66"/>
      <c r="U18" s="66"/>
      <c r="V18" s="66"/>
      <c r="W18" s="66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10</v>
      </c>
      <c r="D19" s="14">
        <v>4</v>
      </c>
      <c r="E19" s="14">
        <v>1</v>
      </c>
      <c r="F19" s="14">
        <v>5</v>
      </c>
      <c r="G19" s="14">
        <v>7</v>
      </c>
      <c r="H19" s="14">
        <v>2</v>
      </c>
      <c r="I19" s="14">
        <v>5</v>
      </c>
      <c r="J19" s="14">
        <v>4</v>
      </c>
      <c r="K19" s="14">
        <v>7</v>
      </c>
      <c r="L19" s="14">
        <v>4</v>
      </c>
      <c r="M19" s="14">
        <f>2+2</f>
        <v>4</v>
      </c>
      <c r="N19" s="14">
        <v>0</v>
      </c>
      <c r="O19" s="12">
        <f t="shared" si="2"/>
        <v>64</v>
      </c>
      <c r="P19"/>
      <c r="Q19"/>
      <c r="R19"/>
      <c r="S19" s="66"/>
      <c r="T19" s="66"/>
      <c r="U19" s="66"/>
      <c r="V19" s="66"/>
      <c r="W19" s="66"/>
      <c r="X19"/>
      <c r="Y19"/>
      <c r="Z19"/>
    </row>
    <row r="20" spans="1:26" ht="18.75" customHeight="1">
      <c r="A20" s="17" t="s">
        <v>10</v>
      </c>
      <c r="B20" s="18">
        <f>B21+B22+B23</f>
        <v>135487</v>
      </c>
      <c r="C20" s="18">
        <f>C21+C22+C23</f>
        <v>86281</v>
      </c>
      <c r="D20" s="18">
        <f>D21+D22+D23</f>
        <v>80429</v>
      </c>
      <c r="E20" s="18">
        <f>E21+E22+E23</f>
        <v>12122</v>
      </c>
      <c r="F20" s="18">
        <f aca="true" t="shared" si="6" ref="F20:N20">F21+F22+F23</f>
        <v>69679</v>
      </c>
      <c r="G20" s="18">
        <f t="shared" si="6"/>
        <v>112771</v>
      </c>
      <c r="H20" s="18">
        <f>H21+H22+H23</f>
        <v>92295</v>
      </c>
      <c r="I20" s="18">
        <f>I21+I22+I23</f>
        <v>24131</v>
      </c>
      <c r="J20" s="18">
        <f>J21+J22+J23</f>
        <v>108342</v>
      </c>
      <c r="K20" s="18">
        <f>K21+K22+K23</f>
        <v>72165</v>
      </c>
      <c r="L20" s="18">
        <f>L21+L22+L23</f>
        <v>114325</v>
      </c>
      <c r="M20" s="18">
        <f t="shared" si="6"/>
        <v>42178</v>
      </c>
      <c r="N20" s="18">
        <f t="shared" si="6"/>
        <v>25131</v>
      </c>
      <c r="O20" s="12">
        <f aca="true" t="shared" si="7" ref="O20:O26">SUM(B20:N20)</f>
        <v>975336</v>
      </c>
      <c r="P20"/>
      <c r="Q20"/>
      <c r="R20"/>
      <c r="S20" s="66"/>
      <c r="T20" s="66"/>
      <c r="U20" s="66"/>
      <c r="V20" s="66"/>
      <c r="W20" s="66"/>
      <c r="X20"/>
      <c r="Y20"/>
      <c r="Z20"/>
    </row>
    <row r="21" spans="1:26" ht="18.75" customHeight="1">
      <c r="A21" s="13" t="s">
        <v>11</v>
      </c>
      <c r="B21" s="14">
        <v>73574</v>
      </c>
      <c r="C21" s="14">
        <v>49801</v>
      </c>
      <c r="D21" s="14">
        <v>44328</v>
      </c>
      <c r="E21" s="14">
        <v>6910</v>
      </c>
      <c r="F21" s="14">
        <v>38209</v>
      </c>
      <c r="G21" s="14">
        <v>63317</v>
      </c>
      <c r="H21" s="14">
        <v>53925</v>
      </c>
      <c r="I21" s="14">
        <v>14405</v>
      </c>
      <c r="J21" s="14">
        <v>61745</v>
      </c>
      <c r="K21" s="14">
        <v>40172</v>
      </c>
      <c r="L21" s="14">
        <v>61818</v>
      </c>
      <c r="M21" s="14">
        <v>22718</v>
      </c>
      <c r="N21" s="14">
        <v>13274</v>
      </c>
      <c r="O21" s="12">
        <f t="shared" si="7"/>
        <v>544196</v>
      </c>
      <c r="P21"/>
      <c r="Q21"/>
      <c r="R21"/>
      <c r="S21" s="66"/>
      <c r="T21" s="66"/>
      <c r="U21" s="66"/>
      <c r="V21" s="66"/>
      <c r="W21" s="66"/>
      <c r="X21"/>
      <c r="Y21"/>
      <c r="Z21"/>
    </row>
    <row r="22" spans="1:26" ht="18.75" customHeight="1">
      <c r="A22" s="13" t="s">
        <v>12</v>
      </c>
      <c r="B22" s="14">
        <v>59177</v>
      </c>
      <c r="C22" s="14">
        <v>34161</v>
      </c>
      <c r="D22" s="14">
        <v>34819</v>
      </c>
      <c r="E22" s="14">
        <v>4901</v>
      </c>
      <c r="F22" s="14">
        <v>29857</v>
      </c>
      <c r="G22" s="14">
        <v>46278</v>
      </c>
      <c r="H22" s="14">
        <v>36453</v>
      </c>
      <c r="I22" s="14">
        <v>9246</v>
      </c>
      <c r="J22" s="14">
        <v>44901</v>
      </c>
      <c r="K22" s="14">
        <v>30516</v>
      </c>
      <c r="L22" s="14">
        <v>50485</v>
      </c>
      <c r="M22" s="14">
        <v>18576</v>
      </c>
      <c r="N22" s="14">
        <v>11386</v>
      </c>
      <c r="O22" s="12">
        <f t="shared" si="7"/>
        <v>410756</v>
      </c>
      <c r="P22"/>
      <c r="Q22"/>
      <c r="R22"/>
      <c r="S22" s="66"/>
      <c r="T22" s="66"/>
      <c r="U22" s="66"/>
      <c r="V22" s="66"/>
      <c r="W22" s="66"/>
      <c r="X22"/>
      <c r="Y22"/>
      <c r="Z22"/>
    </row>
    <row r="23" spans="1:26" ht="18.75" customHeight="1">
      <c r="A23" s="13" t="s">
        <v>13</v>
      </c>
      <c r="B23" s="14">
        <v>2736</v>
      </c>
      <c r="C23" s="14">
        <v>2319</v>
      </c>
      <c r="D23" s="14">
        <v>1282</v>
      </c>
      <c r="E23" s="14">
        <v>311</v>
      </c>
      <c r="F23" s="14">
        <v>1613</v>
      </c>
      <c r="G23" s="14">
        <v>3176</v>
      </c>
      <c r="H23" s="14">
        <v>1917</v>
      </c>
      <c r="I23" s="14">
        <v>480</v>
      </c>
      <c r="J23" s="14">
        <v>1696</v>
      </c>
      <c r="K23" s="14">
        <v>1477</v>
      </c>
      <c r="L23" s="14">
        <v>2022</v>
      </c>
      <c r="M23" s="14">
        <v>884</v>
      </c>
      <c r="N23" s="14">
        <v>471</v>
      </c>
      <c r="O23" s="12">
        <f t="shared" si="7"/>
        <v>20384</v>
      </c>
      <c r="P23"/>
      <c r="Q23"/>
      <c r="R23"/>
      <c r="S23" s="66"/>
      <c r="T23" s="66"/>
      <c r="U23" s="66"/>
      <c r="V23" s="66"/>
      <c r="W23" s="66"/>
      <c r="X23"/>
      <c r="Y23"/>
      <c r="Z23"/>
    </row>
    <row r="24" spans="1:26" ht="18.75" customHeight="1">
      <c r="A24" s="17" t="s">
        <v>14</v>
      </c>
      <c r="B24" s="14">
        <f>B25+B26</f>
        <v>166998</v>
      </c>
      <c r="C24" s="14">
        <f>C25+C26</f>
        <v>127973</v>
      </c>
      <c r="D24" s="14">
        <f>D25+D26</f>
        <v>123097</v>
      </c>
      <c r="E24" s="14">
        <f>E25+E26</f>
        <v>20893</v>
      </c>
      <c r="F24" s="14">
        <f aca="true" t="shared" si="8" ref="F24:N24">F25+F26</f>
        <v>118861</v>
      </c>
      <c r="G24" s="14">
        <f t="shared" si="8"/>
        <v>180673</v>
      </c>
      <c r="H24" s="14">
        <f>H25+H26</f>
        <v>121310</v>
      </c>
      <c r="I24" s="14">
        <f>I25+I26</f>
        <v>30489</v>
      </c>
      <c r="J24" s="14">
        <f>J25+J26</f>
        <v>123923</v>
      </c>
      <c r="K24" s="14">
        <f>K25+K26</f>
        <v>94228</v>
      </c>
      <c r="L24" s="14">
        <f>L25+L26</f>
        <v>105101</v>
      </c>
      <c r="M24" s="14">
        <f t="shared" si="8"/>
        <v>35435</v>
      </c>
      <c r="N24" s="14">
        <f t="shared" si="8"/>
        <v>21957</v>
      </c>
      <c r="O24" s="12">
        <f t="shared" si="7"/>
        <v>1270938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70316</v>
      </c>
      <c r="C25" s="14">
        <v>61043</v>
      </c>
      <c r="D25" s="14">
        <v>57433</v>
      </c>
      <c r="E25" s="14">
        <v>11182</v>
      </c>
      <c r="F25" s="14">
        <v>55922</v>
      </c>
      <c r="G25" s="14">
        <v>90074</v>
      </c>
      <c r="H25" s="14">
        <v>60875</v>
      </c>
      <c r="I25" s="14">
        <v>16941</v>
      </c>
      <c r="J25" s="14">
        <v>54560</v>
      </c>
      <c r="K25" s="14">
        <v>46296</v>
      </c>
      <c r="L25" s="14">
        <v>45944</v>
      </c>
      <c r="M25" s="14">
        <v>15464</v>
      </c>
      <c r="N25" s="14">
        <v>8356</v>
      </c>
      <c r="O25" s="12">
        <f t="shared" si="7"/>
        <v>594406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96682</v>
      </c>
      <c r="C26" s="14">
        <v>66930</v>
      </c>
      <c r="D26" s="14">
        <v>65664</v>
      </c>
      <c r="E26" s="14">
        <v>9711</v>
      </c>
      <c r="F26" s="14">
        <v>62939</v>
      </c>
      <c r="G26" s="14">
        <v>90599</v>
      </c>
      <c r="H26" s="14">
        <v>60435</v>
      </c>
      <c r="I26" s="14">
        <v>13548</v>
      </c>
      <c r="J26" s="14">
        <v>69363</v>
      </c>
      <c r="K26" s="14">
        <v>47932</v>
      </c>
      <c r="L26" s="14">
        <v>59157</v>
      </c>
      <c r="M26" s="14">
        <v>19971</v>
      </c>
      <c r="N26" s="14">
        <v>13601</v>
      </c>
      <c r="O26" s="12">
        <f t="shared" si="7"/>
        <v>676532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I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2.0285</v>
      </c>
      <c r="I28" s="23">
        <f t="shared" si="9"/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>M29+M30</f>
        <v>2.5186314299999997</v>
      </c>
      <c r="N28" s="23">
        <f>N29+N30</f>
        <v>2.46767856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I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>M33*M34</f>
        <v>1271.16</v>
      </c>
      <c r="N32" s="56">
        <f>N33*N34</f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1081678.9280137</v>
      </c>
      <c r="C36" s="60">
        <f aca="true" t="shared" si="11" ref="C36:N36">C37+C38+C39+C40</f>
        <v>783043.057558</v>
      </c>
      <c r="D36" s="60">
        <f t="shared" si="11"/>
        <v>742081.1227385501</v>
      </c>
      <c r="E36" s="60">
        <f t="shared" si="11"/>
        <v>150823.18475199997</v>
      </c>
      <c r="F36" s="60">
        <f t="shared" si="11"/>
        <v>735588.83327485</v>
      </c>
      <c r="G36" s="60">
        <f t="shared" si="11"/>
        <v>931863.664</v>
      </c>
      <c r="H36" s="60">
        <f>H37+H38+H39+H40</f>
        <v>777016.2644999999</v>
      </c>
      <c r="I36" s="60">
        <f>I37+I38+I39+I40</f>
        <v>201298.660216</v>
      </c>
      <c r="J36" s="60">
        <f>J37+J38+J39+J40</f>
        <v>847159.5369979999</v>
      </c>
      <c r="K36" s="60">
        <f>K37+K38+K39+K40</f>
        <v>683877.7191833999</v>
      </c>
      <c r="L36" s="60">
        <f>L37+L38+L39+L40</f>
        <v>816354.1898991999</v>
      </c>
      <c r="M36" s="60">
        <f t="shared" si="11"/>
        <v>388956.84878999996</v>
      </c>
      <c r="N36" s="60">
        <f t="shared" si="11"/>
        <v>236320.650516</v>
      </c>
      <c r="O36" s="60">
        <f>O37+O38+O39+O40</f>
        <v>8376062.6604397</v>
      </c>
    </row>
    <row r="37" spans="1:15" ht="18.75" customHeight="1">
      <c r="A37" s="57" t="s">
        <v>50</v>
      </c>
      <c r="B37" s="54">
        <f aca="true" t="shared" si="12" ref="B37:N37">B29*B7</f>
        <v>1077548.6205000002</v>
      </c>
      <c r="C37" s="54">
        <f t="shared" si="12"/>
        <v>780070.0079999999</v>
      </c>
      <c r="D37" s="54">
        <f t="shared" si="12"/>
        <v>731906.5822000001</v>
      </c>
      <c r="E37" s="54">
        <f t="shared" si="12"/>
        <v>150541.42599999998</v>
      </c>
      <c r="F37" s="54">
        <f t="shared" si="12"/>
        <v>735571.4421</v>
      </c>
      <c r="G37" s="54">
        <f t="shared" si="12"/>
        <v>931949.027</v>
      </c>
      <c r="H37" s="54">
        <f>H29*H7</f>
        <v>773399.3997</v>
      </c>
      <c r="I37" s="54">
        <f>I29*I7</f>
        <v>201209.848</v>
      </c>
      <c r="J37" s="54">
        <f>J29*J7</f>
        <v>842981.36</v>
      </c>
      <c r="K37" s="54">
        <f>K29*K7</f>
        <v>680197.369</v>
      </c>
      <c r="L37" s="54">
        <f>L29*L7</f>
        <v>812079.259</v>
      </c>
      <c r="M37" s="54">
        <f t="shared" si="12"/>
        <v>386477.99999999994</v>
      </c>
      <c r="N37" s="54">
        <f t="shared" si="12"/>
        <v>236300.625</v>
      </c>
      <c r="O37" s="56">
        <f>SUM(B37:N37)</f>
        <v>8340232.9665</v>
      </c>
    </row>
    <row r="38" spans="1:15" ht="18.75" customHeight="1">
      <c r="A38" s="57" t="s">
        <v>51</v>
      </c>
      <c r="B38" s="54">
        <f aca="true" t="shared" si="13" ref="B38:N38">B30*B7</f>
        <v>-3195.4224863</v>
      </c>
      <c r="C38" s="54">
        <f t="shared" si="13"/>
        <v>-2268.890442</v>
      </c>
      <c r="D38" s="54">
        <f t="shared" si="13"/>
        <v>-2174.30946145</v>
      </c>
      <c r="E38" s="54">
        <f t="shared" si="13"/>
        <v>-364.521248</v>
      </c>
      <c r="F38" s="54">
        <f t="shared" si="13"/>
        <v>-2144.00882515</v>
      </c>
      <c r="G38" s="54">
        <f t="shared" si="13"/>
        <v>-2747.523</v>
      </c>
      <c r="H38" s="54">
        <f>H30*H7</f>
        <v>-2129.2152</v>
      </c>
      <c r="I38" s="54">
        <f>I30*I7</f>
        <v>-566.027784</v>
      </c>
      <c r="J38" s="54">
        <f>J30*J7</f>
        <v>-2426.643002</v>
      </c>
      <c r="K38" s="54">
        <f>K30*K7</f>
        <v>-1945.5998166000002</v>
      </c>
      <c r="L38" s="54">
        <f>L30*L7</f>
        <v>-2385.5291008</v>
      </c>
      <c r="M38" s="54">
        <f t="shared" si="13"/>
        <v>-1127.39121</v>
      </c>
      <c r="N38" s="54">
        <f t="shared" si="13"/>
        <v>-699.014484</v>
      </c>
      <c r="O38" s="25">
        <f>SUM(B38:N38)</f>
        <v>-24174.096060300002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>H32</f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4068.65</v>
      </c>
      <c r="C40" s="54">
        <v>2849.42</v>
      </c>
      <c r="D40" s="54">
        <v>10187.45</v>
      </c>
      <c r="E40" s="54">
        <v>0</v>
      </c>
      <c r="F40" s="54">
        <v>0</v>
      </c>
      <c r="G40" s="54">
        <v>0</v>
      </c>
      <c r="H40" s="54">
        <v>3503.36</v>
      </c>
      <c r="I40" s="54">
        <v>0</v>
      </c>
      <c r="J40" s="54">
        <v>4058.22</v>
      </c>
      <c r="K40" s="54">
        <v>3507.35</v>
      </c>
      <c r="L40" s="54">
        <v>4058.22</v>
      </c>
      <c r="M40" s="54">
        <v>2335.08</v>
      </c>
      <c r="N40" s="54">
        <v>0</v>
      </c>
      <c r="O40" s="56">
        <f>SUM(B40:N40)</f>
        <v>34567.75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 aca="true" t="shared" si="15" ref="B42:O42">+B43+B46+B57+B58</f>
        <v>39600.48999999999</v>
      </c>
      <c r="C42" s="25">
        <f t="shared" si="15"/>
        <v>-37337.979999999996</v>
      </c>
      <c r="D42" s="25">
        <f t="shared" si="15"/>
        <v>-90053.18000000001</v>
      </c>
      <c r="E42" s="25">
        <f t="shared" si="15"/>
        <v>93391.8</v>
      </c>
      <c r="F42" s="25">
        <f t="shared" si="15"/>
        <v>-18081.5</v>
      </c>
      <c r="G42" s="25">
        <f t="shared" si="15"/>
        <v>-29650.539999999994</v>
      </c>
      <c r="H42" s="25">
        <f t="shared" si="15"/>
        <v>-122942.58000000002</v>
      </c>
      <c r="I42" s="25">
        <f t="shared" si="15"/>
        <v>-20850.390000000003</v>
      </c>
      <c r="J42" s="25">
        <f t="shared" si="15"/>
        <v>159077.22</v>
      </c>
      <c r="K42" s="25">
        <f t="shared" si="15"/>
        <v>-38563.840000000004</v>
      </c>
      <c r="L42" s="25">
        <f t="shared" si="15"/>
        <v>235035.53</v>
      </c>
      <c r="M42" s="25">
        <f t="shared" si="15"/>
        <v>-55018.48</v>
      </c>
      <c r="N42" s="25">
        <f t="shared" si="15"/>
        <v>-2803.6699999999983</v>
      </c>
      <c r="O42" s="25">
        <f t="shared" si="15"/>
        <v>111802.88</v>
      </c>
    </row>
    <row r="43" spans="1:15" ht="18.75" customHeight="1">
      <c r="A43" s="17" t="s">
        <v>55</v>
      </c>
      <c r="B43" s="26">
        <f>B44+B45</f>
        <v>-71766.8</v>
      </c>
      <c r="C43" s="26">
        <f>C44+C45</f>
        <v>-73184.2</v>
      </c>
      <c r="D43" s="26">
        <f>D44+D45</f>
        <v>-52455.2</v>
      </c>
      <c r="E43" s="26">
        <f>E44+E45</f>
        <v>-5711.4</v>
      </c>
      <c r="F43" s="26">
        <f aca="true" t="shared" si="16" ref="F43:N43">F44+F45</f>
        <v>-42943.8</v>
      </c>
      <c r="G43" s="26">
        <f t="shared" si="16"/>
        <v>-81111</v>
      </c>
      <c r="H43" s="26">
        <f>H44+H45</f>
        <v>-72435.6</v>
      </c>
      <c r="I43" s="26">
        <f>I44+I45</f>
        <v>-20550.4</v>
      </c>
      <c r="J43" s="26">
        <f>J44+J45</f>
        <v>-43361.8</v>
      </c>
      <c r="K43" s="26">
        <f>K44+K45</f>
        <v>-55920.8</v>
      </c>
      <c r="L43" s="26">
        <f>L44+L45</f>
        <v>-44159.8</v>
      </c>
      <c r="M43" s="26">
        <f t="shared" si="16"/>
        <v>-30149.2</v>
      </c>
      <c r="N43" s="26">
        <f t="shared" si="16"/>
        <v>-20516.2</v>
      </c>
      <c r="O43" s="25">
        <f aca="true" t="shared" si="17" ref="O43:O58">SUM(B43:N43)</f>
        <v>-614266.2</v>
      </c>
    </row>
    <row r="44" spans="1:26" ht="18.75" customHeight="1">
      <c r="A44" s="13" t="s">
        <v>56</v>
      </c>
      <c r="B44" s="20">
        <f>ROUND(-B9*$D$3,2)</f>
        <v>-71766.8</v>
      </c>
      <c r="C44" s="20">
        <f>ROUND(-C9*$D$3,2)</f>
        <v>-73184.2</v>
      </c>
      <c r="D44" s="20">
        <f>ROUND(-D9*$D$3,2)</f>
        <v>-52455.2</v>
      </c>
      <c r="E44" s="20">
        <f>ROUND(-E9*$D$3,2)</f>
        <v>-5711.4</v>
      </c>
      <c r="F44" s="20">
        <f aca="true" t="shared" si="18" ref="F44:N44">ROUND(-F9*$D$3,2)</f>
        <v>-42943.8</v>
      </c>
      <c r="G44" s="20">
        <f t="shared" si="18"/>
        <v>-81111</v>
      </c>
      <c r="H44" s="20">
        <f>ROUND(-H9*$D$3,2)</f>
        <v>-72435.6</v>
      </c>
      <c r="I44" s="20">
        <f>ROUND(-I9*$D$3,2)</f>
        <v>-20550.4</v>
      </c>
      <c r="J44" s="20">
        <f>ROUND(-J9*$D$3,2)</f>
        <v>-43361.8</v>
      </c>
      <c r="K44" s="20">
        <f>ROUND(-K9*$D$3,2)</f>
        <v>-55920.8</v>
      </c>
      <c r="L44" s="20">
        <f>ROUND(-L9*$D$3,2)</f>
        <v>-44159.8</v>
      </c>
      <c r="M44" s="20">
        <f t="shared" si="18"/>
        <v>-30149.2</v>
      </c>
      <c r="N44" s="20">
        <f t="shared" si="18"/>
        <v>-20516.2</v>
      </c>
      <c r="O44" s="46">
        <f t="shared" si="17"/>
        <v>-614266.2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>ROUND(H11*$D$3,2)</f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 aca="true" t="shared" si="20" ref="B46:N46">SUM(B47:B56)</f>
        <v>-76204.35</v>
      </c>
      <c r="C46" s="26">
        <f t="shared" si="20"/>
        <v>-3571.470000000001</v>
      </c>
      <c r="D46" s="26">
        <f t="shared" si="20"/>
        <v>-110992.77</v>
      </c>
      <c r="E46" s="26">
        <f t="shared" si="20"/>
        <v>-23767.27</v>
      </c>
      <c r="F46" s="26">
        <f t="shared" si="20"/>
        <v>-84001.66</v>
      </c>
      <c r="G46" s="26">
        <f t="shared" si="20"/>
        <v>-22219</v>
      </c>
      <c r="H46" s="26">
        <f t="shared" si="20"/>
        <v>-89171.91</v>
      </c>
      <c r="I46" s="26">
        <f t="shared" si="20"/>
        <v>-4021.22</v>
      </c>
      <c r="J46" s="26">
        <f t="shared" si="20"/>
        <v>88839.22</v>
      </c>
      <c r="K46" s="26">
        <f t="shared" si="20"/>
        <v>1066.7799999999988</v>
      </c>
      <c r="L46" s="26">
        <f t="shared" si="20"/>
        <v>104794.73</v>
      </c>
      <c r="M46" s="26">
        <f t="shared" si="20"/>
        <v>-26071.16</v>
      </c>
      <c r="N46" s="26">
        <f t="shared" si="20"/>
        <v>17712.530000000002</v>
      </c>
      <c r="O46" s="26">
        <f>SUM(O47:O56)</f>
        <v>-227607.55000000005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0</v>
      </c>
      <c r="E49" s="24">
        <v>-1000</v>
      </c>
      <c r="F49" s="24">
        <v>-1000</v>
      </c>
      <c r="G49" s="24">
        <v>5000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2000</v>
      </c>
      <c r="O49" s="24">
        <f t="shared" si="17"/>
        <v>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-82.06</v>
      </c>
      <c r="G50" s="24">
        <v>-572.45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-654.51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100</v>
      </c>
      <c r="B54" s="24">
        <f>-5645.52-24121.58</f>
        <v>-29767.100000000002</v>
      </c>
      <c r="C54" s="24">
        <f>-6073.92-15033.15</f>
        <v>-21107.07</v>
      </c>
      <c r="D54" s="24">
        <f>-20453.89</f>
        <v>-20453.89</v>
      </c>
      <c r="E54" s="24">
        <v>-3941.07</v>
      </c>
      <c r="F54" s="24">
        <v>-20706.61</v>
      </c>
      <c r="G54" s="24">
        <v>-25401.11</v>
      </c>
      <c r="H54" s="24">
        <v>-20862.36</v>
      </c>
      <c r="I54" s="24">
        <v>-5802.03</v>
      </c>
      <c r="J54" s="24">
        <v>-23741.3</v>
      </c>
      <c r="K54" s="24">
        <v>-18968.95</v>
      </c>
      <c r="L54" s="24">
        <v>-23169.61</v>
      </c>
      <c r="M54" s="24">
        <v>-10452.66</v>
      </c>
      <c r="N54" s="24">
        <v>-6079.28</v>
      </c>
      <c r="O54" s="24">
        <f t="shared" si="17"/>
        <v>-230453.04000000004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-46784.36</v>
      </c>
      <c r="C55" s="24">
        <v>-44410.61</v>
      </c>
      <c r="D55" s="24">
        <v>-90538.88</v>
      </c>
      <c r="E55" s="24">
        <v>-18826.2</v>
      </c>
      <c r="F55" s="24">
        <v>-62212.99</v>
      </c>
      <c r="G55" s="24">
        <v>-1245.44</v>
      </c>
      <c r="H55" s="24">
        <v>-68309.55</v>
      </c>
      <c r="I55" s="24">
        <v>0</v>
      </c>
      <c r="J55" s="24">
        <v>0</v>
      </c>
      <c r="K55" s="24">
        <v>0</v>
      </c>
      <c r="L55" s="24">
        <v>0</v>
      </c>
      <c r="M55" s="24">
        <v>-15618.5</v>
      </c>
      <c r="N55" s="24">
        <v>0</v>
      </c>
      <c r="O55" s="24">
        <f t="shared" si="17"/>
        <v>-347946.53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347.11</v>
      </c>
      <c r="C56" s="24">
        <v>61946.21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3280.81</v>
      </c>
      <c r="J56" s="24">
        <v>112580.52</v>
      </c>
      <c r="K56" s="24">
        <v>20035.73</v>
      </c>
      <c r="L56" s="24">
        <v>127964.34</v>
      </c>
      <c r="M56" s="24">
        <v>0</v>
      </c>
      <c r="N56" s="24">
        <v>21791.81</v>
      </c>
      <c r="O56" s="24">
        <f t="shared" si="17"/>
        <v>347946.53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7" t="s">
        <v>103</v>
      </c>
      <c r="B57" s="27">
        <v>187571.64</v>
      </c>
      <c r="C57" s="27">
        <v>39417.69</v>
      </c>
      <c r="D57" s="27">
        <v>73394.79</v>
      </c>
      <c r="E57" s="27">
        <v>122870.47</v>
      </c>
      <c r="F57" s="27">
        <v>108863.96</v>
      </c>
      <c r="G57" s="27">
        <v>73679.46</v>
      </c>
      <c r="H57" s="27">
        <v>38664.93</v>
      </c>
      <c r="I57" s="27">
        <v>3721.23</v>
      </c>
      <c r="J57" s="27">
        <v>113599.8</v>
      </c>
      <c r="K57" s="27">
        <v>16290.18</v>
      </c>
      <c r="L57" s="27">
        <v>174400.6</v>
      </c>
      <c r="M57" s="27">
        <v>1201.88</v>
      </c>
      <c r="N57" s="27">
        <v>0</v>
      </c>
      <c r="O57" s="24">
        <f t="shared" si="17"/>
        <v>953676.63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15" ht="15" customHeight="1">
      <c r="A59" s="3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20"/>
    </row>
    <row r="60" spans="1:26" ht="15.75">
      <c r="A60" s="2" t="s">
        <v>67</v>
      </c>
      <c r="B60" s="29">
        <f aca="true" t="shared" si="21" ref="B60:N60">+B36+B42</f>
        <v>1121279.4180137</v>
      </c>
      <c r="C60" s="29">
        <f t="shared" si="21"/>
        <v>745705.077558</v>
      </c>
      <c r="D60" s="29">
        <f t="shared" si="21"/>
        <v>652027.94273855</v>
      </c>
      <c r="E60" s="29">
        <f t="shared" si="21"/>
        <v>244214.98475199996</v>
      </c>
      <c r="F60" s="29">
        <f t="shared" si="21"/>
        <v>717507.33327485</v>
      </c>
      <c r="G60" s="29">
        <f t="shared" si="21"/>
        <v>902213.124</v>
      </c>
      <c r="H60" s="29">
        <f t="shared" si="21"/>
        <v>654073.6845</v>
      </c>
      <c r="I60" s="29">
        <f t="shared" si="21"/>
        <v>180448.27021599998</v>
      </c>
      <c r="J60" s="29">
        <f t="shared" si="21"/>
        <v>1006236.7569979999</v>
      </c>
      <c r="K60" s="29">
        <f t="shared" si="21"/>
        <v>645313.8791834</v>
      </c>
      <c r="L60" s="29">
        <f t="shared" si="21"/>
        <v>1051389.7198992</v>
      </c>
      <c r="M60" s="29">
        <f t="shared" si="21"/>
        <v>333938.36879</v>
      </c>
      <c r="N60" s="29">
        <f t="shared" si="21"/>
        <v>233516.980516</v>
      </c>
      <c r="O60" s="29">
        <f>SUM(B60:N60)</f>
        <v>8487865.5404397</v>
      </c>
      <c r="P60"/>
      <c r="Q60"/>
      <c r="R60"/>
      <c r="S60"/>
      <c r="T60"/>
      <c r="U60"/>
      <c r="V60"/>
      <c r="W60"/>
      <c r="X60"/>
      <c r="Y60"/>
      <c r="Z60"/>
    </row>
    <row r="61" spans="1:15" ht="15" customHeight="1">
      <c r="A61" s="34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8"/>
    </row>
    <row r="62" spans="1:15" ht="15" customHeight="1">
      <c r="A62" s="2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7" ht="18.75" customHeight="1">
      <c r="A63" s="2" t="s">
        <v>68</v>
      </c>
      <c r="B63" s="36">
        <f>SUM(B64:B77)</f>
        <v>1121279.42</v>
      </c>
      <c r="C63" s="36">
        <f aca="true" t="shared" si="22" ref="C63:N63">SUM(C64:C77)</f>
        <v>745705.08</v>
      </c>
      <c r="D63" s="36">
        <f t="shared" si="22"/>
        <v>652027.94</v>
      </c>
      <c r="E63" s="36">
        <f t="shared" si="22"/>
        <v>244214.99</v>
      </c>
      <c r="F63" s="36">
        <f t="shared" si="22"/>
        <v>717507.33</v>
      </c>
      <c r="G63" s="36">
        <f t="shared" si="22"/>
        <v>902213.13</v>
      </c>
      <c r="H63" s="36">
        <f t="shared" si="22"/>
        <v>654073.68</v>
      </c>
      <c r="I63" s="36">
        <f t="shared" si="22"/>
        <v>180448.27000000002</v>
      </c>
      <c r="J63" s="36">
        <f t="shared" si="22"/>
        <v>1006236.76</v>
      </c>
      <c r="K63" s="36">
        <f t="shared" si="22"/>
        <v>645313.88</v>
      </c>
      <c r="L63" s="36">
        <f t="shared" si="22"/>
        <v>1051389.72</v>
      </c>
      <c r="M63" s="36">
        <f t="shared" si="22"/>
        <v>333938.37</v>
      </c>
      <c r="N63" s="36">
        <f t="shared" si="22"/>
        <v>233516.99</v>
      </c>
      <c r="O63" s="29">
        <f>SUM(O64:O77)</f>
        <v>8487865.559999999</v>
      </c>
      <c r="Q63" s="79"/>
    </row>
    <row r="64" spans="1:16" ht="18.75" customHeight="1">
      <c r="A64" s="17" t="s">
        <v>69</v>
      </c>
      <c r="B64" s="36">
        <f>143977.45+567.13+10870.84</f>
        <v>155415.42</v>
      </c>
      <c r="C64" s="36">
        <f>151465.59+11104.12</f>
        <v>162569.71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29">
        <f>SUM(B64:N64)</f>
        <v>317985.13</v>
      </c>
      <c r="P64"/>
    </row>
    <row r="65" spans="1:16" ht="18.75" customHeight="1">
      <c r="A65" s="17" t="s">
        <v>70</v>
      </c>
      <c r="B65" s="36">
        <f>785661.68+3501.52+176700.8</f>
        <v>965864</v>
      </c>
      <c r="C65" s="36">
        <f>551972.38+2849.42+28313.57</f>
        <v>583135.37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 aca="true" t="shared" si="23" ref="O65:O76">SUM(B65:N65)</f>
        <v>1548999.37</v>
      </c>
      <c r="P65"/>
    </row>
    <row r="66" spans="1:17" ht="18.75" customHeight="1">
      <c r="A66" s="17" t="s">
        <v>71</v>
      </c>
      <c r="B66" s="35">
        <v>0</v>
      </c>
      <c r="C66" s="35">
        <v>0</v>
      </c>
      <c r="D66" s="26">
        <f>568445.7+10187.45+73394.79</f>
        <v>652027.94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6">
        <f t="shared" si="23"/>
        <v>652027.94</v>
      </c>
      <c r="Q66"/>
    </row>
    <row r="67" spans="1:18" ht="18.75" customHeight="1">
      <c r="A67" s="17" t="s">
        <v>72</v>
      </c>
      <c r="B67" s="35">
        <v>0</v>
      </c>
      <c r="C67" s="35">
        <v>0</v>
      </c>
      <c r="D67" s="35">
        <v>0</v>
      </c>
      <c r="E67" s="26">
        <f>121344.52+122870.47</f>
        <v>244214.99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9">
        <f t="shared" si="23"/>
        <v>244214.99</v>
      </c>
      <c r="R67"/>
    </row>
    <row r="68" spans="1:19" ht="18.75" customHeight="1">
      <c r="A68" s="17" t="s">
        <v>73</v>
      </c>
      <c r="B68" s="35">
        <v>0</v>
      </c>
      <c r="C68" s="35">
        <v>0</v>
      </c>
      <c r="D68" s="35">
        <v>0</v>
      </c>
      <c r="E68" s="35">
        <v>0</v>
      </c>
      <c r="F68" s="26">
        <f>608643.37+108863.96</f>
        <v>717507.33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6">
        <f t="shared" si="23"/>
        <v>717507.33</v>
      </c>
      <c r="S68"/>
    </row>
    <row r="69" spans="1:20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6">
        <f>828533.67+73679.46</f>
        <v>902213.13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9">
        <f t="shared" si="23"/>
        <v>902213.13</v>
      </c>
      <c r="T69"/>
    </row>
    <row r="70" spans="1:21" ht="18.75" customHeight="1">
      <c r="A70" s="17" t="s">
        <v>107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6">
        <f>611905.39+3503.36+38664.93</f>
        <v>654073.68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654073.68</v>
      </c>
      <c r="U70"/>
    </row>
    <row r="71" spans="1:21" ht="18.75" customHeight="1">
      <c r="A71" s="17" t="s">
        <v>75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6">
        <f>176727.04+3721.23</f>
        <v>180448.27000000002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180448.27000000002</v>
      </c>
      <c r="U71"/>
    </row>
    <row r="72" spans="1:22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>888578.74+4058.22+113599.8</f>
        <v>1006236.76</v>
      </c>
      <c r="K72" s="35">
        <v>0</v>
      </c>
      <c r="L72" s="35">
        <v>0</v>
      </c>
      <c r="M72" s="35">
        <v>0</v>
      </c>
      <c r="N72" s="35">
        <v>0</v>
      </c>
      <c r="O72" s="26">
        <f t="shared" si="23"/>
        <v>1006236.76</v>
      </c>
      <c r="V72"/>
    </row>
    <row r="73" spans="1:23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26">
        <f>625516.35+3507.35+16290.18</f>
        <v>645313.88</v>
      </c>
      <c r="L73" s="35">
        <v>0</v>
      </c>
      <c r="M73" s="35">
        <v>0</v>
      </c>
      <c r="N73" s="35">
        <v>0</v>
      </c>
      <c r="O73" s="29">
        <f t="shared" si="23"/>
        <v>645313.88</v>
      </c>
      <c r="W73"/>
    </row>
    <row r="74" spans="1:24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26">
        <f>174400.6+872930.9+4058.22</f>
        <v>1051389.72</v>
      </c>
      <c r="M74" s="35">
        <v>0</v>
      </c>
      <c r="N74" s="35">
        <v>0</v>
      </c>
      <c r="O74" s="26">
        <f t="shared" si="23"/>
        <v>1051389.72</v>
      </c>
      <c r="X74"/>
    </row>
    <row r="75" spans="1:25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26">
        <f>331603.29+2335.08</f>
        <v>333938.37</v>
      </c>
      <c r="N75" s="35">
        <v>0</v>
      </c>
      <c r="O75" s="29">
        <f t="shared" si="23"/>
        <v>333938.37</v>
      </c>
      <c r="Y75"/>
    </row>
    <row r="76" spans="1:26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26">
        <f>233516.99</f>
        <v>233516.99</v>
      </c>
      <c r="O76" s="26">
        <f t="shared" si="23"/>
        <v>233516.99</v>
      </c>
      <c r="P76"/>
      <c r="Z76"/>
    </row>
    <row r="77" spans="1:26" ht="18.75" customHeight="1">
      <c r="A77" s="34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/>
      <c r="Q77"/>
      <c r="R77"/>
      <c r="S77"/>
      <c r="T77"/>
      <c r="U77"/>
      <c r="V77"/>
      <c r="W77"/>
      <c r="X77"/>
      <c r="Y77"/>
      <c r="Z77"/>
    </row>
    <row r="78" spans="1:15" ht="17.2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1:15" ht="15" customHeight="1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9"/>
    </row>
    <row r="80" spans="1:15" ht="18.75" customHeight="1">
      <c r="A80" s="2" t="s">
        <v>104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29"/>
    </row>
    <row r="81" spans="1:16" ht="18.75" customHeight="1">
      <c r="A81" s="17" t="s">
        <v>81</v>
      </c>
      <c r="B81" s="44">
        <v>2.3290094548171942</v>
      </c>
      <c r="C81" s="44">
        <v>2.301660523731249</v>
      </c>
      <c r="D81" s="44">
        <v>0</v>
      </c>
      <c r="E81" s="44">
        <v>0</v>
      </c>
      <c r="F81" s="35">
        <v>0</v>
      </c>
      <c r="G81" s="35">
        <v>0</v>
      </c>
      <c r="H81" s="35">
        <v>0</v>
      </c>
      <c r="I81" s="44">
        <v>0</v>
      </c>
      <c r="J81" s="44">
        <v>0</v>
      </c>
      <c r="K81" s="44">
        <v>0</v>
      </c>
      <c r="L81" s="35">
        <v>0</v>
      </c>
      <c r="M81" s="44">
        <v>0</v>
      </c>
      <c r="N81" s="44">
        <v>0</v>
      </c>
      <c r="O81" s="29"/>
      <c r="P81"/>
    </row>
    <row r="82" spans="1:16" ht="18.75" customHeight="1">
      <c r="A82" s="17" t="s">
        <v>82</v>
      </c>
      <c r="B82" s="44">
        <v>2.038532265883286</v>
      </c>
      <c r="C82" s="44">
        <v>1.923755610070835</v>
      </c>
      <c r="D82" s="44">
        <v>0</v>
      </c>
      <c r="E82" s="44">
        <v>0</v>
      </c>
      <c r="F82" s="35">
        <v>0</v>
      </c>
      <c r="G82" s="35">
        <v>0</v>
      </c>
      <c r="H82" s="35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7" ht="18.75" customHeight="1">
      <c r="A83" s="17" t="s">
        <v>83</v>
      </c>
      <c r="B83" s="44">
        <v>0</v>
      </c>
      <c r="C83" s="44">
        <v>0</v>
      </c>
      <c r="D83" s="22">
        <f>(D$37+D$38+D$39)/D$7</f>
        <v>1.8681670484506259</v>
      </c>
      <c r="E83" s="44">
        <v>0</v>
      </c>
      <c r="F83" s="35">
        <v>0</v>
      </c>
      <c r="G83" s="35">
        <v>0</v>
      </c>
      <c r="H83" s="35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6"/>
      <c r="Q83"/>
    </row>
    <row r="84" spans="1:18" ht="18.75" customHeight="1">
      <c r="A84" s="17" t="s">
        <v>84</v>
      </c>
      <c r="B84" s="44">
        <v>0</v>
      </c>
      <c r="C84" s="44">
        <v>0</v>
      </c>
      <c r="D84" s="44">
        <v>0</v>
      </c>
      <c r="E84" s="22">
        <f>(E$37+E$38+E$39)/E$7</f>
        <v>2.5990553981044284</v>
      </c>
      <c r="F84" s="35">
        <v>0</v>
      </c>
      <c r="G84" s="35">
        <v>0</v>
      </c>
      <c r="H84" s="35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9"/>
      <c r="R84"/>
    </row>
    <row r="85" spans="1:19" ht="18.75" customHeight="1">
      <c r="A85" s="17" t="s">
        <v>85</v>
      </c>
      <c r="B85" s="44">
        <v>0</v>
      </c>
      <c r="C85" s="44">
        <v>0</v>
      </c>
      <c r="D85" s="44">
        <v>0</v>
      </c>
      <c r="E85" s="44">
        <v>0</v>
      </c>
      <c r="F85" s="44">
        <f>(F$37+F$38+F$39)/F$7</f>
        <v>2.1813515726515864</v>
      </c>
      <c r="G85" s="35">
        <v>0</v>
      </c>
      <c r="H85" s="35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6"/>
      <c r="S85"/>
    </row>
    <row r="86" spans="1:20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44">
        <f>(G$37+G$38+G$39)/G$7</f>
        <v>1.7297415477140683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9"/>
      <c r="T86"/>
    </row>
    <row r="87" spans="1:21" ht="18.75" customHeight="1">
      <c r="A87" s="17" t="s">
        <v>108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f>(H$37+H$38+H$39)/H$7</f>
        <v>2.0343985263678372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U87"/>
    </row>
    <row r="88" spans="1:21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35">
        <v>0</v>
      </c>
      <c r="I88" s="44">
        <f>(I$37+I$38+I$39)/I$7</f>
        <v>1.9914786329244163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2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35">
        <v>0</v>
      </c>
      <c r="I89" s="44">
        <v>0</v>
      </c>
      <c r="J89" s="44">
        <f>(J$37+J$38+J$39)/J$7</f>
        <v>1.976281186559152</v>
      </c>
      <c r="K89" s="44">
        <v>0</v>
      </c>
      <c r="L89" s="35">
        <v>0</v>
      </c>
      <c r="M89" s="44">
        <v>0</v>
      </c>
      <c r="N89" s="44">
        <v>0</v>
      </c>
      <c r="O89" s="26"/>
      <c r="V89"/>
    </row>
    <row r="90" spans="1:23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35">
        <v>0</v>
      </c>
      <c r="I90" s="44">
        <v>0</v>
      </c>
      <c r="J90" s="44">
        <v>0</v>
      </c>
      <c r="K90" s="44">
        <f>(K$37+K$38+K$39)/K$7</f>
        <v>2.226066029693297</v>
      </c>
      <c r="L90" s="35">
        <v>0</v>
      </c>
      <c r="M90" s="44">
        <v>0</v>
      </c>
      <c r="N90" s="44">
        <v>0</v>
      </c>
      <c r="O90" s="29"/>
      <c r="W90"/>
    </row>
    <row r="91" spans="1:24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35">
        <v>0</v>
      </c>
      <c r="I91" s="44">
        <v>0</v>
      </c>
      <c r="J91" s="44">
        <v>0</v>
      </c>
      <c r="K91" s="44">
        <v>0</v>
      </c>
      <c r="L91" s="22">
        <f>(L$37+L$38+L$39)/L$7</f>
        <v>2.1282677965236982</v>
      </c>
      <c r="M91" s="44">
        <v>0</v>
      </c>
      <c r="N91" s="44">
        <v>0</v>
      </c>
      <c r="O91" s="26"/>
      <c r="X91"/>
    </row>
    <row r="92" spans="1:25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35">
        <v>0</v>
      </c>
      <c r="I92" s="44">
        <v>0</v>
      </c>
      <c r="J92" s="44">
        <v>0</v>
      </c>
      <c r="K92" s="44">
        <v>0</v>
      </c>
      <c r="L92" s="44">
        <v>0</v>
      </c>
      <c r="M92" s="44">
        <f>(M$37+M$38+M$39)/M$7</f>
        <v>2.526939665294117</v>
      </c>
      <c r="N92" s="44">
        <v>0</v>
      </c>
      <c r="O92" s="61"/>
      <c r="Y92"/>
    </row>
    <row r="93" spans="1:26" ht="18.75" customHeight="1">
      <c r="A93" s="34" t="s">
        <v>92</v>
      </c>
      <c r="B93" s="45">
        <v>0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9">
        <f>(N$37+N$38+N$39)/N$7</f>
        <v>2.475209746174391</v>
      </c>
      <c r="O93" s="50"/>
      <c r="P93"/>
      <c r="Z93"/>
    </row>
    <row r="94" spans="1:26" ht="18.75" customHeight="1">
      <c r="A94" s="78" t="s">
        <v>105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6"/>
      <c r="O94" s="77"/>
      <c r="P94"/>
      <c r="Z94"/>
    </row>
    <row r="95" spans="1:13" ht="78" customHeight="1">
      <c r="A95" s="74" t="s">
        <v>106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8" ht="14.25">
      <c r="B98" s="40"/>
    </row>
    <row r="99" ht="14.25">
      <c r="I99" s="41"/>
    </row>
    <row r="101" spans="9:12" ht="14.25">
      <c r="I101" s="42"/>
      <c r="J101" s="43"/>
      <c r="K101" s="43"/>
      <c r="L101" s="43"/>
    </row>
  </sheetData>
  <sheetProtection/>
  <mergeCells count="7">
    <mergeCell ref="A95:M95"/>
    <mergeCell ref="A78:O78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2017-10-04T13:45:23Z</dcterms:modified>
  <cp:category/>
  <cp:version/>
  <cp:contentType/>
  <cp:contentStatus/>
</cp:coreProperties>
</file>