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<sst xmlns="http://schemas.openxmlformats.org/spreadsheetml/2006/main" count="111" uniqueCount="109">
  <si>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</si>
  <si>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</si>
  <si>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</si>
  <si>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</si>
  <si>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</si>
  <si>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</si>
  <si>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</si>
  <si>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</si>
  <si>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</si>
  <si>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</si>
  <si>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</si>
  <si>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</si>
  <si>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</si>
  <si>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</si>
  <si>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</si>
  <si>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</si>
  <si>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</si>
  <si>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</si>
  <si>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</si>
  <si>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</si>
  <si>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</si>
  <si>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</si>
  <si>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</si>
  <si>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</si>
  <si>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</si>
  <si>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</si>
  <si>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</si>
  <si>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</si>
  <si>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</si>
  <si>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</si>
  <si>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</si>
  <si>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</si>
  <si>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</si>
  <si>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</si>
  <si>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</si>
  <si>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</si>
  <si>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</si>
  <si>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</si>
  <si>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</si>
  <si>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</si>
  <si>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</si>
  <si>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</si>
  <si>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</si>
  <si>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</si>
  <si>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</si>
  <si>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</si>
  <si>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</si>
  <si>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</si>
  <si>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</si>
  <si>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</si>
  <si>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</si>
  <si>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</si>
  <si>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</si>
  <si>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</si>
  <si>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</si>
  <si>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</si>
  <si>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</si>
  <si>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</si>
  <si>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</si>
  <si>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</si>
  <si>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</si>
  <si>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</si>
  <si>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</si>
  <si>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</si>
  <si>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</si>
  <si>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</si>
  <si>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</si>
  <si>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</si>
  <si>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</si>
  <si>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</si>
  <si>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</si>
  <si>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</si>
  <si>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</si>
  <si>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</si>
  <si>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</si>
  <si>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</si>
  <si>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</si>
  <si>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</si>
  <si>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</si>
  <si>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</si>
  <si>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</si>
  <si>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</si>
  <si>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</si>
  <si>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</si>
  <si>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</si>
  <si>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</si>
  <si>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</si>
  <si>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</si>
  <si>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</si>
  <si>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</si>
  <si>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</si>
  <si>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</si>
  <si>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</si>
  <si>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22/09/17 - VENCIMENTO 29/09/17</t>
  </si>
  <si>
    <t>Movebuss Soluções em Mobilidde Urbana Ltda</t>
  </si>
  <si>
    <t>Imperial Transportes Urbanos Ltda</t>
  </si>
  <si>
    <t>Área 3.1</t>
  </si>
  <si>
    <t>Área 4.0</t>
  </si>
  <si>
    <t>Área 4.1</t>
  </si>
  <si>
    <t>Átea 5.1</t>
  </si>
  <si>
    <t>5.2.8. Ajuste de Remuneração Previsto Contratualmente (1)</t>
  </si>
  <si>
    <t>5.2.9. Ajuste de Remuneração Previsto Contratualmente  Ar-condicionado (-) (2)</t>
  </si>
  <si>
    <t>5.2.9. Ajuste de Remuneração Previsto Contratualmente  Ar-condicionado  (+) (2)</t>
  </si>
  <si>
    <t>5.2.10. Revisão do Ajuste de Remuneração Previsto Contratualmente (3)</t>
  </si>
  <si>
    <t>5.3. Revisão de Remuneração pelo Transporte Coletivo (4)</t>
  </si>
  <si>
    <t>8. Tarifa de Remuneração por Passageiro (5)</t>
  </si>
  <si>
    <t>7.7. Movebuss</t>
  </si>
  <si>
    <t>8.7. Movebuss</t>
  </si>
  <si>
    <t>(1) Ajuste de remuneração previsto contratualmente, período de 25/07 a 24/08/17, parcela 16/16.
(2) Revisão remuneração ar-condicionado, previsto contratualmente, períodos de 25/07 a 24/08/17.
(3) Revisão do ajuste de remuneração, previsto contratualmente, período de 25/07 a 24/08/17.
(4) Revisão de passageiros período de 01/08 a 12/09/17, total de 510.342 passageiros; e remuneração das linhas noturnas (rede da madrugada), mês de agosto/17.
(5)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</si>
</sst>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43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171" fontId="46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24136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24136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67950" y="24136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U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7.1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125" style="1" customWidth="1"/>
    <col min="9" max="9" width="17.00390625" style="1" customWidth="1"/>
    <col min="10" max="10" width="17.753906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5.12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93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94</v>
      </c>
      <c r="I5" s="4" t="s">
        <v>95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96</v>
      </c>
      <c r="F6" s="3" t="s">
        <v>97</v>
      </c>
      <c r="G6" s="3" t="s">
        <v>98</v>
      </c>
      <c r="H6" s="3" t="s">
        <v>29</v>
      </c>
      <c r="I6" s="3" t="s">
        <v>99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1" ht="18.75" customHeight="1">
      <c r="A7" s="9" t="s">
        <v>3</v>
      </c>
      <c r="B7" s="10">
        <f>B8+B20+B24</f>
        <v>514845</v>
      </c>
      <c r="C7" s="10">
        <f>C8+C20+C24</f>
        <v>383225</v>
      </c>
      <c r="D7" s="10">
        <f>D8+D20+D24</f>
        <v>395076</v>
      </c>
      <c r="E7" s="10">
        <f>E8+E20+E24</f>
        <v>55561</v>
      </c>
      <c r="F7" s="10">
        <f aca="true" t="shared" si="0" ref="F7:N7">F8+F20+F24</f>
        <v>343326</v>
      </c>
      <c r="G7" s="10">
        <f t="shared" si="0"/>
        <v>543845</v>
      </c>
      <c r="H7" s="10">
        <f>H8+H20+H24</f>
        <v>377540</v>
      </c>
      <c r="I7" s="10">
        <f>I8+I20+I24</f>
        <v>109227</v>
      </c>
      <c r="J7" s="10">
        <f>J8+J20+J24</f>
        <v>433312</v>
      </c>
      <c r="K7" s="10">
        <f>K8+K20+K24</f>
        <v>307900</v>
      </c>
      <c r="L7" s="10">
        <f>L8+L20+L24</f>
        <v>390584</v>
      </c>
      <c r="M7" s="10">
        <f t="shared" si="0"/>
        <v>153676</v>
      </c>
      <c r="N7" s="10">
        <f t="shared" si="0"/>
        <v>94363</v>
      </c>
      <c r="O7" s="10">
        <f>+O8+O20+O24</f>
        <v>4102480</v>
      </c>
      <c r="P7"/>
      <c r="Q7"/>
      <c r="R7"/>
      <c r="S7"/>
      <c r="T7"/>
      <c r="U7"/>
    </row>
    <row r="8" spans="1:21" ht="18.75" customHeight="1">
      <c r="A8" s="11" t="s">
        <v>20</v>
      </c>
      <c r="B8" s="12">
        <f>+B9+B12+B16</f>
        <v>214008</v>
      </c>
      <c r="C8" s="12">
        <f>+C9+C12+C16</f>
        <v>172206</v>
      </c>
      <c r="D8" s="12">
        <f>+D9+D12+D16</f>
        <v>190567</v>
      </c>
      <c r="E8" s="12">
        <f>+E9+E12+E16</f>
        <v>24269</v>
      </c>
      <c r="F8" s="12">
        <f aca="true" t="shared" si="1" ref="F8:N8">+F9+F12+F16</f>
        <v>151854</v>
      </c>
      <c r="G8" s="12">
        <f t="shared" si="1"/>
        <v>248223</v>
      </c>
      <c r="H8" s="12">
        <f>+H9+H12+H16</f>
        <v>165883</v>
      </c>
      <c r="I8" s="12">
        <f>+I9+I12+I16</f>
        <v>50793</v>
      </c>
      <c r="J8" s="12">
        <f>+J9+J12+J16</f>
        <v>197947</v>
      </c>
      <c r="K8" s="12">
        <f>+K9+K12+K16</f>
        <v>141339</v>
      </c>
      <c r="L8" s="12">
        <f>+L9+L12+L16</f>
        <v>168212</v>
      </c>
      <c r="M8" s="12">
        <f t="shared" si="1"/>
        <v>76162</v>
      </c>
      <c r="N8" s="12">
        <f t="shared" si="1"/>
        <v>48124</v>
      </c>
      <c r="O8" s="12">
        <f>SUM(B8:N8)</f>
        <v>1849587</v>
      </c>
      <c r="P8"/>
      <c r="Q8"/>
      <c r="R8"/>
      <c r="S8"/>
      <c r="T8"/>
      <c r="U8"/>
    </row>
    <row r="9" spans="1:21" ht="18.75" customHeight="1">
      <c r="A9" s="13" t="s">
        <v>4</v>
      </c>
      <c r="B9" s="14">
        <v>20248</v>
      </c>
      <c r="C9" s="14">
        <v>20490</v>
      </c>
      <c r="D9" s="14">
        <v>14937</v>
      </c>
      <c r="E9" s="14">
        <v>1508</v>
      </c>
      <c r="F9" s="14">
        <v>12219</v>
      </c>
      <c r="G9" s="14">
        <v>23246</v>
      </c>
      <c r="H9" s="14">
        <v>20457</v>
      </c>
      <c r="I9" s="14">
        <v>6423</v>
      </c>
      <c r="J9" s="14">
        <v>12194</v>
      </c>
      <c r="K9" s="14">
        <v>16077</v>
      </c>
      <c r="L9" s="14">
        <v>12764</v>
      </c>
      <c r="M9" s="14">
        <f>8532+41</f>
        <v>8573</v>
      </c>
      <c r="N9" s="14">
        <v>5556</v>
      </c>
      <c r="O9" s="12">
        <f aca="true" t="shared" si="2" ref="O9:O19">SUM(B9:N9)</f>
        <v>174692</v>
      </c>
      <c r="P9"/>
      <c r="Q9"/>
      <c r="R9"/>
      <c r="S9"/>
      <c r="T9"/>
      <c r="U9"/>
    </row>
    <row r="10" spans="1:21" ht="18.75" customHeight="1">
      <c r="A10" s="15" t="s">
        <v>5</v>
      </c>
      <c r="B10" s="14">
        <f>+B9-B11</f>
        <v>20248</v>
      </c>
      <c r="C10" s="14">
        <f>+C9-C11</f>
        <v>20490</v>
      </c>
      <c r="D10" s="14">
        <f>+D9-D11</f>
        <v>14937</v>
      </c>
      <c r="E10" s="14">
        <f>+E9-E11</f>
        <v>1508</v>
      </c>
      <c r="F10" s="14">
        <f aca="true" t="shared" si="3" ref="F10:N10">+F9-F11</f>
        <v>12219</v>
      </c>
      <c r="G10" s="14">
        <f t="shared" si="3"/>
        <v>23246</v>
      </c>
      <c r="H10" s="14">
        <f>+H9-H11</f>
        <v>20457</v>
      </c>
      <c r="I10" s="14">
        <f>+I9-I11</f>
        <v>6423</v>
      </c>
      <c r="J10" s="14">
        <f>+J9-J11</f>
        <v>12194</v>
      </c>
      <c r="K10" s="14">
        <f>+K9-K11</f>
        <v>16077</v>
      </c>
      <c r="L10" s="14">
        <f>+L9-L11</f>
        <v>12764</v>
      </c>
      <c r="M10" s="14">
        <f t="shared" si="3"/>
        <v>8573</v>
      </c>
      <c r="N10" s="14">
        <f t="shared" si="3"/>
        <v>5556</v>
      </c>
      <c r="O10" s="12">
        <f t="shared" si="2"/>
        <v>174692</v>
      </c>
      <c r="P10"/>
      <c r="Q10"/>
      <c r="R10"/>
      <c r="S10"/>
      <c r="T10"/>
      <c r="U10"/>
    </row>
    <row r="11" spans="1:21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</row>
    <row r="12" spans="1:21" ht="18.75" customHeight="1">
      <c r="A12" s="16" t="s">
        <v>15</v>
      </c>
      <c r="B12" s="14">
        <f>B13+B14+B15</f>
        <v>182152</v>
      </c>
      <c r="C12" s="14">
        <f>C13+C14+C15</f>
        <v>142818</v>
      </c>
      <c r="D12" s="14">
        <f>D13+D14+D15</f>
        <v>166471</v>
      </c>
      <c r="E12" s="14">
        <f>E13+E14+E15</f>
        <v>21537</v>
      </c>
      <c r="F12" s="14">
        <f aca="true" t="shared" si="4" ref="F12:N12">F13+F14+F15</f>
        <v>131622</v>
      </c>
      <c r="G12" s="14">
        <f t="shared" si="4"/>
        <v>210855</v>
      </c>
      <c r="H12" s="14">
        <f>H13+H14+H15</f>
        <v>136900</v>
      </c>
      <c r="I12" s="14">
        <f>I13+I14+I15</f>
        <v>41676</v>
      </c>
      <c r="J12" s="14">
        <f>J13+J14+J15</f>
        <v>174192</v>
      </c>
      <c r="K12" s="14">
        <f>K13+K14+K15</f>
        <v>117926</v>
      </c>
      <c r="L12" s="14">
        <f>L13+L14+L15</f>
        <v>144898</v>
      </c>
      <c r="M12" s="14">
        <f t="shared" si="4"/>
        <v>63897</v>
      </c>
      <c r="N12" s="14">
        <f t="shared" si="4"/>
        <v>40511</v>
      </c>
      <c r="O12" s="12">
        <f t="shared" si="2"/>
        <v>1575455</v>
      </c>
      <c r="P12"/>
      <c r="Q12"/>
      <c r="R12"/>
      <c r="S12"/>
      <c r="T12"/>
      <c r="U12"/>
    </row>
    <row r="13" spans="1:21" ht="18.75" customHeight="1">
      <c r="A13" s="15" t="s">
        <v>7</v>
      </c>
      <c r="B13" s="14">
        <v>89942</v>
      </c>
      <c r="C13" s="14">
        <v>71740</v>
      </c>
      <c r="D13" s="14">
        <v>80559</v>
      </c>
      <c r="E13" s="14">
        <v>10784</v>
      </c>
      <c r="F13" s="14">
        <v>62872</v>
      </c>
      <c r="G13" s="14">
        <v>102783</v>
      </c>
      <c r="H13" s="14">
        <v>70474</v>
      </c>
      <c r="I13" s="14">
        <v>21598</v>
      </c>
      <c r="J13" s="14">
        <v>88364</v>
      </c>
      <c r="K13" s="14">
        <v>58081</v>
      </c>
      <c r="L13" s="14">
        <v>70784</v>
      </c>
      <c r="M13" s="14">
        <v>30567</v>
      </c>
      <c r="N13" s="14">
        <v>18913</v>
      </c>
      <c r="O13" s="12">
        <f t="shared" si="2"/>
        <v>777461</v>
      </c>
      <c r="P13"/>
      <c r="Q13"/>
      <c r="R13"/>
      <c r="S13"/>
      <c r="T13"/>
      <c r="U13"/>
    </row>
    <row r="14" spans="1:21" ht="18.75" customHeight="1">
      <c r="A14" s="15" t="s">
        <v>8</v>
      </c>
      <c r="B14" s="14">
        <v>87104</v>
      </c>
      <c r="C14" s="14">
        <v>64746</v>
      </c>
      <c r="D14" s="14">
        <v>82569</v>
      </c>
      <c r="E14" s="14">
        <v>9999</v>
      </c>
      <c r="F14" s="14">
        <v>64287</v>
      </c>
      <c r="G14" s="14">
        <v>98924</v>
      </c>
      <c r="H14" s="14">
        <v>61801</v>
      </c>
      <c r="I14" s="14">
        <v>18674</v>
      </c>
      <c r="J14" s="14">
        <v>82481</v>
      </c>
      <c r="K14" s="14">
        <v>56233</v>
      </c>
      <c r="L14" s="14">
        <v>70443</v>
      </c>
      <c r="M14" s="14">
        <v>31198</v>
      </c>
      <c r="N14" s="14">
        <v>20488</v>
      </c>
      <c r="O14" s="12">
        <f t="shared" si="2"/>
        <v>748947</v>
      </c>
      <c r="P14"/>
      <c r="Q14"/>
      <c r="R14"/>
      <c r="S14"/>
      <c r="T14"/>
      <c r="U14"/>
    </row>
    <row r="15" spans="1:21" ht="18.75" customHeight="1">
      <c r="A15" s="15" t="s">
        <v>9</v>
      </c>
      <c r="B15" s="14">
        <v>5106</v>
      </c>
      <c r="C15" s="14">
        <v>6332</v>
      </c>
      <c r="D15" s="14">
        <v>3343</v>
      </c>
      <c r="E15" s="14">
        <v>754</v>
      </c>
      <c r="F15" s="14">
        <v>4463</v>
      </c>
      <c r="G15" s="14">
        <v>9148</v>
      </c>
      <c r="H15" s="14">
        <v>4625</v>
      </c>
      <c r="I15" s="14">
        <v>1404</v>
      </c>
      <c r="J15" s="14">
        <v>3347</v>
      </c>
      <c r="K15" s="14">
        <v>3612</v>
      </c>
      <c r="L15" s="14">
        <v>3671</v>
      </c>
      <c r="M15" s="14">
        <v>2132</v>
      </c>
      <c r="N15" s="14">
        <v>1110</v>
      </c>
      <c r="O15" s="12">
        <f t="shared" si="2"/>
        <v>49047</v>
      </c>
      <c r="P15"/>
      <c r="Q15"/>
      <c r="R15"/>
      <c r="S15"/>
      <c r="T15"/>
      <c r="U15"/>
    </row>
    <row r="16" spans="1:15" ht="18.75" customHeight="1">
      <c r="A16" s="16" t="s">
        <v>19</v>
      </c>
      <c r="B16" s="14">
        <f>B17+B18+B19</f>
        <v>11608</v>
      </c>
      <c r="C16" s="14">
        <f>C17+C18+C19</f>
        <v>8898</v>
      </c>
      <c r="D16" s="14">
        <f>D17+D18+D19</f>
        <v>9159</v>
      </c>
      <c r="E16" s="14">
        <f>E17+E18+E19</f>
        <v>1224</v>
      </c>
      <c r="F16" s="14">
        <f aca="true" t="shared" si="5" ref="F16:N16">F17+F18+F19</f>
        <v>8013</v>
      </c>
      <c r="G16" s="14">
        <f t="shared" si="5"/>
        <v>14122</v>
      </c>
      <c r="H16" s="14">
        <f>H17+H18+H19</f>
        <v>8526</v>
      </c>
      <c r="I16" s="14">
        <f>I17+I18+I19</f>
        <v>2694</v>
      </c>
      <c r="J16" s="14">
        <f>J17+J18+J19</f>
        <v>11561</v>
      </c>
      <c r="K16" s="14">
        <f>K17+K18+K19</f>
        <v>7336</v>
      </c>
      <c r="L16" s="14">
        <f>L17+L18+L19</f>
        <v>10550</v>
      </c>
      <c r="M16" s="14">
        <f t="shared" si="5"/>
        <v>3692</v>
      </c>
      <c r="N16" s="14">
        <f t="shared" si="5"/>
        <v>2057</v>
      </c>
      <c r="O16" s="12">
        <f t="shared" si="2"/>
        <v>99440</v>
      </c>
    </row>
    <row r="17" spans="1:21" ht="18.75" customHeight="1">
      <c r="A17" s="15" t="s">
        <v>16</v>
      </c>
      <c r="B17" s="14">
        <v>11525</v>
      </c>
      <c r="C17" s="14">
        <v>8826</v>
      </c>
      <c r="D17" s="14">
        <v>9092</v>
      </c>
      <c r="E17" s="14">
        <v>1210</v>
      </c>
      <c r="F17" s="14">
        <v>7963</v>
      </c>
      <c r="G17" s="14">
        <v>14058</v>
      </c>
      <c r="H17" s="14">
        <v>8461</v>
      </c>
      <c r="I17" s="14">
        <v>2670</v>
      </c>
      <c r="J17" s="14">
        <v>11499</v>
      </c>
      <c r="K17" s="14">
        <v>7273</v>
      </c>
      <c r="L17" s="14">
        <v>10456</v>
      </c>
      <c r="M17" s="14">
        <f>1844+1815</f>
        <v>3659</v>
      </c>
      <c r="N17" s="14">
        <v>2031</v>
      </c>
      <c r="O17" s="12">
        <f t="shared" si="2"/>
        <v>98723</v>
      </c>
      <c r="P17"/>
      <c r="Q17"/>
      <c r="R17"/>
      <c r="S17"/>
      <c r="T17"/>
      <c r="U17"/>
    </row>
    <row r="18" spans="1:21" ht="18.75" customHeight="1">
      <c r="A18" s="15" t="s">
        <v>17</v>
      </c>
      <c r="B18" s="14">
        <v>73</v>
      </c>
      <c r="C18" s="14">
        <v>54</v>
      </c>
      <c r="D18" s="14">
        <v>64</v>
      </c>
      <c r="E18" s="14">
        <v>11</v>
      </c>
      <c r="F18" s="14">
        <v>43</v>
      </c>
      <c r="G18" s="14">
        <v>59</v>
      </c>
      <c r="H18" s="14">
        <v>63</v>
      </c>
      <c r="I18" s="14">
        <v>22</v>
      </c>
      <c r="J18" s="14">
        <v>54</v>
      </c>
      <c r="K18" s="14">
        <v>56</v>
      </c>
      <c r="L18" s="14">
        <v>93</v>
      </c>
      <c r="M18" s="14">
        <f>17+9</f>
        <v>26</v>
      </c>
      <c r="N18" s="14">
        <v>26</v>
      </c>
      <c r="O18" s="12">
        <f t="shared" si="2"/>
        <v>644</v>
      </c>
      <c r="P18"/>
      <c r="Q18"/>
      <c r="R18"/>
      <c r="S18"/>
      <c r="T18"/>
      <c r="U18"/>
    </row>
    <row r="19" spans="1:21" ht="18.75" customHeight="1">
      <c r="A19" s="15" t="s">
        <v>18</v>
      </c>
      <c r="B19" s="14">
        <v>10</v>
      </c>
      <c r="C19" s="14">
        <v>18</v>
      </c>
      <c r="D19" s="14">
        <v>3</v>
      </c>
      <c r="E19" s="14">
        <v>3</v>
      </c>
      <c r="F19" s="14">
        <v>7</v>
      </c>
      <c r="G19" s="14">
        <v>5</v>
      </c>
      <c r="H19" s="14">
        <v>2</v>
      </c>
      <c r="I19" s="14">
        <v>2</v>
      </c>
      <c r="J19" s="14">
        <v>8</v>
      </c>
      <c r="K19" s="14">
        <v>7</v>
      </c>
      <c r="L19" s="14">
        <v>1</v>
      </c>
      <c r="M19" s="14">
        <f>4+3</f>
        <v>7</v>
      </c>
      <c r="N19" s="14">
        <v>0</v>
      </c>
      <c r="O19" s="12">
        <f t="shared" si="2"/>
        <v>73</v>
      </c>
      <c r="P19"/>
      <c r="Q19"/>
      <c r="R19"/>
      <c r="S19"/>
      <c r="T19"/>
      <c r="U19"/>
    </row>
    <row r="20" spans="1:21" ht="18.75" customHeight="1">
      <c r="A20" s="17" t="s">
        <v>10</v>
      </c>
      <c r="B20" s="18">
        <f>B21+B22+B23</f>
        <v>132307</v>
      </c>
      <c r="C20" s="18">
        <f>C21+C22+C23</f>
        <v>84943</v>
      </c>
      <c r="D20" s="18">
        <f>D21+D22+D23</f>
        <v>80263</v>
      </c>
      <c r="E20" s="18">
        <f>E21+E22+E23</f>
        <v>11530</v>
      </c>
      <c r="F20" s="18">
        <f aca="true" t="shared" si="6" ref="F20:N20">F21+F22+F23</f>
        <v>70424</v>
      </c>
      <c r="G20" s="18">
        <f t="shared" si="6"/>
        <v>113309</v>
      </c>
      <c r="H20" s="18">
        <f>H21+H22+H23</f>
        <v>90964</v>
      </c>
      <c r="I20" s="18">
        <f>I21+I22+I23</f>
        <v>25637</v>
      </c>
      <c r="J20" s="18">
        <f>J21+J22+J23</f>
        <v>109091</v>
      </c>
      <c r="K20" s="18">
        <f>K21+K22+K23</f>
        <v>71589</v>
      </c>
      <c r="L20" s="18">
        <f>L21+L22+L23</f>
        <v>114763</v>
      </c>
      <c r="M20" s="18">
        <f t="shared" si="6"/>
        <v>41947</v>
      </c>
      <c r="N20" s="18">
        <f t="shared" si="6"/>
        <v>24703</v>
      </c>
      <c r="O20" s="12">
        <f aca="true" t="shared" si="7" ref="O20:O26">SUM(B20:N20)</f>
        <v>971470</v>
      </c>
      <c r="P20"/>
      <c r="Q20"/>
      <c r="R20"/>
      <c r="S20"/>
      <c r="T20"/>
      <c r="U20"/>
    </row>
    <row r="21" spans="1:21" ht="18.75" customHeight="1">
      <c r="A21" s="13" t="s">
        <v>11</v>
      </c>
      <c r="B21" s="14">
        <v>71163</v>
      </c>
      <c r="C21" s="14">
        <v>48654</v>
      </c>
      <c r="D21" s="14">
        <v>44700</v>
      </c>
      <c r="E21" s="14">
        <v>6572</v>
      </c>
      <c r="F21" s="14">
        <v>38354</v>
      </c>
      <c r="G21" s="14">
        <v>63117</v>
      </c>
      <c r="H21" s="14">
        <v>52404</v>
      </c>
      <c r="I21" s="14">
        <v>14965</v>
      </c>
      <c r="J21" s="14">
        <v>61973</v>
      </c>
      <c r="K21" s="14">
        <v>39758</v>
      </c>
      <c r="L21" s="14">
        <v>61535</v>
      </c>
      <c r="M21" s="14">
        <v>22522</v>
      </c>
      <c r="N21" s="14">
        <v>12833</v>
      </c>
      <c r="O21" s="12">
        <f t="shared" si="7"/>
        <v>538550</v>
      </c>
      <c r="P21"/>
      <c r="Q21"/>
      <c r="R21"/>
      <c r="S21"/>
      <c r="T21"/>
      <c r="U21"/>
    </row>
    <row r="22" spans="1:21" ht="18.75" customHeight="1">
      <c r="A22" s="13" t="s">
        <v>12</v>
      </c>
      <c r="B22" s="14">
        <v>58544</v>
      </c>
      <c r="C22" s="14">
        <v>33996</v>
      </c>
      <c r="D22" s="14">
        <v>34288</v>
      </c>
      <c r="E22" s="14">
        <v>4684</v>
      </c>
      <c r="F22" s="14">
        <v>30383</v>
      </c>
      <c r="G22" s="14">
        <v>46918</v>
      </c>
      <c r="H22" s="14">
        <v>36777</v>
      </c>
      <c r="I22" s="14">
        <v>10168</v>
      </c>
      <c r="J22" s="14">
        <v>45373</v>
      </c>
      <c r="K22" s="14">
        <v>30393</v>
      </c>
      <c r="L22" s="14">
        <v>51260</v>
      </c>
      <c r="M22" s="14">
        <v>18552</v>
      </c>
      <c r="N22" s="14">
        <v>11403</v>
      </c>
      <c r="O22" s="12">
        <f t="shared" si="7"/>
        <v>412739</v>
      </c>
      <c r="P22"/>
      <c r="Q22"/>
      <c r="R22"/>
      <c r="S22"/>
      <c r="T22"/>
      <c r="U22"/>
    </row>
    <row r="23" spans="1:21" ht="18.75" customHeight="1">
      <c r="A23" s="13" t="s">
        <v>13</v>
      </c>
      <c r="B23" s="14">
        <v>2600</v>
      </c>
      <c r="C23" s="14">
        <v>2293</v>
      </c>
      <c r="D23" s="14">
        <v>1275</v>
      </c>
      <c r="E23" s="14">
        <v>274</v>
      </c>
      <c r="F23" s="14">
        <v>1687</v>
      </c>
      <c r="G23" s="14">
        <v>3274</v>
      </c>
      <c r="H23" s="14">
        <v>1783</v>
      </c>
      <c r="I23" s="14">
        <v>504</v>
      </c>
      <c r="J23" s="14">
        <v>1745</v>
      </c>
      <c r="K23" s="14">
        <v>1438</v>
      </c>
      <c r="L23" s="14">
        <v>1968</v>
      </c>
      <c r="M23" s="14">
        <v>873</v>
      </c>
      <c r="N23" s="14">
        <v>467</v>
      </c>
      <c r="O23" s="12">
        <f t="shared" si="7"/>
        <v>20181</v>
      </c>
      <c r="P23"/>
      <c r="Q23"/>
      <c r="R23"/>
      <c r="S23"/>
      <c r="T23"/>
      <c r="U23"/>
    </row>
    <row r="24" spans="1:21" ht="18.75" customHeight="1">
      <c r="A24" s="17" t="s">
        <v>14</v>
      </c>
      <c r="B24" s="14">
        <f>B25+B26</f>
        <v>168530</v>
      </c>
      <c r="C24" s="14">
        <f>C25+C26</f>
        <v>126076</v>
      </c>
      <c r="D24" s="14">
        <f>D25+D26</f>
        <v>124246</v>
      </c>
      <c r="E24" s="14">
        <f>E25+E26</f>
        <v>19762</v>
      </c>
      <c r="F24" s="14">
        <f aca="true" t="shared" si="8" ref="F24:N24">F25+F26</f>
        <v>121048</v>
      </c>
      <c r="G24" s="14">
        <f t="shared" si="8"/>
        <v>182313</v>
      </c>
      <c r="H24" s="14">
        <f>H25+H26</f>
        <v>120693</v>
      </c>
      <c r="I24" s="14">
        <f>I25+I26</f>
        <v>32797</v>
      </c>
      <c r="J24" s="14">
        <f>J25+J26</f>
        <v>126274</v>
      </c>
      <c r="K24" s="14">
        <f>K25+K26</f>
        <v>94972</v>
      </c>
      <c r="L24" s="14">
        <f>L25+L26</f>
        <v>107609</v>
      </c>
      <c r="M24" s="14">
        <f t="shared" si="8"/>
        <v>35567</v>
      </c>
      <c r="N24" s="14">
        <f t="shared" si="8"/>
        <v>21536</v>
      </c>
      <c r="O24" s="12">
        <f t="shared" si="7"/>
        <v>1281423</v>
      </c>
      <c r="P24"/>
      <c r="Q24"/>
      <c r="R24"/>
      <c r="S24"/>
      <c r="T24"/>
      <c r="U24"/>
    </row>
    <row r="25" spans="1:21" ht="18.75" customHeight="1">
      <c r="A25" s="13" t="s">
        <v>41</v>
      </c>
      <c r="B25" s="14">
        <v>68474</v>
      </c>
      <c r="C25" s="14">
        <v>58423</v>
      </c>
      <c r="D25" s="14">
        <v>56391</v>
      </c>
      <c r="E25" s="14">
        <v>10163</v>
      </c>
      <c r="F25" s="14">
        <v>55168</v>
      </c>
      <c r="G25" s="14">
        <v>87852</v>
      </c>
      <c r="H25" s="14">
        <v>58738</v>
      </c>
      <c r="I25" s="14">
        <v>17575</v>
      </c>
      <c r="J25" s="14">
        <v>53308</v>
      </c>
      <c r="K25" s="14">
        <v>45541</v>
      </c>
      <c r="L25" s="14">
        <v>46020</v>
      </c>
      <c r="M25" s="14">
        <v>15062</v>
      </c>
      <c r="N25" s="14">
        <v>8131</v>
      </c>
      <c r="O25" s="12">
        <f t="shared" si="7"/>
        <v>580846</v>
      </c>
      <c r="P25"/>
      <c r="Q25"/>
      <c r="R25"/>
      <c r="S25"/>
      <c r="T25"/>
      <c r="U25"/>
    </row>
    <row r="26" spans="1:21" ht="18.75" customHeight="1">
      <c r="A26" s="13" t="s">
        <v>42</v>
      </c>
      <c r="B26" s="14">
        <v>100056</v>
      </c>
      <c r="C26" s="14">
        <v>67653</v>
      </c>
      <c r="D26" s="14">
        <v>67855</v>
      </c>
      <c r="E26" s="14">
        <v>9599</v>
      </c>
      <c r="F26" s="14">
        <v>65880</v>
      </c>
      <c r="G26" s="14">
        <v>94461</v>
      </c>
      <c r="H26" s="14">
        <v>61955</v>
      </c>
      <c r="I26" s="14">
        <v>15222</v>
      </c>
      <c r="J26" s="14">
        <v>72966</v>
      </c>
      <c r="K26" s="14">
        <v>49431</v>
      </c>
      <c r="L26" s="14">
        <v>61589</v>
      </c>
      <c r="M26" s="14">
        <v>20505</v>
      </c>
      <c r="N26" s="14">
        <v>13405</v>
      </c>
      <c r="O26" s="12">
        <f t="shared" si="7"/>
        <v>700577</v>
      </c>
      <c r="P26"/>
      <c r="Q26"/>
      <c r="R26"/>
      <c r="S26"/>
      <c r="T26"/>
      <c r="U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1" ht="18.75" customHeight="1">
      <c r="A28" s="2" t="s">
        <v>43</v>
      </c>
      <c r="B28" s="23">
        <f>B29+B30</f>
        <v>2.08270546</v>
      </c>
      <c r="C28" s="23">
        <f aca="true" t="shared" si="9" ref="C28:I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2.0285</v>
      </c>
      <c r="I28" s="23">
        <f t="shared" si="9"/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>M29+M30</f>
        <v>2.5186314299999997</v>
      </c>
      <c r="N28" s="23">
        <f>N29+N30</f>
        <v>2.46767856</v>
      </c>
      <c r="O28" s="63"/>
      <c r="P28"/>
      <c r="Q28"/>
      <c r="R28"/>
      <c r="S28"/>
      <c r="T28"/>
      <c r="U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1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4"/>
      <c r="P30"/>
      <c r="Q30"/>
      <c r="R30"/>
      <c r="S30"/>
      <c r="T30"/>
      <c r="U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I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>M33*M34</f>
        <v>1271.16</v>
      </c>
      <c r="N32" s="56">
        <f>N33*N34</f>
        <v>719.0400000000001</v>
      </c>
      <c r="O32" s="25">
        <f>SUM(B32:N32)</f>
        <v>25436.04</v>
      </c>
    </row>
    <row r="33" spans="1:21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</row>
    <row r="34" spans="1:21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1079596.2225537</v>
      </c>
      <c r="C36" s="60">
        <f aca="true" t="shared" si="11" ref="C36:N36">C37+C38+C39+C40</f>
        <v>776340.6508625</v>
      </c>
      <c r="D36" s="60">
        <f t="shared" si="11"/>
        <v>748237.1811538</v>
      </c>
      <c r="E36" s="60">
        <f t="shared" si="11"/>
        <v>144433.6142224</v>
      </c>
      <c r="F36" s="60">
        <f t="shared" si="11"/>
        <v>748875.5542583</v>
      </c>
      <c r="G36" s="60">
        <f t="shared" si="11"/>
        <v>940686.0160000001</v>
      </c>
      <c r="H36" s="60">
        <f>H37+H38+H39+H40</f>
        <v>771585.97</v>
      </c>
      <c r="I36" s="60">
        <f>I37+I38+I39+I40</f>
        <v>217470.45684539998</v>
      </c>
      <c r="J36" s="60">
        <f>J37+J38+J39+J40</f>
        <v>860364.5666816</v>
      </c>
      <c r="K36" s="60">
        <f>K37+K38+K39+K40</f>
        <v>688897.40097</v>
      </c>
      <c r="L36" s="60">
        <f>L37+L38+L39+L40</f>
        <v>835264.7930598399</v>
      </c>
      <c r="M36" s="60">
        <f t="shared" si="11"/>
        <v>390659.4436366799</v>
      </c>
      <c r="N36" s="60">
        <f t="shared" si="11"/>
        <v>233576.59195728003</v>
      </c>
      <c r="O36" s="60">
        <f>O37+O38+O39+O40</f>
        <v>8435988.4622015</v>
      </c>
    </row>
    <row r="37" spans="1:15" ht="18.75" customHeight="1">
      <c r="A37" s="57" t="s">
        <v>50</v>
      </c>
      <c r="B37" s="54">
        <f aca="true" t="shared" si="12" ref="B37:N37">B29*B7</f>
        <v>1075459.7205</v>
      </c>
      <c r="C37" s="54">
        <f t="shared" si="12"/>
        <v>773348.0499999999</v>
      </c>
      <c r="D37" s="54">
        <f t="shared" si="12"/>
        <v>738080.9832</v>
      </c>
      <c r="E37" s="54">
        <f t="shared" si="12"/>
        <v>144136.3462</v>
      </c>
      <c r="F37" s="54">
        <f t="shared" si="12"/>
        <v>748897.0038</v>
      </c>
      <c r="G37" s="54">
        <f t="shared" si="12"/>
        <v>940797.4655</v>
      </c>
      <c r="H37" s="54">
        <f>H29*H7</f>
        <v>767954.1140000001</v>
      </c>
      <c r="I37" s="54">
        <f>I29*I7</f>
        <v>217427.26619999998</v>
      </c>
      <c r="J37" s="54">
        <f>J29*J7</f>
        <v>856224.512</v>
      </c>
      <c r="K37" s="54">
        <f>K29*K7</f>
        <v>685231.45</v>
      </c>
      <c r="L37" s="54">
        <f>L29*L7</f>
        <v>831045.5767999999</v>
      </c>
      <c r="M37" s="54">
        <f t="shared" si="12"/>
        <v>388185.57599999994</v>
      </c>
      <c r="N37" s="54">
        <f t="shared" si="12"/>
        <v>233548.42500000002</v>
      </c>
      <c r="O37" s="56">
        <f>SUM(B37:N37)</f>
        <v>8400336.489200002</v>
      </c>
    </row>
    <row r="38" spans="1:15" ht="18.75" customHeight="1">
      <c r="A38" s="57" t="s">
        <v>51</v>
      </c>
      <c r="B38" s="54">
        <f aca="true" t="shared" si="13" ref="B38:N38">B30*B7</f>
        <v>-3189.2279463</v>
      </c>
      <c r="C38" s="54">
        <f t="shared" si="13"/>
        <v>-2249.3391375</v>
      </c>
      <c r="D38" s="54">
        <f t="shared" si="13"/>
        <v>-2192.6520462</v>
      </c>
      <c r="E38" s="54">
        <f t="shared" si="13"/>
        <v>-349.0119776</v>
      </c>
      <c r="F38" s="54">
        <f t="shared" si="13"/>
        <v>-2182.8495417</v>
      </c>
      <c r="G38" s="54">
        <f t="shared" si="13"/>
        <v>-2773.6095</v>
      </c>
      <c r="H38" s="54">
        <f>H30*H7</f>
        <v>-2114.224</v>
      </c>
      <c r="I38" s="54">
        <f>I30*I7</f>
        <v>-611.6493546</v>
      </c>
      <c r="J38" s="54">
        <f>J30*J7</f>
        <v>-2464.7653184</v>
      </c>
      <c r="K38" s="54">
        <f>K30*K7</f>
        <v>-1959.99903</v>
      </c>
      <c r="L38" s="54">
        <f>L30*L7</f>
        <v>-2441.24374016</v>
      </c>
      <c r="M38" s="54">
        <f t="shared" si="13"/>
        <v>-1132.37236332</v>
      </c>
      <c r="N38" s="54">
        <f t="shared" si="13"/>
        <v>-690.8730427200001</v>
      </c>
      <c r="O38" s="25">
        <f>SUM(B38:N38)</f>
        <v>-24351.8169985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>H32</f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1" ht="18.75" customHeight="1">
      <c r="A40" s="2" t="s">
        <v>53</v>
      </c>
      <c r="B40" s="54">
        <v>4068.65</v>
      </c>
      <c r="C40" s="54">
        <v>2849.42</v>
      </c>
      <c r="D40" s="54">
        <v>10187.45</v>
      </c>
      <c r="E40" s="54">
        <v>0</v>
      </c>
      <c r="F40" s="54">
        <v>0</v>
      </c>
      <c r="G40" s="54">
        <v>0</v>
      </c>
      <c r="H40" s="54">
        <v>3503.36</v>
      </c>
      <c r="I40" s="54">
        <v>0</v>
      </c>
      <c r="J40" s="54">
        <v>4058.22</v>
      </c>
      <c r="K40" s="54">
        <v>3507.35</v>
      </c>
      <c r="L40" s="54">
        <v>4058.22</v>
      </c>
      <c r="M40" s="54">
        <v>2335.08</v>
      </c>
      <c r="N40" s="54">
        <v>0</v>
      </c>
      <c r="O40" s="56">
        <f>SUM(B40:N40)</f>
        <v>34567.75</v>
      </c>
      <c r="P40"/>
      <c r="Q40"/>
      <c r="R40"/>
      <c r="S40"/>
      <c r="T40"/>
      <c r="U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 aca="true" t="shared" si="15" ref="B42:O42">+B43+B46+B58+B59</f>
        <v>56824.16</v>
      </c>
      <c r="C42" s="25">
        <f t="shared" si="15"/>
        <v>74376.88999999998</v>
      </c>
      <c r="D42" s="25">
        <f t="shared" si="15"/>
        <v>-59016.130000000005</v>
      </c>
      <c r="E42" s="25">
        <f t="shared" si="15"/>
        <v>141426.90000000002</v>
      </c>
      <c r="F42" s="25">
        <f t="shared" si="15"/>
        <v>-56022.619999999995</v>
      </c>
      <c r="G42" s="25">
        <f t="shared" si="15"/>
        <v>-53463.06</v>
      </c>
      <c r="H42" s="25">
        <f t="shared" si="15"/>
        <v>-85293.35000000002</v>
      </c>
      <c r="I42" s="25">
        <f t="shared" si="15"/>
        <v>-49224.719999999994</v>
      </c>
      <c r="J42" s="25">
        <f t="shared" si="15"/>
        <v>-63383.19</v>
      </c>
      <c r="K42" s="25">
        <f t="shared" si="15"/>
        <v>-112516.58000000002</v>
      </c>
      <c r="L42" s="25">
        <f t="shared" si="15"/>
        <v>-48326.2</v>
      </c>
      <c r="M42" s="25">
        <f t="shared" si="15"/>
        <v>-24477.620000000003</v>
      </c>
      <c r="N42" s="25">
        <f t="shared" si="15"/>
        <v>166587.46999999997</v>
      </c>
      <c r="O42" s="25">
        <f t="shared" si="15"/>
        <v>-112508.04999999981</v>
      </c>
    </row>
    <row r="43" spans="1:15" ht="18.75" customHeight="1">
      <c r="A43" s="17" t="s">
        <v>55</v>
      </c>
      <c r="B43" s="26">
        <f>B44+B45</f>
        <v>-76942.4</v>
      </c>
      <c r="C43" s="26">
        <f>C44+C45</f>
        <v>-77862</v>
      </c>
      <c r="D43" s="26">
        <f>D44+D45</f>
        <v>-56760.6</v>
      </c>
      <c r="E43" s="26">
        <f>E44+E45</f>
        <v>-5730.4</v>
      </c>
      <c r="F43" s="26">
        <f aca="true" t="shared" si="16" ref="F43:N43">F44+F45</f>
        <v>-46432.2</v>
      </c>
      <c r="G43" s="26">
        <f t="shared" si="16"/>
        <v>-88334.8</v>
      </c>
      <c r="H43" s="26">
        <f>H44+H45</f>
        <v>-77736.6</v>
      </c>
      <c r="I43" s="26">
        <f>I44+I45</f>
        <v>-24407.4</v>
      </c>
      <c r="J43" s="26">
        <f>J44+J45</f>
        <v>-46337.2</v>
      </c>
      <c r="K43" s="26">
        <f>K44+K45</f>
        <v>-61092.6</v>
      </c>
      <c r="L43" s="26">
        <f>L44+L45</f>
        <v>-48503.2</v>
      </c>
      <c r="M43" s="26">
        <f t="shared" si="16"/>
        <v>-32577.4</v>
      </c>
      <c r="N43" s="26">
        <f t="shared" si="16"/>
        <v>-21112.8</v>
      </c>
      <c r="O43" s="25">
        <f aca="true" t="shared" si="17" ref="O43:O59">SUM(B43:N43)</f>
        <v>-663829.6000000001</v>
      </c>
    </row>
    <row r="44" spans="1:21" ht="18.75" customHeight="1">
      <c r="A44" s="13" t="s">
        <v>56</v>
      </c>
      <c r="B44" s="20">
        <f>ROUND(-B9*$D$3,2)</f>
        <v>-76942.4</v>
      </c>
      <c r="C44" s="20">
        <f>ROUND(-C9*$D$3,2)</f>
        <v>-77862</v>
      </c>
      <c r="D44" s="20">
        <f>ROUND(-D9*$D$3,2)</f>
        <v>-56760.6</v>
      </c>
      <c r="E44" s="20">
        <f>ROUND(-E9*$D$3,2)</f>
        <v>-5730.4</v>
      </c>
      <c r="F44" s="20">
        <f aca="true" t="shared" si="18" ref="F44:N44">ROUND(-F9*$D$3,2)</f>
        <v>-46432.2</v>
      </c>
      <c r="G44" s="20">
        <f t="shared" si="18"/>
        <v>-88334.8</v>
      </c>
      <c r="H44" s="20">
        <f>ROUND(-H9*$D$3,2)</f>
        <v>-77736.6</v>
      </c>
      <c r="I44" s="20">
        <f>ROUND(-I9*$D$3,2)</f>
        <v>-24407.4</v>
      </c>
      <c r="J44" s="20">
        <f>ROUND(-J9*$D$3,2)</f>
        <v>-46337.2</v>
      </c>
      <c r="K44" s="20">
        <f>ROUND(-K9*$D$3,2)</f>
        <v>-61092.6</v>
      </c>
      <c r="L44" s="20">
        <f>ROUND(-L9*$D$3,2)</f>
        <v>-48503.2</v>
      </c>
      <c r="M44" s="20">
        <f t="shared" si="18"/>
        <v>-32577.4</v>
      </c>
      <c r="N44" s="20">
        <f t="shared" si="18"/>
        <v>-21112.8</v>
      </c>
      <c r="O44" s="46">
        <f t="shared" si="17"/>
        <v>-663829.6000000001</v>
      </c>
      <c r="P44"/>
      <c r="Q44"/>
      <c r="R44"/>
      <c r="S44"/>
      <c r="T44"/>
      <c r="U44"/>
    </row>
    <row r="45" spans="1:21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>ROUND(H11*$D$3,2)</f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</row>
    <row r="46" spans="1:15" ht="18.75" customHeight="1">
      <c r="A46" s="17" t="s">
        <v>58</v>
      </c>
      <c r="B46" s="26">
        <f>SUM(B47:B57)</f>
        <v>-51199.579999999994</v>
      </c>
      <c r="C46" s="26">
        <f aca="true" t="shared" si="20" ref="C46:O46">SUM(C47:C57)</f>
        <v>-36232.600000000006</v>
      </c>
      <c r="D46" s="26">
        <f t="shared" si="20"/>
        <v>-69084.55</v>
      </c>
      <c r="E46" s="26">
        <f t="shared" si="20"/>
        <v>-73267.45</v>
      </c>
      <c r="F46" s="26">
        <f t="shared" si="20"/>
        <v>-124742.8</v>
      </c>
      <c r="G46" s="26">
        <f t="shared" si="20"/>
        <v>-145470.95</v>
      </c>
      <c r="H46" s="26">
        <f t="shared" si="20"/>
        <v>-43322.98</v>
      </c>
      <c r="I46" s="26">
        <f t="shared" si="20"/>
        <v>-36019.95999999999</v>
      </c>
      <c r="J46" s="26">
        <f t="shared" si="20"/>
        <v>-75485.18000000001</v>
      </c>
      <c r="K46" s="26">
        <f t="shared" si="20"/>
        <v>-107814.11000000002</v>
      </c>
      <c r="L46" s="26">
        <f t="shared" si="20"/>
        <v>-73114.76</v>
      </c>
      <c r="M46" s="26">
        <f t="shared" si="20"/>
        <v>-21101.54</v>
      </c>
      <c r="N46" s="26">
        <f t="shared" si="20"/>
        <v>-14623.17</v>
      </c>
      <c r="O46" s="26">
        <f t="shared" si="20"/>
        <v>-871479.63</v>
      </c>
    </row>
    <row r="47" spans="1:21" ht="18.75" customHeight="1">
      <c r="A47" s="13" t="s">
        <v>59</v>
      </c>
      <c r="B47" s="24">
        <v>0</v>
      </c>
      <c r="C47" s="24">
        <v>0</v>
      </c>
      <c r="D47" s="24">
        <v>-33975.69</v>
      </c>
      <c r="E47" s="24">
        <v>-64980</v>
      </c>
      <c r="F47" s="24">
        <v>-89761.13</v>
      </c>
      <c r="G47" s="24">
        <v>-101235.63</v>
      </c>
      <c r="H47" s="24">
        <v>-7703.12</v>
      </c>
      <c r="I47" s="24">
        <v>-24420.92</v>
      </c>
      <c r="J47" s="24">
        <v>-35083.29</v>
      </c>
      <c r="K47" s="24">
        <v>-75544.38</v>
      </c>
      <c r="L47" s="24">
        <v>-34181.12</v>
      </c>
      <c r="M47" s="24">
        <f>-3114</f>
        <v>-3114</v>
      </c>
      <c r="N47" s="24">
        <v>-3587.32</v>
      </c>
      <c r="O47" s="24">
        <f t="shared" si="17"/>
        <v>-473586.6</v>
      </c>
      <c r="P47"/>
      <c r="Q47"/>
      <c r="R47"/>
      <c r="S47"/>
      <c r="T47"/>
      <c r="U47"/>
    </row>
    <row r="48" spans="1:21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 s="65"/>
      <c r="R48"/>
      <c r="S48"/>
      <c r="T48"/>
      <c r="U48"/>
    </row>
    <row r="49" spans="1:21" ht="18.75" customHeight="1">
      <c r="A49" s="13" t="s">
        <v>61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-500</v>
      </c>
      <c r="O49" s="24">
        <f t="shared" si="17"/>
        <v>-3500</v>
      </c>
      <c r="P49"/>
      <c r="Q49"/>
      <c r="R49"/>
      <c r="S49"/>
      <c r="T49"/>
      <c r="U49"/>
    </row>
    <row r="50" spans="1:21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</row>
    <row r="51" spans="1:21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</row>
    <row r="52" spans="1:21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</row>
    <row r="53" spans="1:21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</row>
    <row r="54" spans="1:21" ht="18.75" customHeight="1">
      <c r="A54" s="16" t="s">
        <v>100</v>
      </c>
      <c r="B54" s="24">
        <f>2388.69+10359.42</f>
        <v>12748.11</v>
      </c>
      <c r="C54" s="24">
        <f>2576.29+6387.79</f>
        <v>8964.08</v>
      </c>
      <c r="D54" s="24">
        <v>8777.7</v>
      </c>
      <c r="E54" s="24">
        <v>1763.98</v>
      </c>
      <c r="F54" s="24">
        <v>8713.69</v>
      </c>
      <c r="G54" s="24">
        <v>10880.42</v>
      </c>
      <c r="H54" s="24">
        <v>8922.18</v>
      </c>
      <c r="I54" s="24">
        <v>2528.81</v>
      </c>
      <c r="J54" s="24">
        <v>10139.91</v>
      </c>
      <c r="K54" s="24">
        <v>8060.65</v>
      </c>
      <c r="L54" s="24">
        <v>9755.93</v>
      </c>
      <c r="M54" s="24">
        <v>4493.72</v>
      </c>
      <c r="N54" s="24">
        <v>2618.56</v>
      </c>
      <c r="O54" s="24">
        <f t="shared" si="17"/>
        <v>98367.73999999999</v>
      </c>
      <c r="P54"/>
      <c r="Q54"/>
      <c r="R54"/>
      <c r="S54"/>
      <c r="T54"/>
      <c r="U54"/>
    </row>
    <row r="55" spans="1:21" ht="18.75" customHeight="1">
      <c r="A55" s="16" t="s">
        <v>101</v>
      </c>
      <c r="B55" s="24">
        <v>-242.07</v>
      </c>
      <c r="C55" s="24">
        <v>-634.88</v>
      </c>
      <c r="D55" s="24">
        <v>0</v>
      </c>
      <c r="E55" s="24">
        <v>-468.66</v>
      </c>
      <c r="F55" s="24">
        <v>-98.31</v>
      </c>
      <c r="G55" s="24">
        <v>-243.2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-80.48</v>
      </c>
      <c r="O55" s="24">
        <f t="shared" si="17"/>
        <v>-1767.6000000000001</v>
      </c>
      <c r="P55"/>
      <c r="Q55"/>
      <c r="R55"/>
      <c r="S55"/>
      <c r="T55"/>
      <c r="U55"/>
    </row>
    <row r="56" spans="1:21" ht="18.75" customHeight="1">
      <c r="A56" s="16" t="s">
        <v>102</v>
      </c>
      <c r="B56" s="24">
        <v>52.4</v>
      </c>
      <c r="C56" s="24">
        <v>0</v>
      </c>
      <c r="D56" s="24">
        <v>182.8</v>
      </c>
      <c r="E56" s="24">
        <v>0</v>
      </c>
      <c r="F56" s="24">
        <v>0</v>
      </c>
      <c r="G56" s="24">
        <v>0</v>
      </c>
      <c r="H56" s="24">
        <v>331.89</v>
      </c>
      <c r="I56" s="24">
        <v>86.56</v>
      </c>
      <c r="J56" s="24">
        <v>550.35</v>
      </c>
      <c r="K56" s="24">
        <v>104.69</v>
      </c>
      <c r="L56" s="24">
        <v>395.31</v>
      </c>
      <c r="M56" s="24">
        <v>63.6</v>
      </c>
      <c r="N56" s="24">
        <v>0</v>
      </c>
      <c r="O56" s="24">
        <f t="shared" si="17"/>
        <v>1767.6</v>
      </c>
      <c r="P56"/>
      <c r="Q56"/>
      <c r="R56"/>
      <c r="S56"/>
      <c r="T56"/>
      <c r="U56"/>
    </row>
    <row r="57" spans="1:21" ht="18.75" customHeight="1">
      <c r="A57" s="16" t="s">
        <v>103</v>
      </c>
      <c r="B57" s="24">
        <f>-63758.02</f>
        <v>-63758.02</v>
      </c>
      <c r="C57" s="24">
        <f>-44561.8</f>
        <v>-44561.8</v>
      </c>
      <c r="D57" s="24">
        <v>-44069.36</v>
      </c>
      <c r="E57" s="24">
        <v>-8582.77</v>
      </c>
      <c r="F57" s="24">
        <v>-43597.05</v>
      </c>
      <c r="G57" s="24">
        <v>-54372.54</v>
      </c>
      <c r="H57" s="24">
        <v>-44873.93</v>
      </c>
      <c r="I57" s="24">
        <v>-12714.41</v>
      </c>
      <c r="J57" s="24">
        <v>-51092.15</v>
      </c>
      <c r="K57" s="24">
        <v>-40435.07</v>
      </c>
      <c r="L57" s="24">
        <v>-49084.88</v>
      </c>
      <c r="M57" s="24">
        <v>-22544.86</v>
      </c>
      <c r="N57" s="24">
        <v>-13073.93</v>
      </c>
      <c r="O57" s="24">
        <f t="shared" si="17"/>
        <v>-492760.77</v>
      </c>
      <c r="P57"/>
      <c r="Q57"/>
      <c r="R57"/>
      <c r="S57"/>
      <c r="T57"/>
      <c r="U57"/>
    </row>
    <row r="58" spans="1:21" ht="18.75" customHeight="1">
      <c r="A58" s="17" t="s">
        <v>104</v>
      </c>
      <c r="B58" s="27">
        <v>184966.13999999998</v>
      </c>
      <c r="C58" s="27">
        <v>188471.49</v>
      </c>
      <c r="D58" s="27">
        <v>66829.01999999999</v>
      </c>
      <c r="E58" s="27">
        <v>220424.75</v>
      </c>
      <c r="F58" s="27">
        <v>115152.38</v>
      </c>
      <c r="G58" s="27">
        <v>180342.69</v>
      </c>
      <c r="H58" s="27">
        <f>36834.71-1068.48</f>
        <v>35766.229999999996</v>
      </c>
      <c r="I58" s="27">
        <v>11202.64</v>
      </c>
      <c r="J58" s="27">
        <f>83497.19-25058</f>
        <v>58439.19</v>
      </c>
      <c r="K58" s="27">
        <v>56390.130000000005</v>
      </c>
      <c r="L58" s="27">
        <f>88448.95-15157.19</f>
        <v>73291.76</v>
      </c>
      <c r="M58" s="27">
        <v>29201.32</v>
      </c>
      <c r="N58" s="27">
        <v>202323.43999999997</v>
      </c>
      <c r="O58" s="24">
        <f t="shared" si="17"/>
        <v>1422801.1800000002</v>
      </c>
      <c r="P58"/>
      <c r="Q58"/>
      <c r="R58"/>
      <c r="S58"/>
      <c r="T58"/>
      <c r="U58"/>
    </row>
    <row r="59" spans="1:21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1" ht="15.75">
      <c r="A61" s="2" t="s">
        <v>67</v>
      </c>
      <c r="B61" s="29">
        <f aca="true" t="shared" si="21" ref="B61:N61">+B36+B42</f>
        <v>1136420.3825537</v>
      </c>
      <c r="C61" s="29">
        <f t="shared" si="21"/>
        <v>850717.5408625</v>
      </c>
      <c r="D61" s="29">
        <f t="shared" si="21"/>
        <v>689221.0511538</v>
      </c>
      <c r="E61" s="29">
        <f t="shared" si="21"/>
        <v>285860.51422240003</v>
      </c>
      <c r="F61" s="29">
        <f t="shared" si="21"/>
        <v>692852.9342583</v>
      </c>
      <c r="G61" s="29">
        <f t="shared" si="21"/>
        <v>887222.956</v>
      </c>
      <c r="H61" s="29">
        <f t="shared" si="21"/>
        <v>686292.62</v>
      </c>
      <c r="I61" s="29">
        <f t="shared" si="21"/>
        <v>168245.73684539998</v>
      </c>
      <c r="J61" s="29">
        <f t="shared" si="21"/>
        <v>796981.3766816</v>
      </c>
      <c r="K61" s="29">
        <f t="shared" si="21"/>
        <v>576380.82097</v>
      </c>
      <c r="L61" s="29">
        <f t="shared" si="21"/>
        <v>786938.5930598399</v>
      </c>
      <c r="M61" s="29">
        <f t="shared" si="21"/>
        <v>366181.8236366799</v>
      </c>
      <c r="N61" s="29">
        <f t="shared" si="21"/>
        <v>400164.06195728004</v>
      </c>
      <c r="O61" s="29">
        <f>SUM(B61:N61)</f>
        <v>8323480.4122015</v>
      </c>
      <c r="P61"/>
      <c r="Q61"/>
      <c r="R61"/>
      <c r="S61"/>
      <c r="T61"/>
      <c r="U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66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1136420.3800000001</v>
      </c>
      <c r="C64" s="36">
        <f aca="true" t="shared" si="22" ref="C64:N64">SUM(C65:C78)</f>
        <v>850717.5400000002</v>
      </c>
      <c r="D64" s="36">
        <f t="shared" si="22"/>
        <v>689221.0499999999</v>
      </c>
      <c r="E64" s="36">
        <f t="shared" si="22"/>
        <v>285860.52</v>
      </c>
      <c r="F64" s="36">
        <f t="shared" si="22"/>
        <v>692852.93</v>
      </c>
      <c r="G64" s="36">
        <f t="shared" si="22"/>
        <v>887222.9600000001</v>
      </c>
      <c r="H64" s="36">
        <f t="shared" si="22"/>
        <v>686292.62</v>
      </c>
      <c r="I64" s="36">
        <f t="shared" si="22"/>
        <v>168245.74</v>
      </c>
      <c r="J64" s="36">
        <f t="shared" si="22"/>
        <v>796981.3799999999</v>
      </c>
      <c r="K64" s="36">
        <f t="shared" si="22"/>
        <v>576380.8200000001</v>
      </c>
      <c r="L64" s="36">
        <f t="shared" si="22"/>
        <v>786938.6</v>
      </c>
      <c r="M64" s="36">
        <f t="shared" si="22"/>
        <v>366181.83</v>
      </c>
      <c r="N64" s="36">
        <f t="shared" si="22"/>
        <v>400164.07</v>
      </c>
      <c r="O64" s="29">
        <f>SUM(O65:O78)</f>
        <v>8323480.440000001</v>
      </c>
    </row>
    <row r="65" spans="1:16" ht="18.75" customHeight="1">
      <c r="A65" s="17" t="s">
        <v>69</v>
      </c>
      <c r="B65" s="36">
        <f>184276.92+9940.58+4696.82+567.13</f>
        <v>199481.45</v>
      </c>
      <c r="C65" s="36">
        <f>189478.13+15361.9+22805.47</f>
        <v>227645.5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427126.95</v>
      </c>
      <c r="P65"/>
    </row>
    <row r="66" spans="1:16" ht="18.75" customHeight="1">
      <c r="A66" s="17" t="s">
        <v>70</v>
      </c>
      <c r="B66" s="36">
        <f>3501.52+763108.67+90041.13+80287.61</f>
        <v>936938.93</v>
      </c>
      <c r="C66" s="36">
        <f>469918.5+64098.68+86205.44+2849.42</f>
        <v>623072.0400000002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1560010.9700000002</v>
      </c>
      <c r="P66"/>
    </row>
    <row r="67" spans="1:15" ht="18.75" customHeight="1">
      <c r="A67" s="17" t="s">
        <v>71</v>
      </c>
      <c r="B67" s="35">
        <v>0</v>
      </c>
      <c r="C67" s="35">
        <v>0</v>
      </c>
      <c r="D67" s="26">
        <f>10187.45+612204.58+53361.77+13467.25</f>
        <v>689221.0499999999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689221.0499999999</v>
      </c>
    </row>
    <row r="68" spans="1:15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f>65435.77+198085.74+22339.01</f>
        <v>285860.52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285860.52</v>
      </c>
    </row>
    <row r="69" spans="1:15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f>577700.55+61493.42+53658.96</f>
        <v>692852.93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692852.93</v>
      </c>
    </row>
    <row r="70" spans="1:15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f>706880.27+93834.57+86508.12</f>
        <v>887222.9600000001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887222.9600000001</v>
      </c>
    </row>
    <row r="71" spans="1:15" ht="18.75" customHeight="1">
      <c r="A71" s="17" t="s">
        <v>106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36834.71+645954.55+3503.36</f>
        <v>686292.62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686292.62</v>
      </c>
    </row>
    <row r="72" spans="1:15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f>157043.1+11202.64</f>
        <v>168245.74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168245.74</v>
      </c>
    </row>
    <row r="73" spans="1:17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>4058.22+709425.97+83497.19</f>
        <v>796981.3799999999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796981.3799999999</v>
      </c>
      <c r="Q73"/>
    </row>
    <row r="74" spans="1:18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f>516483.34+31453.95+24936.18+3507.35</f>
        <v>576380.8200000001</v>
      </c>
      <c r="L74" s="35">
        <v>0</v>
      </c>
      <c r="M74" s="35">
        <v>0</v>
      </c>
      <c r="N74" s="35">
        <v>0</v>
      </c>
      <c r="O74" s="29">
        <f t="shared" si="23"/>
        <v>576380.8200000001</v>
      </c>
      <c r="R74"/>
    </row>
    <row r="75" spans="1:19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f>4058.22+694431.43+88448.95</f>
        <v>786938.6</v>
      </c>
      <c r="M75" s="35">
        <v>0</v>
      </c>
      <c r="N75" s="35">
        <v>0</v>
      </c>
      <c r="O75" s="26">
        <f t="shared" si="23"/>
        <v>786938.6</v>
      </c>
      <c r="S75"/>
    </row>
    <row r="76" spans="1:20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f>2335.08+334645.43+14063.73+15137.59</f>
        <v>366181.83</v>
      </c>
      <c r="N76" s="35">
        <v>0</v>
      </c>
      <c r="O76" s="29">
        <f t="shared" si="23"/>
        <v>366181.83</v>
      </c>
      <c r="T76"/>
    </row>
    <row r="77" spans="1:21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f>197840.63+178192.23+24131.21</f>
        <v>400164.07</v>
      </c>
      <c r="O77" s="26">
        <f t="shared" si="23"/>
        <v>400164.07</v>
      </c>
      <c r="P77"/>
      <c r="U77"/>
    </row>
    <row r="78" spans="1:21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2.3309250522977263</v>
      </c>
      <c r="C82" s="44">
        <v>2.299004957650811</v>
      </c>
      <c r="D82" s="44">
        <v>0</v>
      </c>
      <c r="E82" s="44">
        <v>0</v>
      </c>
      <c r="F82" s="35">
        <v>0</v>
      </c>
      <c r="G82" s="35">
        <v>0</v>
      </c>
      <c r="H82" s="35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2.0385360549009115</v>
      </c>
      <c r="C83" s="44">
        <v>1.9238224338646488</v>
      </c>
      <c r="D83" s="44">
        <v>0</v>
      </c>
      <c r="E83" s="44">
        <v>0</v>
      </c>
      <c r="F83" s="35">
        <v>0</v>
      </c>
      <c r="G83" s="35">
        <v>0</v>
      </c>
      <c r="H83" s="35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5" ht="18.75" customHeight="1">
      <c r="A84" s="17" t="s">
        <v>83</v>
      </c>
      <c r="B84" s="44">
        <v>0</v>
      </c>
      <c r="C84" s="44">
        <v>0</v>
      </c>
      <c r="D84" s="22">
        <f>(D$37+D$38+D$39)/D$7</f>
        <v>1.868120896115684</v>
      </c>
      <c r="E84" s="44">
        <v>0</v>
      </c>
      <c r="F84" s="35">
        <v>0</v>
      </c>
      <c r="G84" s="35">
        <v>0</v>
      </c>
      <c r="H84" s="35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</row>
    <row r="85" spans="1:15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2.5995503000737927</v>
      </c>
      <c r="F85" s="35">
        <v>0</v>
      </c>
      <c r="G85" s="35">
        <v>0</v>
      </c>
      <c r="H85" s="35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</row>
    <row r="86" spans="1:15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2.181237524272266</v>
      </c>
      <c r="G86" s="35">
        <v>0</v>
      </c>
      <c r="H86" s="35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</row>
    <row r="87" spans="1:15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1.7296950712059502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</row>
    <row r="88" spans="1:15" ht="18.75" customHeight="1">
      <c r="A88" s="17" t="s">
        <v>107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2.0344403506913173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</row>
    <row r="89" spans="1:15" ht="18.75" customHeight="1">
      <c r="A89" s="17" t="s">
        <v>87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35">
        <v>0</v>
      </c>
      <c r="I89" s="44">
        <f>(I$37+I$38+I$39)/I$7</f>
        <v>1.99099542096185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</row>
    <row r="90" spans="1:17" ht="18.75" customHeight="1">
      <c r="A90" s="17" t="s">
        <v>88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35">
        <v>0</v>
      </c>
      <c r="I90" s="44">
        <v>0</v>
      </c>
      <c r="J90" s="44">
        <f>(J$37+J$38+J$39)/J$7</f>
        <v>1.976188858562883</v>
      </c>
      <c r="K90" s="44">
        <v>0</v>
      </c>
      <c r="L90" s="35">
        <v>0</v>
      </c>
      <c r="M90" s="44">
        <v>0</v>
      </c>
      <c r="N90" s="44">
        <v>0</v>
      </c>
      <c r="O90" s="26"/>
      <c r="Q90"/>
    </row>
    <row r="91" spans="1:18" ht="18.75" customHeight="1">
      <c r="A91" s="17" t="s">
        <v>89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35">
        <v>0</v>
      </c>
      <c r="I91" s="44">
        <v>0</v>
      </c>
      <c r="J91" s="44">
        <v>0</v>
      </c>
      <c r="K91" s="44">
        <f>(K$37+K$38+K$39)/K$7</f>
        <v>2.226015105456317</v>
      </c>
      <c r="L91" s="35">
        <v>0</v>
      </c>
      <c r="M91" s="44">
        <v>0</v>
      </c>
      <c r="N91" s="44">
        <v>0</v>
      </c>
      <c r="O91" s="29"/>
      <c r="R91"/>
    </row>
    <row r="92" spans="1:19" ht="18.75" customHeight="1">
      <c r="A92" s="17" t="s">
        <v>90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35">
        <v>0</v>
      </c>
      <c r="I92" s="44">
        <v>0</v>
      </c>
      <c r="J92" s="44">
        <v>0</v>
      </c>
      <c r="K92" s="44">
        <v>0</v>
      </c>
      <c r="L92" s="22">
        <f>(L$37+L$38+L$39)/L$7</f>
        <v>2.1281121936890397</v>
      </c>
      <c r="M92" s="44">
        <v>0</v>
      </c>
      <c r="N92" s="44">
        <v>0</v>
      </c>
      <c r="O92" s="26"/>
      <c r="S92"/>
    </row>
    <row r="93" spans="1:20" ht="18.75" customHeight="1">
      <c r="A93" s="17" t="s">
        <v>91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35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2.5269031184874664</v>
      </c>
      <c r="N93" s="44">
        <v>0</v>
      </c>
      <c r="O93" s="61"/>
      <c r="T93"/>
    </row>
    <row r="94" spans="1:21" ht="18.75" customHeight="1">
      <c r="A94" s="34" t="s">
        <v>92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2.475298495779914</v>
      </c>
      <c r="O94" s="50"/>
      <c r="P94"/>
      <c r="U94"/>
    </row>
    <row r="95" spans="1:13" ht="96" customHeight="1">
      <c r="A95" s="67" t="s">
        <v>108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8" ht="14.25">
      <c r="B98" s="40"/>
    </row>
    <row r="99" ht="14.25">
      <c r="I99" s="41"/>
    </row>
    <row r="101" spans="9:12" ht="14.25">
      <c r="I101" s="42"/>
      <c r="J101" s="43"/>
      <c r="K101" s="43"/>
      <c r="L101" s="43"/>
    </row>
    <row r="102" ht="18">
      <c r="B102" s="75"/>
    </row>
    <row r="103" ht="18">
      <c r="B103" s="75"/>
    </row>
    <row r="104" ht="18">
      <c r="B104" s="75"/>
    </row>
    <row r="105" ht="18">
      <c r="B105" s="75"/>
    </row>
    <row r="106" ht="18">
      <c r="B106" s="75"/>
    </row>
    <row r="107" ht="14.25">
      <c r="B107" s="74"/>
    </row>
  </sheetData>
  <sheetProtection/>
  <mergeCells count="7">
    <mergeCell ref="A95:M95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2017-10-03T21:01:30Z</dcterms:modified>
  <cp:category/>
  <cp:version/>
  <cp:contentType/>
  <cp:contentStatus/>
</cp:coreProperties>
</file>