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<sst xmlns="http://schemas.openxmlformats.org/spreadsheetml/2006/main" count="108" uniqueCount="106">
  <si>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</si>
  <si>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</si>
  <si>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</si>
  <si>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</si>
  <si>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</si>
  <si>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</si>
  <si>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</si>
  <si>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</si>
  <si>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</si>
  <si>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</si>
  <si>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</si>
  <si>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</si>
  <si>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</si>
  <si>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</si>
  <si>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</si>
  <si>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</si>
  <si>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</si>
  <si>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</si>
  <si>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</si>
  <si>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</si>
  <si>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</si>
  <si>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</si>
  <si>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</si>
  <si>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</si>
  <si>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</si>
  <si>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</si>
  <si>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</si>
  <si>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</si>
  <si>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</si>
  <si>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</si>
  <si>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</si>
  <si>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</si>
  <si>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</si>
  <si>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</si>
  <si>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</si>
  <si>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</si>
  <si>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</si>
  <si>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</si>
  <si>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</si>
  <si>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</si>
  <si>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</si>
  <si>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</si>
  <si>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</si>
  <si>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</si>
  <si>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</si>
  <si>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</si>
  <si>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</si>
  <si>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</si>
  <si>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</si>
  <si>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</si>
  <si>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</si>
  <si>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</si>
  <si>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</si>
  <si>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</si>
  <si>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</si>
  <si>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</si>
  <si>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</si>
  <si>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</si>
  <si>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</si>
  <si>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</si>
  <si>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</si>
  <si>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</si>
  <si>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</si>
  <si>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</si>
  <si>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</si>
  <si>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</si>
  <si>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</si>
  <si>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</si>
  <si>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</si>
  <si>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</si>
  <si>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</si>
  <si>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</si>
  <si>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</si>
  <si>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</si>
  <si>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</si>
  <si>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</si>
  <si>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</si>
  <si>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</si>
  <si>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</si>
  <si>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</si>
  <si>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</si>
  <si>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</si>
  <si>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</si>
  <si>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</si>
  <si>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</si>
  <si>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</si>
  <si>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</si>
  <si>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</si>
  <si>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</si>
  <si>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</si>
  <si>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</si>
  <si>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</si>
  <si>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</si>
  <si>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</si>
  <si>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21/09/17 - VENCIMENTO 28/09/17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</si>
  <si>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</si>
  <si>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</si>
  <si>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</si>
  <si>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</si>
  <si>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</si>
  <si>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</si>
  <si>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8. Tarifa de Remuneração por Passageiro (2)</t>
  </si>
  <si>
    <t>7.7. Movebuss</t>
  </si>
  <si>
    <t>8.7. Movebuss</t>
  </si>
  <si>
    <t>Nota: (1) Ajuste de remuneração previsto contratualmente, período de 25/07 a 24/08/17, parcela 15/16.
             (2) Tarifa de remuneração de cada empresa considerando o  reequilibrio interno estabelecido e informado pelo consórcio. Não consideram os acertos financeiros previstos no item 7.</t>
  </si>
  <si>
    <t>5.2.8. Ajuste de Remuneração Previsto Contratualmente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</si>
</sst>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172" fontId="0" fillId="0" borderId="0" xfId="0" applyNumberFormat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5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5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5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9" t="s">
        <v>1</v>
      </c>
      <c r="B4" s="69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2</v>
      </c>
    </row>
    <row r="5" spans="1:15" ht="42" customHeight="1">
      <c r="A5" s="6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9"/>
    </row>
    <row r="6" spans="1:15" ht="20.25" customHeight="1">
      <c r="A6" s="69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9"/>
    </row>
    <row r="7" spans="1:25" ht="18.75" customHeight="1">
      <c r="A7" s="9" t="s">
        <v>3</v>
      </c>
      <c r="B7" s="10">
        <f>B8+B20+B24</f>
        <v>518314</v>
      </c>
      <c r="C7" s="10">
        <f>C8+C20+C24</f>
        <v>389640</v>
      </c>
      <c r="D7" s="10">
        <f>D8+D20+D24</f>
        <v>396692</v>
      </c>
      <c r="E7" s="10">
        <f>E8+E20+E24</f>
        <v>51984</v>
      </c>
      <c r="F7" s="10">
        <f aca="true" t="shared" si="0" ref="F7:N7">F8+F20+F24</f>
        <v>343046</v>
      </c>
      <c r="G7" s="10">
        <f t="shared" si="0"/>
        <v>547155</v>
      </c>
      <c r="H7" s="10">
        <f>H8+H20+H24</f>
        <v>383255</v>
      </c>
      <c r="I7" s="10">
        <f>I8+I20+I24</f>
        <v>107679</v>
      </c>
      <c r="J7" s="10">
        <f>J8+J20+J24</f>
        <v>433886</v>
      </c>
      <c r="K7" s="10">
        <f>K8+K20+K24</f>
        <v>310976</v>
      </c>
      <c r="L7" s="10">
        <f>L8+L20+L24</f>
        <v>392713</v>
      </c>
      <c r="M7" s="10">
        <f t="shared" si="0"/>
        <v>157196</v>
      </c>
      <c r="N7" s="10">
        <f t="shared" si="0"/>
        <v>94369</v>
      </c>
      <c r="O7" s="10">
        <f>+O8+O20+O24</f>
        <v>4126905</v>
      </c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211285</v>
      </c>
      <c r="C8" s="12">
        <f>+C9+C12+C16</f>
        <v>172743</v>
      </c>
      <c r="D8" s="12">
        <f>+D9+D12+D16</f>
        <v>188954</v>
      </c>
      <c r="E8" s="12">
        <f>+E9+E12+E16</f>
        <v>22247</v>
      </c>
      <c r="F8" s="12">
        <f aca="true" t="shared" si="1" ref="F8:N8">+F9+F12+F16</f>
        <v>150019</v>
      </c>
      <c r="G8" s="12">
        <f t="shared" si="1"/>
        <v>246997</v>
      </c>
      <c r="H8" s="12">
        <f>+H9+H12+H16</f>
        <v>166437</v>
      </c>
      <c r="I8" s="12">
        <f>+I9+I12+I16</f>
        <v>49235</v>
      </c>
      <c r="J8" s="12">
        <f>+J9+J12+J16</f>
        <v>195293</v>
      </c>
      <c r="K8" s="12">
        <f>+K9+K12+K16</f>
        <v>140374</v>
      </c>
      <c r="L8" s="12">
        <f>+L9+L12+L16</f>
        <v>165756</v>
      </c>
      <c r="M8" s="12">
        <f t="shared" si="1"/>
        <v>76639</v>
      </c>
      <c r="N8" s="12">
        <f t="shared" si="1"/>
        <v>47725</v>
      </c>
      <c r="O8" s="12">
        <f>SUM(B8:N8)</f>
        <v>1833704</v>
      </c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18829</v>
      </c>
      <c r="C9" s="14">
        <v>19387</v>
      </c>
      <c r="D9" s="14">
        <v>13782</v>
      </c>
      <c r="E9" s="14">
        <v>1370</v>
      </c>
      <c r="F9" s="14">
        <v>11416</v>
      </c>
      <c r="G9" s="14">
        <v>21343</v>
      </c>
      <c r="H9" s="14">
        <v>19190</v>
      </c>
      <c r="I9" s="14">
        <v>5888</v>
      </c>
      <c r="J9" s="14">
        <v>11214</v>
      </c>
      <c r="K9" s="14">
        <v>14898</v>
      </c>
      <c r="L9" s="14">
        <v>11652</v>
      </c>
      <c r="M9" s="14">
        <f>8011+42</f>
        <v>8053</v>
      </c>
      <c r="N9" s="14">
        <v>5326</v>
      </c>
      <c r="O9" s="12">
        <f aca="true" t="shared" si="2" ref="O9:O19">SUM(B9:N9)</f>
        <v>162348</v>
      </c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18829</v>
      </c>
      <c r="C10" s="14">
        <f>+C9-C11</f>
        <v>19387</v>
      </c>
      <c r="D10" s="14">
        <f>+D9-D11</f>
        <v>13782</v>
      </c>
      <c r="E10" s="14">
        <f>+E9-E11</f>
        <v>1370</v>
      </c>
      <c r="F10" s="14">
        <f aca="true" t="shared" si="3" ref="F10:N10">+F9-F11</f>
        <v>11416</v>
      </c>
      <c r="G10" s="14">
        <f t="shared" si="3"/>
        <v>21343</v>
      </c>
      <c r="H10" s="14">
        <f>+H9-H11</f>
        <v>19190</v>
      </c>
      <c r="I10" s="14">
        <f>+I9-I11</f>
        <v>5888</v>
      </c>
      <c r="J10" s="14">
        <f>+J9-J11</f>
        <v>11214</v>
      </c>
      <c r="K10" s="14">
        <f>+K9-K11</f>
        <v>14898</v>
      </c>
      <c r="L10" s="14">
        <f>+L9-L11</f>
        <v>11652</v>
      </c>
      <c r="M10" s="14">
        <f t="shared" si="3"/>
        <v>8053</v>
      </c>
      <c r="N10" s="14">
        <f t="shared" si="3"/>
        <v>5326</v>
      </c>
      <c r="O10" s="12">
        <f t="shared" si="2"/>
        <v>162348</v>
      </c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180757</v>
      </c>
      <c r="C12" s="14">
        <f>C13+C14+C15</f>
        <v>144349</v>
      </c>
      <c r="D12" s="14">
        <f>D13+D14+D15</f>
        <v>165788</v>
      </c>
      <c r="E12" s="14">
        <f>E13+E14+E15</f>
        <v>19770</v>
      </c>
      <c r="F12" s="14">
        <f aca="true" t="shared" si="4" ref="F12:N12">F13+F14+F15</f>
        <v>130645</v>
      </c>
      <c r="G12" s="14">
        <f t="shared" si="4"/>
        <v>211511</v>
      </c>
      <c r="H12" s="14">
        <f>H13+H14+H15</f>
        <v>138446</v>
      </c>
      <c r="I12" s="14">
        <f>I13+I14+I15</f>
        <v>40747</v>
      </c>
      <c r="J12" s="14">
        <f>J13+J14+J15</f>
        <v>172313</v>
      </c>
      <c r="K12" s="14">
        <f>K13+K14+K15</f>
        <v>117964</v>
      </c>
      <c r="L12" s="14">
        <f>L13+L14+L15</f>
        <v>143615</v>
      </c>
      <c r="M12" s="14">
        <f t="shared" si="4"/>
        <v>64800</v>
      </c>
      <c r="N12" s="14">
        <f t="shared" si="4"/>
        <v>40371</v>
      </c>
      <c r="O12" s="12">
        <f t="shared" si="2"/>
        <v>1571076</v>
      </c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87869</v>
      </c>
      <c r="C13" s="14">
        <v>71126</v>
      </c>
      <c r="D13" s="14">
        <v>78781</v>
      </c>
      <c r="E13" s="14">
        <v>9705</v>
      </c>
      <c r="F13" s="14">
        <v>61259</v>
      </c>
      <c r="G13" s="14">
        <v>101479</v>
      </c>
      <c r="H13" s="14">
        <v>69809</v>
      </c>
      <c r="I13" s="14">
        <v>20694</v>
      </c>
      <c r="J13" s="14">
        <v>85737</v>
      </c>
      <c r="K13" s="14">
        <v>56720</v>
      </c>
      <c r="L13" s="14">
        <v>69012</v>
      </c>
      <c r="M13" s="14">
        <v>30473</v>
      </c>
      <c r="N13" s="14">
        <v>18649</v>
      </c>
      <c r="O13" s="12">
        <f t="shared" si="2"/>
        <v>761313</v>
      </c>
      <c r="P13"/>
      <c r="Q13"/>
      <c r="R13"/>
      <c r="S13" s="71"/>
      <c r="T13" s="71"/>
      <c r="U13"/>
      <c r="V13"/>
      <c r="W13"/>
      <c r="X13"/>
      <c r="Y13"/>
    </row>
    <row r="14" spans="1:25" ht="18.75" customHeight="1">
      <c r="A14" s="15" t="s">
        <v>8</v>
      </c>
      <c r="B14" s="14">
        <v>87709</v>
      </c>
      <c r="C14" s="14">
        <v>66665</v>
      </c>
      <c r="D14" s="14">
        <v>83459</v>
      </c>
      <c r="E14" s="14">
        <v>9370</v>
      </c>
      <c r="F14" s="14">
        <v>64804</v>
      </c>
      <c r="G14" s="14">
        <v>100506</v>
      </c>
      <c r="H14" s="14">
        <v>63733</v>
      </c>
      <c r="I14" s="14">
        <v>18634</v>
      </c>
      <c r="J14" s="14">
        <v>83007</v>
      </c>
      <c r="K14" s="14">
        <v>57216</v>
      </c>
      <c r="L14" s="14">
        <v>70875</v>
      </c>
      <c r="M14" s="14">
        <v>31974</v>
      </c>
      <c r="N14" s="14">
        <v>20682</v>
      </c>
      <c r="O14" s="12">
        <f t="shared" si="2"/>
        <v>758634</v>
      </c>
      <c r="P14"/>
      <c r="Q14"/>
      <c r="R14"/>
      <c r="S14" s="72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5179</v>
      </c>
      <c r="C15" s="14">
        <v>6558</v>
      </c>
      <c r="D15" s="14">
        <v>3548</v>
      </c>
      <c r="E15" s="14">
        <v>695</v>
      </c>
      <c r="F15" s="14">
        <v>4582</v>
      </c>
      <c r="G15" s="14">
        <v>9526</v>
      </c>
      <c r="H15" s="14">
        <v>4904</v>
      </c>
      <c r="I15" s="14">
        <v>1419</v>
      </c>
      <c r="J15" s="14">
        <v>3569</v>
      </c>
      <c r="K15" s="14">
        <v>4028</v>
      </c>
      <c r="L15" s="14">
        <v>3728</v>
      </c>
      <c r="M15" s="14">
        <v>2353</v>
      </c>
      <c r="N15" s="14">
        <v>1040</v>
      </c>
      <c r="O15" s="12">
        <f t="shared" si="2"/>
        <v>51129</v>
      </c>
      <c r="P15"/>
      <c r="Q15"/>
      <c r="R15"/>
      <c r="S15" s="72"/>
      <c r="T15" s="72"/>
      <c r="U15"/>
      <c r="V15"/>
      <c r="W15"/>
      <c r="X15"/>
      <c r="Y15"/>
    </row>
    <row r="16" spans="1:15" ht="18.75" customHeight="1">
      <c r="A16" s="16" t="s">
        <v>19</v>
      </c>
      <c r="B16" s="14">
        <f>B17+B18+B19</f>
        <v>11699</v>
      </c>
      <c r="C16" s="14">
        <f>C17+C18+C19</f>
        <v>9007</v>
      </c>
      <c r="D16" s="14">
        <f>D17+D18+D19</f>
        <v>9384</v>
      </c>
      <c r="E16" s="14">
        <f>E17+E18+E19</f>
        <v>1107</v>
      </c>
      <c r="F16" s="14">
        <f aca="true" t="shared" si="5" ref="F16:N16">F17+F18+F19</f>
        <v>7958</v>
      </c>
      <c r="G16" s="14">
        <f t="shared" si="5"/>
        <v>14143</v>
      </c>
      <c r="H16" s="14">
        <f>H17+H18+H19</f>
        <v>8801</v>
      </c>
      <c r="I16" s="14">
        <f>I17+I18+I19</f>
        <v>2600</v>
      </c>
      <c r="J16" s="14">
        <f>J17+J18+J19</f>
        <v>11766</v>
      </c>
      <c r="K16" s="14">
        <f>K17+K18+K19</f>
        <v>7512</v>
      </c>
      <c r="L16" s="14">
        <f>L17+L18+L19</f>
        <v>10489</v>
      </c>
      <c r="M16" s="14">
        <f t="shared" si="5"/>
        <v>3786</v>
      </c>
      <c r="N16" s="14">
        <f t="shared" si="5"/>
        <v>2028</v>
      </c>
      <c r="O16" s="12">
        <f t="shared" si="2"/>
        <v>100280</v>
      </c>
    </row>
    <row r="17" spans="1:25" ht="18.75" customHeight="1">
      <c r="A17" s="15" t="s">
        <v>16</v>
      </c>
      <c r="B17" s="14">
        <v>11612</v>
      </c>
      <c r="C17" s="14">
        <v>8949</v>
      </c>
      <c r="D17" s="14">
        <v>9315</v>
      </c>
      <c r="E17" s="14">
        <v>1098</v>
      </c>
      <c r="F17" s="14">
        <v>7899</v>
      </c>
      <c r="G17" s="14">
        <v>14060</v>
      </c>
      <c r="H17" s="14">
        <v>8731</v>
      </c>
      <c r="I17" s="14">
        <v>2581</v>
      </c>
      <c r="J17" s="14">
        <v>11706</v>
      </c>
      <c r="K17" s="14">
        <v>7451</v>
      </c>
      <c r="L17" s="14">
        <v>10405</v>
      </c>
      <c r="M17" s="14">
        <f>1904+1848</f>
        <v>3752</v>
      </c>
      <c r="N17" s="14">
        <v>1996</v>
      </c>
      <c r="O17" s="12">
        <f t="shared" si="2"/>
        <v>99555</v>
      </c>
      <c r="P17"/>
      <c r="Q17"/>
      <c r="R17"/>
      <c r="S17" s="73"/>
      <c r="T17" s="73"/>
      <c r="U17"/>
      <c r="V17"/>
      <c r="W17"/>
      <c r="X17"/>
      <c r="Y17"/>
    </row>
    <row r="18" spans="1:25" ht="18.75" customHeight="1">
      <c r="A18" s="15" t="s">
        <v>17</v>
      </c>
      <c r="B18" s="14">
        <v>76</v>
      </c>
      <c r="C18" s="14">
        <v>47</v>
      </c>
      <c r="D18" s="14">
        <v>66</v>
      </c>
      <c r="E18" s="14">
        <v>8</v>
      </c>
      <c r="F18" s="14">
        <v>52</v>
      </c>
      <c r="G18" s="14">
        <v>73</v>
      </c>
      <c r="H18" s="14">
        <v>65</v>
      </c>
      <c r="I18" s="14">
        <v>19</v>
      </c>
      <c r="J18" s="14">
        <v>56</v>
      </c>
      <c r="K18" s="14">
        <v>56</v>
      </c>
      <c r="L18" s="14">
        <v>81</v>
      </c>
      <c r="M18" s="14">
        <f>17+11</f>
        <v>28</v>
      </c>
      <c r="N18" s="14">
        <v>31</v>
      </c>
      <c r="O18" s="12">
        <f t="shared" si="2"/>
        <v>658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</v>
      </c>
      <c r="C19" s="14">
        <v>11</v>
      </c>
      <c r="D19" s="14">
        <v>3</v>
      </c>
      <c r="E19" s="14">
        <v>1</v>
      </c>
      <c r="F19" s="14">
        <v>7</v>
      </c>
      <c r="G19" s="14">
        <v>10</v>
      </c>
      <c r="H19" s="14">
        <v>5</v>
      </c>
      <c r="I19" s="14">
        <v>0</v>
      </c>
      <c r="J19" s="14">
        <v>4</v>
      </c>
      <c r="K19" s="14">
        <v>5</v>
      </c>
      <c r="L19" s="14">
        <v>3</v>
      </c>
      <c r="M19" s="14">
        <f>3+3</f>
        <v>6</v>
      </c>
      <c r="N19" s="14">
        <v>1</v>
      </c>
      <c r="O19" s="12">
        <f t="shared" si="2"/>
        <v>67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133905</v>
      </c>
      <c r="C20" s="18">
        <f>C21+C22+C23</f>
        <v>86448</v>
      </c>
      <c r="D20" s="18">
        <f>D21+D22+D23</f>
        <v>80681</v>
      </c>
      <c r="E20" s="18">
        <f>E21+E22+E23</f>
        <v>10934</v>
      </c>
      <c r="F20" s="18">
        <f aca="true" t="shared" si="6" ref="F20:N20">F21+F22+F23</f>
        <v>70225</v>
      </c>
      <c r="G20" s="18">
        <f t="shared" si="6"/>
        <v>113530</v>
      </c>
      <c r="H20" s="18">
        <f>H21+H22+H23</f>
        <v>91682</v>
      </c>
      <c r="I20" s="18">
        <f>I21+I22+I23</f>
        <v>25550</v>
      </c>
      <c r="J20" s="18">
        <f>J21+J22+J23</f>
        <v>108986</v>
      </c>
      <c r="K20" s="18">
        <f>K21+K22+K23</f>
        <v>72578</v>
      </c>
      <c r="L20" s="18">
        <f>L21+L22+L23</f>
        <v>115400</v>
      </c>
      <c r="M20" s="18">
        <f t="shared" si="6"/>
        <v>43000</v>
      </c>
      <c r="N20" s="18">
        <f t="shared" si="6"/>
        <v>24392</v>
      </c>
      <c r="O20" s="12">
        <f aca="true" t="shared" si="7" ref="O20:O26">SUM(B20:N20)</f>
        <v>977311</v>
      </c>
      <c r="P20"/>
      <c r="Q20"/>
      <c r="R20"/>
      <c r="S20" s="73"/>
      <c r="T20" s="73"/>
      <c r="U20"/>
      <c r="V20"/>
      <c r="W20"/>
      <c r="X20"/>
      <c r="Y20"/>
    </row>
    <row r="21" spans="1:25" ht="18.75" customHeight="1">
      <c r="A21" s="13" t="s">
        <v>11</v>
      </c>
      <c r="B21" s="14">
        <v>70250</v>
      </c>
      <c r="C21" s="14">
        <v>48132</v>
      </c>
      <c r="D21" s="14">
        <v>42657</v>
      </c>
      <c r="E21" s="14">
        <v>6136</v>
      </c>
      <c r="F21" s="14">
        <v>36407</v>
      </c>
      <c r="G21" s="14">
        <v>61335</v>
      </c>
      <c r="H21" s="14">
        <v>51650</v>
      </c>
      <c r="I21" s="14">
        <v>14739</v>
      </c>
      <c r="J21" s="14">
        <v>59868</v>
      </c>
      <c r="K21" s="14">
        <v>39002</v>
      </c>
      <c r="L21" s="14">
        <v>60237</v>
      </c>
      <c r="M21" s="14">
        <v>22822</v>
      </c>
      <c r="N21" s="14">
        <v>12668</v>
      </c>
      <c r="O21" s="12">
        <f t="shared" si="7"/>
        <v>525903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60993</v>
      </c>
      <c r="C22" s="14">
        <v>35869</v>
      </c>
      <c r="D22" s="14">
        <v>36681</v>
      </c>
      <c r="E22" s="14">
        <v>4540</v>
      </c>
      <c r="F22" s="14">
        <v>32062</v>
      </c>
      <c r="G22" s="14">
        <v>48800</v>
      </c>
      <c r="H22" s="14">
        <v>38071</v>
      </c>
      <c r="I22" s="14">
        <v>10283</v>
      </c>
      <c r="J22" s="14">
        <v>47264</v>
      </c>
      <c r="K22" s="14">
        <v>32019</v>
      </c>
      <c r="L22" s="14">
        <v>53107</v>
      </c>
      <c r="M22" s="14">
        <v>19192</v>
      </c>
      <c r="N22" s="14">
        <v>11273</v>
      </c>
      <c r="O22" s="12">
        <f t="shared" si="7"/>
        <v>430154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2662</v>
      </c>
      <c r="C23" s="14">
        <v>2447</v>
      </c>
      <c r="D23" s="14">
        <v>1343</v>
      </c>
      <c r="E23" s="14">
        <v>258</v>
      </c>
      <c r="F23" s="14">
        <v>1756</v>
      </c>
      <c r="G23" s="14">
        <v>3395</v>
      </c>
      <c r="H23" s="14">
        <v>1961</v>
      </c>
      <c r="I23" s="14">
        <v>528</v>
      </c>
      <c r="J23" s="14">
        <v>1854</v>
      </c>
      <c r="K23" s="14">
        <v>1557</v>
      </c>
      <c r="L23" s="14">
        <v>2056</v>
      </c>
      <c r="M23" s="14">
        <v>986</v>
      </c>
      <c r="N23" s="14">
        <v>451</v>
      </c>
      <c r="O23" s="12">
        <f t="shared" si="7"/>
        <v>21254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173124</v>
      </c>
      <c r="C24" s="14">
        <f>C25+C26</f>
        <v>130449</v>
      </c>
      <c r="D24" s="14">
        <f>D25+D26</f>
        <v>127057</v>
      </c>
      <c r="E24" s="14">
        <f>E25+E26</f>
        <v>18803</v>
      </c>
      <c r="F24" s="14">
        <f aca="true" t="shared" si="8" ref="F24:N24">F25+F26</f>
        <v>122802</v>
      </c>
      <c r="G24" s="14">
        <f t="shared" si="8"/>
        <v>186628</v>
      </c>
      <c r="H24" s="14">
        <f>H25+H26</f>
        <v>125136</v>
      </c>
      <c r="I24" s="14">
        <f>I25+I26</f>
        <v>32894</v>
      </c>
      <c r="J24" s="14">
        <f>J25+J26</f>
        <v>129607</v>
      </c>
      <c r="K24" s="14">
        <f>K25+K26</f>
        <v>98024</v>
      </c>
      <c r="L24" s="14">
        <f>L25+L26</f>
        <v>111557</v>
      </c>
      <c r="M24" s="14">
        <f t="shared" si="8"/>
        <v>37557</v>
      </c>
      <c r="N24" s="14">
        <f t="shared" si="8"/>
        <v>22252</v>
      </c>
      <c r="O24" s="12">
        <f t="shared" si="7"/>
        <v>1315890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41</v>
      </c>
      <c r="B25" s="14">
        <v>68442</v>
      </c>
      <c r="C25" s="14">
        <v>58916</v>
      </c>
      <c r="D25" s="14">
        <v>56211</v>
      </c>
      <c r="E25" s="14">
        <v>9580</v>
      </c>
      <c r="F25" s="14">
        <v>55181</v>
      </c>
      <c r="G25" s="14">
        <v>89038</v>
      </c>
      <c r="H25" s="14">
        <v>59614</v>
      </c>
      <c r="I25" s="14">
        <v>17551</v>
      </c>
      <c r="J25" s="14">
        <v>53124</v>
      </c>
      <c r="K25" s="14">
        <v>46086</v>
      </c>
      <c r="L25" s="14">
        <v>46544</v>
      </c>
      <c r="M25" s="14">
        <v>15649</v>
      </c>
      <c r="N25" s="14">
        <v>8071</v>
      </c>
      <c r="O25" s="12">
        <f t="shared" si="7"/>
        <v>584007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42</v>
      </c>
      <c r="B26" s="14">
        <v>104682</v>
      </c>
      <c r="C26" s="14">
        <v>71533</v>
      </c>
      <c r="D26" s="14">
        <v>70846</v>
      </c>
      <c r="E26" s="14">
        <v>9223</v>
      </c>
      <c r="F26" s="14">
        <v>67621</v>
      </c>
      <c r="G26" s="14">
        <v>97590</v>
      </c>
      <c r="H26" s="14">
        <v>65522</v>
      </c>
      <c r="I26" s="14">
        <v>15343</v>
      </c>
      <c r="J26" s="14">
        <v>76483</v>
      </c>
      <c r="K26" s="14">
        <v>51938</v>
      </c>
      <c r="L26" s="14">
        <v>65013</v>
      </c>
      <c r="M26" s="14">
        <v>21908</v>
      </c>
      <c r="N26" s="14">
        <v>14181</v>
      </c>
      <c r="O26" s="12">
        <f t="shared" si="7"/>
        <v>731883</v>
      </c>
      <c r="P26"/>
      <c r="Q26"/>
      <c r="R26"/>
      <c r="S26"/>
      <c r="T26"/>
      <c r="U26"/>
      <c r="V26"/>
      <c r="W26"/>
      <c r="X26"/>
      <c r="Y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5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</row>
    <row r="29" spans="1:15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</row>
    <row r="30" spans="1:25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5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1086821.1277944401</v>
      </c>
      <c r="C36" s="60">
        <f aca="true" t="shared" si="11" ref="C36:N36">C37+C38+C39+C40</f>
        <v>789248.4680199999</v>
      </c>
      <c r="D36" s="60">
        <f t="shared" si="11"/>
        <v>751247.2236346</v>
      </c>
      <c r="E36" s="60">
        <f t="shared" si="11"/>
        <v>135176.6301056</v>
      </c>
      <c r="F36" s="60">
        <f t="shared" si="11"/>
        <v>748266.5704843</v>
      </c>
      <c r="G36" s="60">
        <f t="shared" si="11"/>
        <v>946395.104</v>
      </c>
      <c r="H36" s="60">
        <f>H37+H38+H39+H40</f>
        <v>783178.8474999999</v>
      </c>
      <c r="I36" s="60">
        <f>I37+I38+I39+I40</f>
        <v>214397.67653579998</v>
      </c>
      <c r="J36" s="60">
        <f>J37+J38+J39+J40</f>
        <v>861495.5256548</v>
      </c>
      <c r="K36" s="60">
        <f>K37+K38+K39+K40</f>
        <v>695723.4580768</v>
      </c>
      <c r="L36" s="60">
        <f>L37+L38+L39+L40</f>
        <v>839781.3595988799</v>
      </c>
      <c r="M36" s="60">
        <f t="shared" si="11"/>
        <v>399525.02627027995</v>
      </c>
      <c r="N36" s="60">
        <f t="shared" si="11"/>
        <v>233591.39802864</v>
      </c>
      <c r="O36" s="60">
        <f>O37+O38+O39+O40</f>
        <v>8484848.41570414</v>
      </c>
    </row>
    <row r="37" spans="1:15" ht="18.75" customHeight="1">
      <c r="A37" s="57" t="s">
        <v>50</v>
      </c>
      <c r="B37" s="54">
        <f aca="true" t="shared" si="12" ref="B37:N37">B29*B7</f>
        <v>1082706.1146000002</v>
      </c>
      <c r="C37" s="54">
        <f t="shared" si="12"/>
        <v>786293.5199999999</v>
      </c>
      <c r="D37" s="54">
        <f t="shared" si="12"/>
        <v>741099.9944000001</v>
      </c>
      <c r="E37" s="54">
        <f t="shared" si="12"/>
        <v>134856.8928</v>
      </c>
      <c r="F37" s="54">
        <f t="shared" si="12"/>
        <v>748286.2398</v>
      </c>
      <c r="G37" s="54">
        <f t="shared" si="12"/>
        <v>946523.4345</v>
      </c>
      <c r="H37" s="54">
        <f>H29*H7</f>
        <v>779578.9955</v>
      </c>
      <c r="I37" s="54">
        <f>I29*I7</f>
        <v>214345.8174</v>
      </c>
      <c r="J37" s="54">
        <f>J29*J7</f>
        <v>857358.736</v>
      </c>
      <c r="K37" s="54">
        <f>K29*K7</f>
        <v>692077.088</v>
      </c>
      <c r="L37" s="54">
        <f>L29*L7</f>
        <v>835575.4501</v>
      </c>
      <c r="M37" s="54">
        <f t="shared" si="12"/>
        <v>397077.09599999996</v>
      </c>
      <c r="N37" s="54">
        <f t="shared" si="12"/>
        <v>233563.275</v>
      </c>
      <c r="O37" s="56">
        <f>SUM(B37:N37)</f>
        <v>8449342.6541</v>
      </c>
    </row>
    <row r="38" spans="1:15" ht="18.75" customHeight="1">
      <c r="A38" s="57" t="s">
        <v>51</v>
      </c>
      <c r="B38" s="54">
        <f aca="true" t="shared" si="13" ref="B38:N38">B30*B7</f>
        <v>-3210.71680556</v>
      </c>
      <c r="C38" s="54">
        <f t="shared" si="13"/>
        <v>-2286.99198</v>
      </c>
      <c r="D38" s="54">
        <f t="shared" si="13"/>
        <v>-2201.6207654</v>
      </c>
      <c r="E38" s="54">
        <f t="shared" si="13"/>
        <v>-326.5426944</v>
      </c>
      <c r="F38" s="54">
        <f t="shared" si="13"/>
        <v>-2181.0693157</v>
      </c>
      <c r="G38" s="54">
        <f t="shared" si="13"/>
        <v>-2790.4905000000003</v>
      </c>
      <c r="H38" s="54">
        <f>H30*H7</f>
        <v>-2146.228</v>
      </c>
      <c r="I38" s="54">
        <f>I30*I7</f>
        <v>-602.9808642</v>
      </c>
      <c r="J38" s="54">
        <f>J30*J7</f>
        <v>-2468.0303452</v>
      </c>
      <c r="K38" s="54">
        <f>K30*K7</f>
        <v>-1979.5799232000002</v>
      </c>
      <c r="L38" s="54">
        <f>L30*L7</f>
        <v>-2454.55050112</v>
      </c>
      <c r="M38" s="54">
        <f t="shared" si="13"/>
        <v>-1158.30972972</v>
      </c>
      <c r="N38" s="54">
        <f t="shared" si="13"/>
        <v>-690.91697136</v>
      </c>
      <c r="O38" s="25">
        <f>SUM(B38:N38)</f>
        <v>-24498.028395859998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5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-58801.939999999995</v>
      </c>
      <c r="C42" s="25">
        <f>+C43+C46+C55+C56</f>
        <v>-64706.37000000001</v>
      </c>
      <c r="D42" s="25">
        <f>+D43+D46+D55+D56</f>
        <v>-43593.909999999996</v>
      </c>
      <c r="E42" s="25">
        <f>+E43+E46+E55+E56</f>
        <v>-4442.08</v>
      </c>
      <c r="F42" s="25">
        <f>+F43+F46+F55+F56</f>
        <v>-34667.060000000005</v>
      </c>
      <c r="G42" s="25">
        <f>+G43+G46+G55+G56</f>
        <v>-70722.95999999999</v>
      </c>
      <c r="H42" s="25">
        <f>+H43+H46+H55+H56</f>
        <v>-63999.78</v>
      </c>
      <c r="I42" s="25">
        <f>+I43+I46+I55+I56</f>
        <v>-21345.61</v>
      </c>
      <c r="J42" s="25">
        <f>+J43+J46+J55+J56</f>
        <v>-32473.219999999998</v>
      </c>
      <c r="K42" s="25">
        <f>+K43+K46+K55+K56</f>
        <v>-48551.79</v>
      </c>
      <c r="L42" s="25">
        <f>+L43+L46+L55+L56</f>
        <v>-34521.6</v>
      </c>
      <c r="M42" s="25">
        <f>+M43+M46+M55+M56</f>
        <v>-26107.710000000003</v>
      </c>
      <c r="N42" s="25">
        <f>+N43+N46+N55+N56</f>
        <v>-18120.22</v>
      </c>
      <c r="O42" s="25">
        <f>+O43+O46+O55+O56</f>
        <v>-522054.2500000001</v>
      </c>
    </row>
    <row r="43" spans="1:15" ht="18.75" customHeight="1">
      <c r="A43" s="17" t="s">
        <v>55</v>
      </c>
      <c r="B43" s="26">
        <f>B44+B45</f>
        <v>-71550.2</v>
      </c>
      <c r="C43" s="26">
        <f>C44+C45</f>
        <v>-73670.6</v>
      </c>
      <c r="D43" s="26">
        <f>D44+D45</f>
        <v>-52371.6</v>
      </c>
      <c r="E43" s="26">
        <f>E44+E45</f>
        <v>-5206</v>
      </c>
      <c r="F43" s="26">
        <f aca="true" t="shared" si="15" ref="F43:N43">F44+F45</f>
        <v>-43380.8</v>
      </c>
      <c r="G43" s="26">
        <f t="shared" si="15"/>
        <v>-81103.4</v>
      </c>
      <c r="H43" s="26">
        <f>H44+H45</f>
        <v>-72922</v>
      </c>
      <c r="I43" s="26">
        <f>I44+I45</f>
        <v>-22374.4</v>
      </c>
      <c r="J43" s="26">
        <f>J44+J45</f>
        <v>-42613.2</v>
      </c>
      <c r="K43" s="26">
        <f>K44+K45</f>
        <v>-56612.4</v>
      </c>
      <c r="L43" s="26">
        <f>L44+L45</f>
        <v>-44277.6</v>
      </c>
      <c r="M43" s="26">
        <f t="shared" si="15"/>
        <v>-30601.4</v>
      </c>
      <c r="N43" s="26">
        <f t="shared" si="15"/>
        <v>-20238.8</v>
      </c>
      <c r="O43" s="25">
        <f aca="true" t="shared" si="16" ref="O43:O56">SUM(B43:N43)</f>
        <v>-616922.4000000001</v>
      </c>
    </row>
    <row r="44" spans="1:25" ht="18.75" customHeight="1">
      <c r="A44" s="13" t="s">
        <v>56</v>
      </c>
      <c r="B44" s="20">
        <f>ROUND(-B9*$D$3,2)</f>
        <v>-71550.2</v>
      </c>
      <c r="C44" s="20">
        <f>ROUND(-C9*$D$3,2)</f>
        <v>-73670.6</v>
      </c>
      <c r="D44" s="20">
        <f>ROUND(-D9*$D$3,2)</f>
        <v>-52371.6</v>
      </c>
      <c r="E44" s="20">
        <f>ROUND(-E9*$D$3,2)</f>
        <v>-5206</v>
      </c>
      <c r="F44" s="20">
        <f aca="true" t="shared" si="17" ref="F44:N44">ROUND(-F9*$D$3,2)</f>
        <v>-43380.8</v>
      </c>
      <c r="G44" s="20">
        <f t="shared" si="17"/>
        <v>-81103.4</v>
      </c>
      <c r="H44" s="20">
        <f>ROUND(-H9*$D$3,2)</f>
        <v>-72922</v>
      </c>
      <c r="I44" s="20">
        <f>ROUND(-I9*$D$3,2)</f>
        <v>-22374.4</v>
      </c>
      <c r="J44" s="20">
        <f>ROUND(-J9*$D$3,2)</f>
        <v>-42613.2</v>
      </c>
      <c r="K44" s="20">
        <f>ROUND(-K9*$D$3,2)</f>
        <v>-56612.4</v>
      </c>
      <c r="L44" s="20">
        <f>ROUND(-L9*$D$3,2)</f>
        <v>-44277.6</v>
      </c>
      <c r="M44" s="20">
        <f t="shared" si="17"/>
        <v>-30601.4</v>
      </c>
      <c r="N44" s="20">
        <f t="shared" si="17"/>
        <v>-20238.8</v>
      </c>
      <c r="O44" s="46">
        <f t="shared" si="16"/>
        <v>-616922.4000000001</v>
      </c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</row>
    <row r="46" spans="1:15" ht="18.75" customHeight="1">
      <c r="A46" s="17" t="s">
        <v>58</v>
      </c>
      <c r="B46" s="26">
        <f>SUM(B47:B54)</f>
        <v>12748.26</v>
      </c>
      <c r="C46" s="26">
        <f aca="true" t="shared" si="19" ref="C46:O46">SUM(C47:C54)</f>
        <v>8964.23</v>
      </c>
      <c r="D46" s="26">
        <f t="shared" si="19"/>
        <v>8777.69</v>
      </c>
      <c r="E46" s="26">
        <f t="shared" si="19"/>
        <v>763.9200000000001</v>
      </c>
      <c r="F46" s="26">
        <f t="shared" si="19"/>
        <v>8713.74</v>
      </c>
      <c r="G46" s="26">
        <f t="shared" si="19"/>
        <v>10380.44</v>
      </c>
      <c r="H46" s="26">
        <f t="shared" si="19"/>
        <v>8922.22</v>
      </c>
      <c r="I46" s="26">
        <f t="shared" si="19"/>
        <v>1028.79</v>
      </c>
      <c r="J46" s="26">
        <f t="shared" si="19"/>
        <v>10139.98</v>
      </c>
      <c r="K46" s="26">
        <f t="shared" si="19"/>
        <v>8060.61</v>
      </c>
      <c r="L46" s="26">
        <f t="shared" si="19"/>
        <v>9756</v>
      </c>
      <c r="M46" s="26">
        <f t="shared" si="19"/>
        <v>4493.69</v>
      </c>
      <c r="N46" s="26">
        <f t="shared" si="19"/>
        <v>2118.58</v>
      </c>
      <c r="O46" s="26">
        <f t="shared" si="19"/>
        <v>94868.15000000001</v>
      </c>
    </row>
    <row r="47" spans="1:25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6"/>
        <v>-3500</v>
      </c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105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</row>
    <row r="57" spans="1:15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</row>
    <row r="58" spans="1:25" ht="15.75">
      <c r="A58" s="2" t="s">
        <v>68</v>
      </c>
      <c r="B58" s="29">
        <f>+B36+B42</f>
        <v>1028019.1877944402</v>
      </c>
      <c r="C58" s="29">
        <f>+C36+C42</f>
        <v>724542.0980199999</v>
      </c>
      <c r="D58" s="29">
        <f>+D36+D42</f>
        <v>707653.3136346</v>
      </c>
      <c r="E58" s="29">
        <f>+E36+E42</f>
        <v>130734.55010559999</v>
      </c>
      <c r="F58" s="29">
        <f>+F36+F42</f>
        <v>713599.5104843</v>
      </c>
      <c r="G58" s="29">
        <f>+G36+G42</f>
        <v>875672.1440000001</v>
      </c>
      <c r="H58" s="29">
        <f>+H36+H42</f>
        <v>719179.0674999999</v>
      </c>
      <c r="I58" s="29">
        <f>+I36+I42</f>
        <v>193052.0665358</v>
      </c>
      <c r="J58" s="29">
        <f>+J36+J42</f>
        <v>829022.3056548</v>
      </c>
      <c r="K58" s="29">
        <f>+K36+K42</f>
        <v>647171.6680768</v>
      </c>
      <c r="L58" s="29">
        <f>+L36+L42</f>
        <v>805259.75959888</v>
      </c>
      <c r="M58" s="29">
        <f>+M36+M42</f>
        <v>373417.31627027993</v>
      </c>
      <c r="N58" s="29">
        <f>+N36+N42</f>
        <v>215471.17802864</v>
      </c>
      <c r="O58" s="29">
        <f>SUM(B58:N58)</f>
        <v>7962794.165704141</v>
      </c>
      <c r="P58"/>
      <c r="Q58" s="75"/>
      <c r="R58"/>
      <c r="S58"/>
      <c r="T58"/>
      <c r="U58"/>
      <c r="V58"/>
      <c r="W58"/>
      <c r="X58"/>
      <c r="Y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8.75" customHeight="1">
      <c r="A61" s="2" t="s">
        <v>69</v>
      </c>
      <c r="B61" s="36">
        <f>SUM(B62:B75)</f>
        <v>1028019.19</v>
      </c>
      <c r="C61" s="36">
        <f aca="true" t="shared" si="20" ref="C61:N61">SUM(C62:C75)</f>
        <v>724542.1</v>
      </c>
      <c r="D61" s="36">
        <f t="shared" si="20"/>
        <v>707653.31</v>
      </c>
      <c r="E61" s="36">
        <f t="shared" si="20"/>
        <v>130734.55</v>
      </c>
      <c r="F61" s="36">
        <f t="shared" si="20"/>
        <v>713599.51</v>
      </c>
      <c r="G61" s="36">
        <f t="shared" si="20"/>
        <v>875672.14</v>
      </c>
      <c r="H61" s="36">
        <f t="shared" si="20"/>
        <v>719179.07</v>
      </c>
      <c r="I61" s="36">
        <f t="shared" si="20"/>
        <v>193052.07</v>
      </c>
      <c r="J61" s="36">
        <f t="shared" si="20"/>
        <v>829022.3099999999</v>
      </c>
      <c r="K61" s="36">
        <f t="shared" si="20"/>
        <v>647171.6699999999</v>
      </c>
      <c r="L61" s="36">
        <f t="shared" si="20"/>
        <v>805259.76</v>
      </c>
      <c r="M61" s="36">
        <f t="shared" si="20"/>
        <v>373417.32</v>
      </c>
      <c r="N61" s="36">
        <f t="shared" si="20"/>
        <v>215471.18</v>
      </c>
      <c r="O61" s="29">
        <f>SUM(O62:O75)</f>
        <v>7962794.18</v>
      </c>
    </row>
    <row r="62" spans="1:15" ht="18.75" customHeight="1">
      <c r="A62" s="17" t="s">
        <v>70</v>
      </c>
      <c r="B62" s="36">
        <f>203358.21+567.13</f>
        <v>203925.34</v>
      </c>
      <c r="C62" s="36">
        <f>207021.22</f>
        <v>207021.22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410946.56</v>
      </c>
    </row>
    <row r="63" spans="1:15" ht="18.75" customHeight="1">
      <c r="A63" s="17" t="s">
        <v>71</v>
      </c>
      <c r="B63" s="36">
        <f>820592.33+3501.52</f>
        <v>824093.85</v>
      </c>
      <c r="C63" s="36">
        <f>514671.46+2849.42</f>
        <v>517520.88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1341614.73</v>
      </c>
    </row>
    <row r="64" spans="1:16" ht="18.75" customHeight="1">
      <c r="A64" s="17" t="s">
        <v>72</v>
      </c>
      <c r="B64" s="35">
        <v>0</v>
      </c>
      <c r="C64" s="35">
        <v>0</v>
      </c>
      <c r="D64" s="26">
        <v>707653.31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707653.31</v>
      </c>
      <c r="P64"/>
    </row>
    <row r="65" spans="1:17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130734.55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130734.55</v>
      </c>
      <c r="Q65"/>
    </row>
    <row r="66" spans="1:18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713599.51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713599.51</v>
      </c>
      <c r="R66"/>
    </row>
    <row r="67" spans="1:19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875672.14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875672.14</v>
      </c>
      <c r="S67"/>
    </row>
    <row r="68" spans="1:20" ht="18.75" customHeight="1">
      <c r="A68" s="17" t="s">
        <v>102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715675.71+3503.36</f>
        <v>719179.07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719179.07</v>
      </c>
      <c r="T68"/>
    </row>
    <row r="69" spans="1:20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193052.07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193052.07</v>
      </c>
      <c r="T69"/>
    </row>
    <row r="70" spans="1:21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824964.09+4058.22</f>
        <v>829022.3099999999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829022.3099999999</v>
      </c>
      <c r="U70"/>
    </row>
    <row r="71" spans="1:22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643664.32+3507.35</f>
        <v>647171.6699999999</v>
      </c>
      <c r="L71" s="35">
        <v>0</v>
      </c>
      <c r="M71" s="35">
        <v>0</v>
      </c>
      <c r="N71" s="35">
        <v>0</v>
      </c>
      <c r="O71" s="29">
        <f t="shared" si="21"/>
        <v>647171.6699999999</v>
      </c>
      <c r="V71"/>
    </row>
    <row r="72" spans="1:23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801201.54+4058.22</f>
        <v>805259.76</v>
      </c>
      <c r="M72" s="35">
        <v>0</v>
      </c>
      <c r="N72" s="35">
        <v>0</v>
      </c>
      <c r="O72" s="26">
        <f t="shared" si="21"/>
        <v>805259.76</v>
      </c>
      <c r="W72"/>
    </row>
    <row r="73" spans="1:24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371082.24+2335.08</f>
        <v>373417.32</v>
      </c>
      <c r="N73" s="35">
        <v>0</v>
      </c>
      <c r="O73" s="29">
        <f t="shared" si="21"/>
        <v>373417.32</v>
      </c>
      <c r="X73"/>
    </row>
    <row r="74" spans="1:25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215471.18</v>
      </c>
      <c r="O74" s="26">
        <f t="shared" si="21"/>
        <v>215471.18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</row>
    <row r="76" spans="1:15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5" ht="18.75" customHeight="1">
      <c r="A79" s="17" t="s">
        <v>82</v>
      </c>
      <c r="B79" s="44">
        <v>2.3223769799320575</v>
      </c>
      <c r="C79" s="44">
        <v>2.299679168920229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</row>
    <row r="80" spans="1:15" ht="18.75" customHeight="1">
      <c r="A80" s="17" t="s">
        <v>83</v>
      </c>
      <c r="B80" s="44">
        <v>2.038532409773404</v>
      </c>
      <c r="C80" s="44">
        <v>1.9237180193864503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</row>
    <row r="81" spans="1:16" ht="18.75" customHeight="1">
      <c r="A81" s="17" t="s">
        <v>84</v>
      </c>
      <c r="B81" s="44">
        <v>0</v>
      </c>
      <c r="C81" s="44">
        <v>0</v>
      </c>
      <c r="D81" s="22">
        <f>(D$37+D$38+D$39)/D$7</f>
        <v>1.8680986095877914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P81"/>
    </row>
    <row r="82" spans="1:17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2.6003506868574946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Q82"/>
    </row>
    <row r="83" spans="1:18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2.1812426627458126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R83"/>
    </row>
    <row r="84" spans="1:19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1.7296654585994828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S84"/>
    </row>
    <row r="85" spans="1:20" ht="18.75" customHeight="1">
      <c r="A85" s="17" t="s">
        <v>103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2.034351769709462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T85"/>
    </row>
    <row r="86" spans="1:20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1.9910816086312093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T86"/>
    </row>
    <row r="87" spans="1:21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1.9761810836367157</v>
      </c>
      <c r="K87" s="44">
        <v>0</v>
      </c>
      <c r="L87" s="35">
        <v>0</v>
      </c>
      <c r="M87" s="44">
        <v>0</v>
      </c>
      <c r="N87" s="44">
        <v>0</v>
      </c>
      <c r="O87" s="26"/>
      <c r="U87"/>
    </row>
    <row r="88" spans="1:22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2.2259470443918503</v>
      </c>
      <c r="L88" s="35">
        <v>0</v>
      </c>
      <c r="M88" s="44">
        <v>0</v>
      </c>
      <c r="N88" s="44">
        <v>0</v>
      </c>
      <c r="O88" s="29"/>
      <c r="V88"/>
    </row>
    <row r="89" spans="1:23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22">
        <f>(L$37+L$38+L$39)/L$7</f>
        <v>2.1280760748915366</v>
      </c>
      <c r="M89" s="44">
        <v>0</v>
      </c>
      <c r="N89" s="44">
        <v>0</v>
      </c>
      <c r="O89" s="26"/>
      <c r="W89"/>
    </row>
    <row r="90" spans="1:24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2.5267178953044604</v>
      </c>
      <c r="N90" s="44">
        <v>0</v>
      </c>
      <c r="O90" s="61"/>
      <c r="X90"/>
    </row>
    <row r="91" spans="1:25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2.475298011302864</v>
      </c>
      <c r="O91" s="50"/>
      <c r="Y91"/>
    </row>
    <row r="92" spans="1:13" ht="43.5" customHeight="1">
      <c r="A92" s="74" t="s">
        <v>104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2017-09-27T20:29:12Z</dcterms:modified>
  <cp:category/>
  <cp:version/>
  <cp:contentType/>
  <cp:contentStatus/>
</cp:coreProperties>
</file>