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<sst xmlns="http://schemas.openxmlformats.org/spreadsheetml/2006/main" count="111" uniqueCount="109">
  <si>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</si>
  <si>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</si>
  <si>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</si>
  <si>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</si>
  <si>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</si>
  <si>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</si>
  <si>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</si>
  <si>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</si>
  <si>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</si>
  <si>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</si>
  <si>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</si>
  <si>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</si>
  <si>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</si>
  <si>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</si>
  <si>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</si>
  <si>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</si>
  <si>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</si>
  <si>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</si>
  <si>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</si>
  <si>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</si>
  <si>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</si>
  <si>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</si>
  <si>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</si>
  <si>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</si>
  <si>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</si>
  <si>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</si>
  <si>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</si>
  <si>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</si>
  <si>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</si>
  <si>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</si>
  <si>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</si>
  <si>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</si>
  <si>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</si>
  <si>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</si>
  <si>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</si>
  <si>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</si>
  <si>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</si>
  <si>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</si>
  <si>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</si>
  <si>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</si>
  <si>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</si>
  <si>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</si>
  <si>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</si>
  <si>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</si>
  <si>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</si>
  <si>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</si>
  <si>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</si>
  <si>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</si>
  <si>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</si>
  <si>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</si>
  <si>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</si>
  <si>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</si>
  <si>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</si>
  <si>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</si>
  <si>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</si>
  <si>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</si>
  <si>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</si>
  <si>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</si>
  <si>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</si>
  <si>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</si>
  <si>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</si>
  <si>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</si>
  <si>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</si>
  <si>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</si>
  <si>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</si>
  <si>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</si>
  <si>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</si>
  <si>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</si>
  <si>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</si>
  <si>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</si>
  <si>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</si>
  <si>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</si>
  <si>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</si>
  <si>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</si>
  <si>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</si>
  <si>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</si>
  <si>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</si>
  <si>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</si>
  <si>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</si>
  <si>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</si>
  <si>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</si>
  <si>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</si>
  <si>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</si>
  <si>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</si>
  <si>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</si>
  <si>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</si>
  <si>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</si>
  <si>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</si>
  <si>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</si>
  <si>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</si>
  <si>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</si>
  <si>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</si>
  <si>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</si>
  <si>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</si>
  <si>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20/09/17 - VENCIMENTO 27/09/17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</si>
  <si>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</si>
  <si>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</si>
  <si>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</si>
  <si>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</si>
  <si>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</si>
  <si>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</si>
  <si>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8.7. Movebuss</t>
  </si>
  <si>
    <t>8. Tarifa de Remuneração por Passageiro (2)</t>
  </si>
  <si>
    <t>7.7. Movebuss</t>
  </si>
  <si>
    <t>5.2.8. Ajuste de Remuneração Previsto Contratualmente (1)</t>
  </si>
  <si>
    <t>int pago</t>
  </si>
  <si>
    <t>VC</t>
  </si>
  <si>
    <t>VT</t>
  </si>
  <si>
    <t>Nota: (1) Ajuste de remuneração previsto contratualmente, período de 25/07 a 24/08/17, parcela 14/16.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</si>
</sst>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2" fontId="0" fillId="0" borderId="0" xfId="52" applyNumberFormat="1" applyFont="1" applyAlignment="1">
      <alignment/>
    </xf>
    <xf numFmtId="17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83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83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83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19.25390625" style="1" customWidth="1"/>
    <col min="16" max="16" width="9.00390625" style="1" customWidth="1"/>
    <col min="17" max="17" width="9.375" style="1" bestFit="1" customWidth="1"/>
    <col min="18" max="18" width="9.00390625" style="1" customWidth="1"/>
    <col min="19" max="19" width="9.375" style="1" bestFit="1" customWidth="1"/>
    <col min="20" max="20" width="9.75390625" style="1" bestFit="1" customWidth="1"/>
    <col min="21" max="16384" width="9.00390625" style="1" customWidth="1"/>
  </cols>
  <sheetData>
    <row r="1" spans="1:15" ht="2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69" t="s">
        <v>1</v>
      </c>
      <c r="B4" s="69" t="s">
        <v>38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2</v>
      </c>
    </row>
    <row r="5" spans="1:15" ht="42" customHeight="1">
      <c r="A5" s="69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69"/>
    </row>
    <row r="6" spans="1:15" ht="20.25" customHeight="1">
      <c r="A6" s="69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69"/>
    </row>
    <row r="7" spans="1:26" ht="18.75" customHeight="1">
      <c r="A7" s="9" t="s">
        <v>3</v>
      </c>
      <c r="B7" s="10">
        <f>B8+B20+B24</f>
        <v>534255</v>
      </c>
      <c r="C7" s="10">
        <f>C8+C20+C24</f>
        <v>398154</v>
      </c>
      <c r="D7" s="10">
        <f>D8+D20+D24</f>
        <v>401676</v>
      </c>
      <c r="E7" s="10">
        <f>E8+E20+E24</f>
        <v>54476</v>
      </c>
      <c r="F7" s="10">
        <f aca="true" t="shared" si="0" ref="F7:N7">F8+F20+F24</f>
        <v>350180</v>
      </c>
      <c r="G7" s="10">
        <f t="shared" si="0"/>
        <v>552434</v>
      </c>
      <c r="H7" s="10">
        <f>H8+H20+H24</f>
        <v>387359</v>
      </c>
      <c r="I7" s="10">
        <f>I8+I20+I24</f>
        <v>110032</v>
      </c>
      <c r="J7" s="10">
        <f>J8+J20+J24</f>
        <v>436019</v>
      </c>
      <c r="K7" s="10">
        <f>K8+K20+K24</f>
        <v>316912</v>
      </c>
      <c r="L7" s="10">
        <f>L8+L20+L24</f>
        <v>395896</v>
      </c>
      <c r="M7" s="10">
        <f t="shared" si="0"/>
        <v>155932</v>
      </c>
      <c r="N7" s="10">
        <f t="shared" si="0"/>
        <v>95165</v>
      </c>
      <c r="O7" s="10">
        <f>+O8+O20+O24</f>
        <v>4188490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216871</v>
      </c>
      <c r="C8" s="12">
        <f>+C9+C12+C16</f>
        <v>174918</v>
      </c>
      <c r="D8" s="12">
        <f>+D9+D12+D16</f>
        <v>190038</v>
      </c>
      <c r="E8" s="12">
        <f>+E9+E12+E16</f>
        <v>23321</v>
      </c>
      <c r="F8" s="12">
        <f aca="true" t="shared" si="1" ref="F8:N8">+F9+F12+F16</f>
        <v>151211</v>
      </c>
      <c r="G8" s="12">
        <f t="shared" si="1"/>
        <v>246873</v>
      </c>
      <c r="H8" s="12">
        <f>+H9+H12+H16</f>
        <v>166784</v>
      </c>
      <c r="I8" s="12">
        <f>+I9+I12+I16</f>
        <v>50656</v>
      </c>
      <c r="J8" s="12">
        <f>+J9+J12+J16</f>
        <v>195307</v>
      </c>
      <c r="K8" s="12">
        <f>+K9+K12+K16</f>
        <v>142017</v>
      </c>
      <c r="L8" s="12">
        <f>+L9+L12+L16</f>
        <v>165718</v>
      </c>
      <c r="M8" s="12">
        <f t="shared" si="1"/>
        <v>75861</v>
      </c>
      <c r="N8" s="12">
        <f t="shared" si="1"/>
        <v>47781</v>
      </c>
      <c r="O8" s="12">
        <f>SUM(B8:N8)</f>
        <v>1847356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19194</v>
      </c>
      <c r="C9" s="14">
        <v>19241</v>
      </c>
      <c r="D9" s="14">
        <v>13630</v>
      </c>
      <c r="E9" s="14">
        <v>1397</v>
      </c>
      <c r="F9" s="14">
        <v>11413</v>
      </c>
      <c r="G9" s="14">
        <v>21121</v>
      </c>
      <c r="H9" s="14">
        <v>18940</v>
      </c>
      <c r="I9" s="14">
        <v>5858</v>
      </c>
      <c r="J9" s="14">
        <v>10882</v>
      </c>
      <c r="K9" s="14">
        <v>14617</v>
      </c>
      <c r="L9" s="14">
        <v>11376</v>
      </c>
      <c r="M9" s="14">
        <f>8019+26</f>
        <v>8045</v>
      </c>
      <c r="N9" s="14">
        <v>5261</v>
      </c>
      <c r="O9" s="12">
        <f aca="true" t="shared" si="2" ref="O9:O19">SUM(B9:N9)</f>
        <v>160975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19194</v>
      </c>
      <c r="C10" s="14">
        <f>+C9-C11</f>
        <v>19241</v>
      </c>
      <c r="D10" s="14">
        <f>+D9-D11</f>
        <v>13630</v>
      </c>
      <c r="E10" s="14">
        <f>+E9-E11</f>
        <v>1397</v>
      </c>
      <c r="F10" s="14">
        <f aca="true" t="shared" si="3" ref="F10:N10">+F9-F11</f>
        <v>11413</v>
      </c>
      <c r="G10" s="14">
        <f t="shared" si="3"/>
        <v>21121</v>
      </c>
      <c r="H10" s="14">
        <f>+H9-H11</f>
        <v>18940</v>
      </c>
      <c r="I10" s="14">
        <f>+I9-I11</f>
        <v>5858</v>
      </c>
      <c r="J10" s="14">
        <f>+J9-J11</f>
        <v>10882</v>
      </c>
      <c r="K10" s="14">
        <f>+K9-K11</f>
        <v>14617</v>
      </c>
      <c r="L10" s="14">
        <f>+L9-L11</f>
        <v>11376</v>
      </c>
      <c r="M10" s="14">
        <f t="shared" si="3"/>
        <v>8045</v>
      </c>
      <c r="N10" s="14">
        <f t="shared" si="3"/>
        <v>5261</v>
      </c>
      <c r="O10" s="12">
        <f t="shared" si="2"/>
        <v>160975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185686</v>
      </c>
      <c r="C12" s="14">
        <f>C13+C14+C15</f>
        <v>146627</v>
      </c>
      <c r="D12" s="14">
        <f>D13+D14+D15</f>
        <v>166960</v>
      </c>
      <c r="E12" s="14">
        <f>E13+E14+E15</f>
        <v>20756</v>
      </c>
      <c r="F12" s="14">
        <f aca="true" t="shared" si="4" ref="F12:N12">F13+F14+F15</f>
        <v>131418</v>
      </c>
      <c r="G12" s="14">
        <f t="shared" si="4"/>
        <v>211531</v>
      </c>
      <c r="H12" s="14">
        <f>H13+H14+H15</f>
        <v>139186</v>
      </c>
      <c r="I12" s="14">
        <f>I13+I14+I15</f>
        <v>42072</v>
      </c>
      <c r="J12" s="14">
        <f>J13+J14+J15</f>
        <v>172591</v>
      </c>
      <c r="K12" s="14">
        <f>K13+K14+K15</f>
        <v>119708</v>
      </c>
      <c r="L12" s="14">
        <f>L13+L14+L15</f>
        <v>143780</v>
      </c>
      <c r="M12" s="14">
        <f t="shared" si="4"/>
        <v>64069</v>
      </c>
      <c r="N12" s="14">
        <f t="shared" si="4"/>
        <v>40408</v>
      </c>
      <c r="O12" s="12">
        <f t="shared" si="2"/>
        <v>1584792</v>
      </c>
      <c r="P12"/>
      <c r="Q12"/>
      <c r="R12" t="s">
        <v>105</v>
      </c>
      <c r="S12" t="s">
        <v>106</v>
      </c>
      <c r="T12" t="s">
        <v>107</v>
      </c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88416</v>
      </c>
      <c r="C13" s="14">
        <v>71187</v>
      </c>
      <c r="D13" s="14">
        <v>78280</v>
      </c>
      <c r="E13" s="14">
        <v>10058</v>
      </c>
      <c r="F13" s="14">
        <v>60607</v>
      </c>
      <c r="G13" s="14">
        <v>100453</v>
      </c>
      <c r="H13" s="14">
        <v>69583</v>
      </c>
      <c r="I13" s="14">
        <v>21319</v>
      </c>
      <c r="J13" s="14">
        <v>84894</v>
      </c>
      <c r="K13" s="14">
        <v>57004</v>
      </c>
      <c r="L13" s="14">
        <v>68208</v>
      </c>
      <c r="M13" s="14">
        <v>29756</v>
      </c>
      <c r="N13" s="14">
        <v>18405</v>
      </c>
      <c r="O13" s="12">
        <f t="shared" si="2"/>
        <v>758170</v>
      </c>
      <c r="P13"/>
      <c r="Q13"/>
      <c r="R13">
        <v>4146</v>
      </c>
      <c r="S13" s="71">
        <v>0.46</v>
      </c>
      <c r="T13" s="71">
        <v>0.54</v>
      </c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91725</v>
      </c>
      <c r="C14" s="14">
        <v>68588</v>
      </c>
      <c r="D14" s="14">
        <v>85124</v>
      </c>
      <c r="E14" s="14">
        <v>9933</v>
      </c>
      <c r="F14" s="14">
        <v>66188</v>
      </c>
      <c r="G14" s="14">
        <v>101439</v>
      </c>
      <c r="H14" s="14">
        <v>64559</v>
      </c>
      <c r="I14" s="14">
        <v>19289</v>
      </c>
      <c r="J14" s="14">
        <v>84165</v>
      </c>
      <c r="K14" s="14">
        <v>58711</v>
      </c>
      <c r="L14" s="14">
        <v>71744</v>
      </c>
      <c r="M14" s="14">
        <v>32083</v>
      </c>
      <c r="N14" s="14">
        <v>20906</v>
      </c>
      <c r="O14" s="12">
        <f t="shared" si="2"/>
        <v>774454</v>
      </c>
      <c r="P14"/>
      <c r="Q14"/>
      <c r="R14"/>
      <c r="S14" s="72">
        <f>+R13*S13</f>
        <v>1907.16</v>
      </c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5545</v>
      </c>
      <c r="C15" s="14">
        <v>6852</v>
      </c>
      <c r="D15" s="14">
        <v>3556</v>
      </c>
      <c r="E15" s="14">
        <v>765</v>
      </c>
      <c r="F15" s="14">
        <v>4623</v>
      </c>
      <c r="G15" s="14">
        <v>9639</v>
      </c>
      <c r="H15" s="14">
        <v>5044</v>
      </c>
      <c r="I15" s="14">
        <v>1464</v>
      </c>
      <c r="J15" s="14">
        <v>3532</v>
      </c>
      <c r="K15" s="14">
        <v>3993</v>
      </c>
      <c r="L15" s="14">
        <v>3828</v>
      </c>
      <c r="M15" s="14">
        <v>2230</v>
      </c>
      <c r="N15" s="14">
        <v>1097</v>
      </c>
      <c r="O15" s="12">
        <f t="shared" si="2"/>
        <v>52168</v>
      </c>
      <c r="P15"/>
      <c r="Q15"/>
      <c r="R15"/>
      <c r="S15" s="72">
        <v>1907</v>
      </c>
      <c r="T15" s="72">
        <f>+R13-S15</f>
        <v>2239</v>
      </c>
      <c r="U15"/>
      <c r="V15"/>
      <c r="W15"/>
      <c r="X15"/>
      <c r="Y15"/>
      <c r="Z15"/>
    </row>
    <row r="16" spans="1:20" ht="18.75" customHeight="1">
      <c r="A16" s="16" t="s">
        <v>19</v>
      </c>
      <c r="B16" s="14">
        <f>B17+B18+B19</f>
        <v>11991</v>
      </c>
      <c r="C16" s="14">
        <f>C17+C18+C19</f>
        <v>9050</v>
      </c>
      <c r="D16" s="14">
        <f>D17+D18+D19</f>
        <v>9448</v>
      </c>
      <c r="E16" s="14">
        <f>E17+E18+E19</f>
        <v>1168</v>
      </c>
      <c r="F16" s="14">
        <f aca="true" t="shared" si="5" ref="F16:N16">F17+F18+F19</f>
        <v>8380</v>
      </c>
      <c r="G16" s="14">
        <f t="shared" si="5"/>
        <v>14221</v>
      </c>
      <c r="H16" s="14">
        <f>H17+H18+H19</f>
        <v>8658</v>
      </c>
      <c r="I16" s="14">
        <f>I17+I18+I19</f>
        <v>2726</v>
      </c>
      <c r="J16" s="14">
        <f>J17+J18+J19</f>
        <v>11834</v>
      </c>
      <c r="K16" s="14">
        <f>K17+K18+K19</f>
        <v>7692</v>
      </c>
      <c r="L16" s="14">
        <f>L17+L18+L19</f>
        <v>10562</v>
      </c>
      <c r="M16" s="14">
        <f t="shared" si="5"/>
        <v>3747</v>
      </c>
      <c r="N16" s="14">
        <f t="shared" si="5"/>
        <v>2112</v>
      </c>
      <c r="O16" s="12">
        <f t="shared" si="2"/>
        <v>101589</v>
      </c>
      <c r="S16" s="1">
        <v>24303</v>
      </c>
      <c r="T16" s="1">
        <v>21636</v>
      </c>
    </row>
    <row r="17" spans="1:26" ht="18.75" customHeight="1">
      <c r="A17" s="15" t="s">
        <v>16</v>
      </c>
      <c r="B17" s="14">
        <v>11923</v>
      </c>
      <c r="C17" s="14">
        <v>8982</v>
      </c>
      <c r="D17" s="14">
        <v>9381</v>
      </c>
      <c r="E17" s="14">
        <v>1156</v>
      </c>
      <c r="F17" s="14">
        <v>8327</v>
      </c>
      <c r="G17" s="14">
        <v>14137</v>
      </c>
      <c r="H17" s="14">
        <v>8608</v>
      </c>
      <c r="I17" s="14">
        <v>2711</v>
      </c>
      <c r="J17" s="14">
        <v>11772</v>
      </c>
      <c r="K17" s="14">
        <v>7627</v>
      </c>
      <c r="L17" s="14">
        <v>10487</v>
      </c>
      <c r="M17" s="14">
        <f>1873+1842</f>
        <v>3715</v>
      </c>
      <c r="N17" s="14">
        <v>2082</v>
      </c>
      <c r="O17" s="12">
        <f t="shared" si="2"/>
        <v>100908</v>
      </c>
      <c r="P17"/>
      <c r="Q17"/>
      <c r="R17"/>
      <c r="S17" s="73">
        <f>+S16-S15</f>
        <v>22396</v>
      </c>
      <c r="T17" s="73">
        <f>+T16-T15</f>
        <v>19397</v>
      </c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63</v>
      </c>
      <c r="C18" s="14">
        <v>54</v>
      </c>
      <c r="D18" s="14">
        <v>66</v>
      </c>
      <c r="E18" s="14">
        <v>11</v>
      </c>
      <c r="F18" s="14">
        <v>48</v>
      </c>
      <c r="G18" s="14">
        <v>70</v>
      </c>
      <c r="H18" s="14">
        <v>48</v>
      </c>
      <c r="I18" s="14">
        <v>15</v>
      </c>
      <c r="J18" s="14">
        <v>54</v>
      </c>
      <c r="K18" s="14">
        <v>59</v>
      </c>
      <c r="L18" s="14">
        <v>73</v>
      </c>
      <c r="M18" s="14">
        <f>18+11</f>
        <v>29</v>
      </c>
      <c r="N18" s="14">
        <v>28</v>
      </c>
      <c r="O18" s="12">
        <f t="shared" si="2"/>
        <v>618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14</v>
      </c>
      <c r="D19" s="14">
        <v>1</v>
      </c>
      <c r="E19" s="14">
        <v>1</v>
      </c>
      <c r="F19" s="14">
        <v>5</v>
      </c>
      <c r="G19" s="14">
        <v>14</v>
      </c>
      <c r="H19" s="14">
        <v>2</v>
      </c>
      <c r="I19" s="14">
        <v>0</v>
      </c>
      <c r="J19" s="14">
        <v>8</v>
      </c>
      <c r="K19" s="14">
        <v>6</v>
      </c>
      <c r="L19" s="14">
        <v>2</v>
      </c>
      <c r="M19" s="14">
        <f>2+1</f>
        <v>3</v>
      </c>
      <c r="N19" s="14">
        <v>2</v>
      </c>
      <c r="O19" s="12">
        <f t="shared" si="2"/>
        <v>63</v>
      </c>
      <c r="P19"/>
      <c r="Q19"/>
      <c r="R19"/>
      <c r="S19">
        <v>27849</v>
      </c>
      <c r="T19">
        <v>29844</v>
      </c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138187</v>
      </c>
      <c r="C20" s="18">
        <f>C21+C22+C23</f>
        <v>87947</v>
      </c>
      <c r="D20" s="18">
        <f>D21+D22+D23</f>
        <v>81377</v>
      </c>
      <c r="E20" s="18">
        <f>E21+E22+E23</f>
        <v>11209</v>
      </c>
      <c r="F20" s="18">
        <f aca="true" t="shared" si="6" ref="F20:N20">F21+F22+F23</f>
        <v>71409</v>
      </c>
      <c r="G20" s="18">
        <f t="shared" si="6"/>
        <v>114472</v>
      </c>
      <c r="H20" s="18">
        <f>H21+H22+H23</f>
        <v>93146</v>
      </c>
      <c r="I20" s="18">
        <f>I21+I22+I23</f>
        <v>25774</v>
      </c>
      <c r="J20" s="18">
        <f>J21+J22+J23</f>
        <v>109112</v>
      </c>
      <c r="K20" s="18">
        <f>K21+K22+K23</f>
        <v>73778</v>
      </c>
      <c r="L20" s="18">
        <f>L21+L22+L23</f>
        <v>116129</v>
      </c>
      <c r="M20" s="18">
        <f t="shared" si="6"/>
        <v>42768</v>
      </c>
      <c r="N20" s="18">
        <f t="shared" si="6"/>
        <v>24824</v>
      </c>
      <c r="O20" s="12">
        <f aca="true" t="shared" si="7" ref="O20:O26">SUM(B20:N20)</f>
        <v>990132</v>
      </c>
      <c r="P20"/>
      <c r="Q20"/>
      <c r="R20"/>
      <c r="S20" s="73">
        <f>+S19+S15</f>
        <v>29756</v>
      </c>
      <c r="T20" s="73">
        <f>+T19+T15</f>
        <v>32083</v>
      </c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71356</v>
      </c>
      <c r="C21" s="14">
        <v>48205</v>
      </c>
      <c r="D21" s="14">
        <v>42501</v>
      </c>
      <c r="E21" s="14">
        <v>6139</v>
      </c>
      <c r="F21" s="14">
        <v>36643</v>
      </c>
      <c r="G21" s="14">
        <v>60776</v>
      </c>
      <c r="H21" s="14">
        <v>52120</v>
      </c>
      <c r="I21" s="14">
        <v>14693</v>
      </c>
      <c r="J21" s="14">
        <v>59356</v>
      </c>
      <c r="K21" s="14">
        <v>39365</v>
      </c>
      <c r="L21" s="14">
        <v>59713</v>
      </c>
      <c r="M21" s="14">
        <v>22396</v>
      </c>
      <c r="N21" s="14">
        <v>12683</v>
      </c>
      <c r="O21" s="12">
        <f t="shared" si="7"/>
        <v>525946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63921</v>
      </c>
      <c r="C22" s="14">
        <v>37207</v>
      </c>
      <c r="D22" s="14">
        <v>37554</v>
      </c>
      <c r="E22" s="14">
        <v>4793</v>
      </c>
      <c r="F22" s="14">
        <v>32990</v>
      </c>
      <c r="G22" s="14">
        <v>50296</v>
      </c>
      <c r="H22" s="14">
        <v>39100</v>
      </c>
      <c r="I22" s="14">
        <v>10538</v>
      </c>
      <c r="J22" s="14">
        <v>47918</v>
      </c>
      <c r="K22" s="14">
        <v>32900</v>
      </c>
      <c r="L22" s="14">
        <v>54252</v>
      </c>
      <c r="M22" s="14">
        <v>19397</v>
      </c>
      <c r="N22" s="14">
        <v>11679</v>
      </c>
      <c r="O22" s="12">
        <f t="shared" si="7"/>
        <v>442545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2910</v>
      </c>
      <c r="C23" s="14">
        <v>2535</v>
      </c>
      <c r="D23" s="14">
        <v>1322</v>
      </c>
      <c r="E23" s="14">
        <v>277</v>
      </c>
      <c r="F23" s="14">
        <v>1776</v>
      </c>
      <c r="G23" s="14">
        <v>3400</v>
      </c>
      <c r="H23" s="14">
        <v>1926</v>
      </c>
      <c r="I23" s="14">
        <v>543</v>
      </c>
      <c r="J23" s="14">
        <v>1838</v>
      </c>
      <c r="K23" s="14">
        <v>1513</v>
      </c>
      <c r="L23" s="14">
        <v>2164</v>
      </c>
      <c r="M23" s="14">
        <v>975</v>
      </c>
      <c r="N23" s="14">
        <v>462</v>
      </c>
      <c r="O23" s="12">
        <f t="shared" si="7"/>
        <v>21641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179197</v>
      </c>
      <c r="C24" s="14">
        <f>C25+C26</f>
        <v>135289</v>
      </c>
      <c r="D24" s="14">
        <f>D25+D26</f>
        <v>130261</v>
      </c>
      <c r="E24" s="14">
        <f>E25+E26</f>
        <v>19946</v>
      </c>
      <c r="F24" s="14">
        <f aca="true" t="shared" si="8" ref="F24:N24">F25+F26</f>
        <v>127560</v>
      </c>
      <c r="G24" s="14">
        <f t="shared" si="8"/>
        <v>191089</v>
      </c>
      <c r="H24" s="14">
        <f>H25+H26</f>
        <v>127429</v>
      </c>
      <c r="I24" s="14">
        <f>I25+I26</f>
        <v>33602</v>
      </c>
      <c r="J24" s="14">
        <f>J25+J26</f>
        <v>131600</v>
      </c>
      <c r="K24" s="14">
        <f>K25+K26</f>
        <v>101117</v>
      </c>
      <c r="L24" s="14">
        <f>L25+L26</f>
        <v>114049</v>
      </c>
      <c r="M24" s="14">
        <f t="shared" si="8"/>
        <v>37303</v>
      </c>
      <c r="N24" s="14">
        <f t="shared" si="8"/>
        <v>22560</v>
      </c>
      <c r="O24" s="12">
        <f t="shared" si="7"/>
        <v>1351002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71257</v>
      </c>
      <c r="C25" s="14">
        <v>61456</v>
      </c>
      <c r="D25" s="14">
        <v>58891</v>
      </c>
      <c r="E25" s="14">
        <v>10094</v>
      </c>
      <c r="F25" s="14">
        <v>57936</v>
      </c>
      <c r="G25" s="14">
        <v>91697</v>
      </c>
      <c r="H25" s="14">
        <v>61583</v>
      </c>
      <c r="I25" s="14">
        <v>18223</v>
      </c>
      <c r="J25" s="14">
        <v>55386</v>
      </c>
      <c r="K25" s="14">
        <v>48099</v>
      </c>
      <c r="L25" s="14">
        <v>48053</v>
      </c>
      <c r="M25" s="14">
        <v>15754</v>
      </c>
      <c r="N25" s="14">
        <v>8312</v>
      </c>
      <c r="O25" s="12">
        <f t="shared" si="7"/>
        <v>606741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107940</v>
      </c>
      <c r="C26" s="14">
        <v>73833</v>
      </c>
      <c r="D26" s="14">
        <v>71370</v>
      </c>
      <c r="E26" s="14">
        <v>9852</v>
      </c>
      <c r="F26" s="14">
        <v>69624</v>
      </c>
      <c r="G26" s="14">
        <v>99392</v>
      </c>
      <c r="H26" s="14">
        <v>65846</v>
      </c>
      <c r="I26" s="14">
        <v>15379</v>
      </c>
      <c r="J26" s="14">
        <v>76214</v>
      </c>
      <c r="K26" s="14">
        <v>53018</v>
      </c>
      <c r="L26" s="14">
        <v>65996</v>
      </c>
      <c r="M26" s="14">
        <v>21549</v>
      </c>
      <c r="N26" s="14">
        <v>14248</v>
      </c>
      <c r="O26" s="12">
        <f t="shared" si="7"/>
        <v>744261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1120021.5355323001</v>
      </c>
      <c r="C36" s="60">
        <f aca="true" t="shared" si="11" ref="C36:N36">C37+C38+C39+C40</f>
        <v>806379.7470969999</v>
      </c>
      <c r="D36" s="60">
        <f t="shared" si="11"/>
        <v>760530.6714837999</v>
      </c>
      <c r="E36" s="60">
        <f t="shared" si="11"/>
        <v>141625.7227584</v>
      </c>
      <c r="F36" s="60">
        <f t="shared" si="11"/>
        <v>763782.607069</v>
      </c>
      <c r="G36" s="60">
        <f t="shared" si="11"/>
        <v>955500.3232000001</v>
      </c>
      <c r="H36" s="60">
        <f>H37+H38+H39+H40</f>
        <v>791503.8115</v>
      </c>
      <c r="I36" s="60">
        <f>I37+I38+I39+I40</f>
        <v>219068.3820064</v>
      </c>
      <c r="J36" s="60">
        <f>J37+J38+J39+J40</f>
        <v>865698.2007242</v>
      </c>
      <c r="K36" s="60">
        <f>K37+K38+K39+K40</f>
        <v>708896.2392815999</v>
      </c>
      <c r="L36" s="60">
        <f>L37+L38+L39+L40</f>
        <v>846533.93418496</v>
      </c>
      <c r="M36" s="60">
        <f t="shared" si="11"/>
        <v>396341.47614275996</v>
      </c>
      <c r="N36" s="60">
        <f t="shared" si="11"/>
        <v>235555.6701624</v>
      </c>
      <c r="O36" s="60">
        <f>O37+O38+O39+O40</f>
        <v>8611438.321142819</v>
      </c>
    </row>
    <row r="37" spans="1:15" ht="18.75" customHeight="1">
      <c r="A37" s="57" t="s">
        <v>50</v>
      </c>
      <c r="B37" s="54">
        <f aca="true" t="shared" si="12" ref="B37:N37">B29*B7</f>
        <v>1116005.2695000002</v>
      </c>
      <c r="C37" s="54">
        <f t="shared" si="12"/>
        <v>803474.7719999999</v>
      </c>
      <c r="D37" s="54">
        <f t="shared" si="12"/>
        <v>750411.1032</v>
      </c>
      <c r="E37" s="54">
        <f t="shared" si="12"/>
        <v>141321.6392</v>
      </c>
      <c r="F37" s="54">
        <f t="shared" si="12"/>
        <v>763847.634</v>
      </c>
      <c r="G37" s="54">
        <f t="shared" si="12"/>
        <v>955655.5766</v>
      </c>
      <c r="H37" s="54">
        <f>H29*H7</f>
        <v>787926.9419</v>
      </c>
      <c r="I37" s="54">
        <f>I29*I7</f>
        <v>219029.6992</v>
      </c>
      <c r="J37" s="54">
        <f>J29*J7</f>
        <v>861573.544</v>
      </c>
      <c r="K37" s="54">
        <f>K29*K7</f>
        <v>705287.656</v>
      </c>
      <c r="L37" s="54">
        <f>L29*L7</f>
        <v>842347.9192</v>
      </c>
      <c r="M37" s="54">
        <f t="shared" si="12"/>
        <v>393884.23199999996</v>
      </c>
      <c r="N37" s="54">
        <f t="shared" si="12"/>
        <v>235533.375</v>
      </c>
      <c r="O37" s="56">
        <f>SUM(B37:N37)</f>
        <v>8576299.3618</v>
      </c>
    </row>
    <row r="38" spans="1:15" ht="18.75" customHeight="1">
      <c r="A38" s="57" t="s">
        <v>51</v>
      </c>
      <c r="B38" s="54">
        <f aca="true" t="shared" si="13" ref="B38:N38">B30*B7</f>
        <v>-3309.4639677</v>
      </c>
      <c r="C38" s="54">
        <f t="shared" si="13"/>
        <v>-2336.964903</v>
      </c>
      <c r="D38" s="54">
        <f t="shared" si="13"/>
        <v>-2229.2817161999997</v>
      </c>
      <c r="E38" s="54">
        <f t="shared" si="13"/>
        <v>-342.1964416</v>
      </c>
      <c r="F38" s="54">
        <f t="shared" si="13"/>
        <v>-2226.426931</v>
      </c>
      <c r="G38" s="54">
        <f t="shared" si="13"/>
        <v>-2817.4134000000004</v>
      </c>
      <c r="H38" s="54">
        <f>H30*H7</f>
        <v>-2169.2104</v>
      </c>
      <c r="I38" s="54">
        <f>I30*I7</f>
        <v>-616.1571936</v>
      </c>
      <c r="J38" s="54">
        <f>J30*J7</f>
        <v>-2480.1632758</v>
      </c>
      <c r="K38" s="54">
        <f>K30*K7</f>
        <v>-2017.3667184</v>
      </c>
      <c r="L38" s="54">
        <f>L30*L7</f>
        <v>-2474.44501504</v>
      </c>
      <c r="M38" s="54">
        <f t="shared" si="13"/>
        <v>-1148.9958572399999</v>
      </c>
      <c r="N38" s="54">
        <f t="shared" si="13"/>
        <v>-696.7448376</v>
      </c>
      <c r="O38" s="25">
        <f>SUM(B38:N38)</f>
        <v>-24864.83065718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-60188.939999999995</v>
      </c>
      <c r="C42" s="25">
        <f>+C43+C46+C55+C56</f>
        <v>-64151.57000000001</v>
      </c>
      <c r="D42" s="25">
        <f>+D43+D46+D55+D56</f>
        <v>-43016.31</v>
      </c>
      <c r="E42" s="25">
        <f>+E43+E46+E55+E56</f>
        <v>-8044.68</v>
      </c>
      <c r="F42" s="25">
        <f>+F43+F46+F55+F56</f>
        <v>-34655.66</v>
      </c>
      <c r="G42" s="25">
        <f>+G43+G46+G55+G56</f>
        <v>-69879.36</v>
      </c>
      <c r="H42" s="25">
        <f>+H43+H46+H55+H56</f>
        <v>-63049.78</v>
      </c>
      <c r="I42" s="25">
        <f>+I43+I46+I55+I56</f>
        <v>-21231.61</v>
      </c>
      <c r="J42" s="25">
        <f>+J43+J46+J55+J56</f>
        <v>-31211.62</v>
      </c>
      <c r="K42" s="25">
        <f>+K43+K46+K55+K56</f>
        <v>-47483.99</v>
      </c>
      <c r="L42" s="25">
        <f>+L43+L46+L55+L56</f>
        <v>-33472.8</v>
      </c>
      <c r="M42" s="25">
        <f>+M43+M46+M55+M56</f>
        <v>-26077.31</v>
      </c>
      <c r="N42" s="25">
        <f>+N43+N46+N55+N56</f>
        <v>-17873.22</v>
      </c>
      <c r="O42" s="25">
        <f>+O43+O46+O55+O56</f>
        <v>-520336.85</v>
      </c>
    </row>
    <row r="43" spans="1:15" ht="18.75" customHeight="1">
      <c r="A43" s="17" t="s">
        <v>55</v>
      </c>
      <c r="B43" s="26">
        <f>B44+B45</f>
        <v>-72937.2</v>
      </c>
      <c r="C43" s="26">
        <f>C44+C45</f>
        <v>-73115.8</v>
      </c>
      <c r="D43" s="26">
        <f>D44+D45</f>
        <v>-51794</v>
      </c>
      <c r="E43" s="26">
        <f>E44+E45</f>
        <v>-5308.6</v>
      </c>
      <c r="F43" s="26">
        <f aca="true" t="shared" si="15" ref="F43:N43">F44+F45</f>
        <v>-43369.4</v>
      </c>
      <c r="G43" s="26">
        <f t="shared" si="15"/>
        <v>-80259.8</v>
      </c>
      <c r="H43" s="26">
        <f>H44+H45</f>
        <v>-71972</v>
      </c>
      <c r="I43" s="26">
        <f>I44+I45</f>
        <v>-22260.4</v>
      </c>
      <c r="J43" s="26">
        <f>J44+J45</f>
        <v>-41351.6</v>
      </c>
      <c r="K43" s="26">
        <f>K44+K45</f>
        <v>-55544.6</v>
      </c>
      <c r="L43" s="26">
        <f>L44+L45</f>
        <v>-43228.8</v>
      </c>
      <c r="M43" s="26">
        <f t="shared" si="15"/>
        <v>-30571</v>
      </c>
      <c r="N43" s="26">
        <f t="shared" si="15"/>
        <v>-19991.8</v>
      </c>
      <c r="O43" s="25">
        <f aca="true" t="shared" si="16" ref="O43:O56">SUM(B43:N43)</f>
        <v>-611705</v>
      </c>
    </row>
    <row r="44" spans="1:26" ht="18.75" customHeight="1">
      <c r="A44" s="13" t="s">
        <v>56</v>
      </c>
      <c r="B44" s="20">
        <f>ROUND(-B9*$D$3,2)</f>
        <v>-72937.2</v>
      </c>
      <c r="C44" s="20">
        <f>ROUND(-C9*$D$3,2)</f>
        <v>-73115.8</v>
      </c>
      <c r="D44" s="20">
        <f>ROUND(-D9*$D$3,2)</f>
        <v>-51794</v>
      </c>
      <c r="E44" s="20">
        <f>ROUND(-E9*$D$3,2)</f>
        <v>-5308.6</v>
      </c>
      <c r="F44" s="20">
        <f aca="true" t="shared" si="17" ref="F44:N44">ROUND(-F9*$D$3,2)</f>
        <v>-43369.4</v>
      </c>
      <c r="G44" s="20">
        <f t="shared" si="17"/>
        <v>-80259.8</v>
      </c>
      <c r="H44" s="20">
        <f>ROUND(-H9*$D$3,2)</f>
        <v>-71972</v>
      </c>
      <c r="I44" s="20">
        <f>ROUND(-I9*$D$3,2)</f>
        <v>-22260.4</v>
      </c>
      <c r="J44" s="20">
        <f>ROUND(-J9*$D$3,2)</f>
        <v>-41351.6</v>
      </c>
      <c r="K44" s="20">
        <f>ROUND(-K9*$D$3,2)</f>
        <v>-55544.6</v>
      </c>
      <c r="L44" s="20">
        <f>ROUND(-L9*$D$3,2)</f>
        <v>-43228.8</v>
      </c>
      <c r="M44" s="20">
        <f t="shared" si="17"/>
        <v>-30571</v>
      </c>
      <c r="N44" s="20">
        <f t="shared" si="17"/>
        <v>-19991.8</v>
      </c>
      <c r="O44" s="46">
        <f t="shared" si="16"/>
        <v>-611705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 aca="true" t="shared" si="19" ref="B46:M46">SUM(B47:B54)</f>
        <v>12748.26</v>
      </c>
      <c r="C46" s="26">
        <f t="shared" si="19"/>
        <v>8964.23</v>
      </c>
      <c r="D46" s="26">
        <f t="shared" si="19"/>
        <v>8777.69</v>
      </c>
      <c r="E46" s="26">
        <f t="shared" si="19"/>
        <v>-2736.08</v>
      </c>
      <c r="F46" s="26">
        <f t="shared" si="19"/>
        <v>8713.74</v>
      </c>
      <c r="G46" s="26">
        <f t="shared" si="19"/>
        <v>10380.44</v>
      </c>
      <c r="H46" s="26">
        <f t="shared" si="19"/>
        <v>8922.22</v>
      </c>
      <c r="I46" s="26">
        <f t="shared" si="19"/>
        <v>1028.79</v>
      </c>
      <c r="J46" s="26">
        <f t="shared" si="19"/>
        <v>10139.98</v>
      </c>
      <c r="K46" s="26">
        <f t="shared" si="19"/>
        <v>8060.61</v>
      </c>
      <c r="L46" s="26">
        <f t="shared" si="19"/>
        <v>9756</v>
      </c>
      <c r="M46" s="26">
        <f t="shared" si="19"/>
        <v>4493.69</v>
      </c>
      <c r="N46" s="26">
        <f>SUM(N47:N54)</f>
        <v>2118.58</v>
      </c>
      <c r="O46" s="26">
        <f>SUM(O47:O54)</f>
        <v>91368.15000000001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-4500</v>
      </c>
      <c r="F49" s="24">
        <v>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6"/>
        <v>-7000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104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6"/>
        <v>98368.15000000001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20"/>
    </row>
    <row r="58" spans="1:26" ht="15.75">
      <c r="A58" s="2" t="s">
        <v>68</v>
      </c>
      <c r="B58" s="29">
        <f>+B36+B42</f>
        <v>1059832.5955323002</v>
      </c>
      <c r="C58" s="29">
        <f>+C36+C42</f>
        <v>742228.177097</v>
      </c>
      <c r="D58" s="29">
        <f>+D36+D42</f>
        <v>717514.3614838</v>
      </c>
      <c r="E58" s="29">
        <f>+E36+E42</f>
        <v>133581.0427584</v>
      </c>
      <c r="F58" s="29">
        <f>+F36+F42</f>
        <v>729126.947069</v>
      </c>
      <c r="G58" s="29">
        <f>+G36+G42</f>
        <v>885620.9632000001</v>
      </c>
      <c r="H58" s="29">
        <f>+H36+H42</f>
        <v>728454.0314999999</v>
      </c>
      <c r="I58" s="29">
        <f>+I36+I42</f>
        <v>197836.7720064</v>
      </c>
      <c r="J58" s="29">
        <f>+J36+J42</f>
        <v>834486.5807242</v>
      </c>
      <c r="K58" s="29">
        <f>+K36+K42</f>
        <v>661412.2492815999</v>
      </c>
      <c r="L58" s="29">
        <f>+L36+L42</f>
        <v>813061.1341849599</v>
      </c>
      <c r="M58" s="29">
        <f>+M36+M42</f>
        <v>370264.16614275996</v>
      </c>
      <c r="N58" s="29">
        <f>+N36+N42</f>
        <v>217682.4501624</v>
      </c>
      <c r="O58" s="29">
        <f>SUM(B58:N58)</f>
        <v>8091101.47114282</v>
      </c>
      <c r="P58"/>
      <c r="Q58" s="74"/>
      <c r="R58"/>
      <c r="S58"/>
      <c r="T58"/>
      <c r="U58"/>
      <c r="V58"/>
      <c r="W58"/>
      <c r="X58"/>
      <c r="Y58"/>
      <c r="Z58"/>
    </row>
    <row r="59" spans="1:15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8.75" customHeight="1">
      <c r="A61" s="2" t="s">
        <v>69</v>
      </c>
      <c r="B61" s="36">
        <f>SUM(B62:B75)</f>
        <v>1059832.6</v>
      </c>
      <c r="C61" s="36">
        <f aca="true" t="shared" si="20" ref="C61:N61">SUM(C62:C75)</f>
        <v>742228.18</v>
      </c>
      <c r="D61" s="36">
        <f t="shared" si="20"/>
        <v>717514.36</v>
      </c>
      <c r="E61" s="36">
        <f t="shared" si="20"/>
        <v>133581.04</v>
      </c>
      <c r="F61" s="36">
        <f t="shared" si="20"/>
        <v>729126.94</v>
      </c>
      <c r="G61" s="36">
        <f t="shared" si="20"/>
        <v>885620.97</v>
      </c>
      <c r="H61" s="36">
        <f t="shared" si="20"/>
        <v>728454.03</v>
      </c>
      <c r="I61" s="36">
        <f t="shared" si="20"/>
        <v>197836.77</v>
      </c>
      <c r="J61" s="36">
        <f t="shared" si="20"/>
        <v>834486.58</v>
      </c>
      <c r="K61" s="36">
        <f t="shared" si="20"/>
        <v>661412.25</v>
      </c>
      <c r="L61" s="36">
        <f t="shared" si="20"/>
        <v>813061.13</v>
      </c>
      <c r="M61" s="36">
        <f t="shared" si="20"/>
        <v>370264.16000000003</v>
      </c>
      <c r="N61" s="36">
        <f t="shared" si="20"/>
        <v>217682.46</v>
      </c>
      <c r="O61" s="29">
        <f>SUM(O62:O75)</f>
        <v>8091101.47</v>
      </c>
    </row>
    <row r="62" spans="1:16" ht="18.75" customHeight="1">
      <c r="A62" s="17" t="s">
        <v>70</v>
      </c>
      <c r="B62" s="36">
        <f>205618.37+567.13</f>
        <v>206185.5</v>
      </c>
      <c r="C62" s="36">
        <f>212626.9</f>
        <v>212626.9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418812.4</v>
      </c>
      <c r="P62"/>
    </row>
    <row r="63" spans="1:16" ht="18.75" customHeight="1">
      <c r="A63" s="17" t="s">
        <v>71</v>
      </c>
      <c r="B63" s="36">
        <f>850145.58+3501.52</f>
        <v>853647.1</v>
      </c>
      <c r="C63" s="36">
        <f>526751.86+2849.42</f>
        <v>529601.28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1383248.38</v>
      </c>
      <c r="P63"/>
    </row>
    <row r="64" spans="1:17" ht="18.75" customHeight="1">
      <c r="A64" s="17" t="s">
        <v>72</v>
      </c>
      <c r="B64" s="35">
        <v>0</v>
      </c>
      <c r="C64" s="35">
        <v>0</v>
      </c>
      <c r="D64" s="26">
        <v>717514.36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717514.36</v>
      </c>
      <c r="Q64"/>
    </row>
    <row r="65" spans="1:18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133581.04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133581.04</v>
      </c>
      <c r="R65"/>
    </row>
    <row r="66" spans="1:19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729126.94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729126.94</v>
      </c>
      <c r="S66"/>
    </row>
    <row r="67" spans="1:20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885620.97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885620.97</v>
      </c>
      <c r="T67"/>
    </row>
    <row r="68" spans="1:21" ht="18.75" customHeight="1">
      <c r="A68" s="17" t="s">
        <v>103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724950.67+3503.36</f>
        <v>728454.03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728454.03</v>
      </c>
      <c r="U68"/>
    </row>
    <row r="69" spans="1:21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197836.77</f>
        <v>197836.77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197836.77</v>
      </c>
      <c r="U69"/>
    </row>
    <row r="70" spans="1:22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830428.36+4058.22</f>
        <v>834486.58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834486.58</v>
      </c>
      <c r="V70"/>
    </row>
    <row r="71" spans="1:23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657904.9+3507.35</f>
        <v>661412.25</v>
      </c>
      <c r="L71" s="35">
        <v>0</v>
      </c>
      <c r="M71" s="35">
        <v>0</v>
      </c>
      <c r="N71" s="35">
        <v>0</v>
      </c>
      <c r="O71" s="29">
        <f t="shared" si="21"/>
        <v>661412.25</v>
      </c>
      <c r="W71"/>
    </row>
    <row r="72" spans="1:24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809002.91+4058.22</f>
        <v>813061.13</v>
      </c>
      <c r="M72" s="35">
        <v>0</v>
      </c>
      <c r="N72" s="35">
        <v>0</v>
      </c>
      <c r="O72" s="26">
        <f t="shared" si="21"/>
        <v>813061.13</v>
      </c>
      <c r="X72"/>
    </row>
    <row r="73" spans="1:25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367929.08+2335.08</f>
        <v>370264.16000000003</v>
      </c>
      <c r="N73" s="35">
        <v>0</v>
      </c>
      <c r="O73" s="29">
        <f t="shared" si="21"/>
        <v>370264.16000000003</v>
      </c>
      <c r="Y73"/>
    </row>
    <row r="74" spans="1:26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217682.46</v>
      </c>
      <c r="O74" s="26">
        <f t="shared" si="21"/>
        <v>217682.46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2.3294976866944452</v>
      </c>
      <c r="C79" s="44">
        <v>2.298167566545599</v>
      </c>
      <c r="D79" s="44">
        <v>0</v>
      </c>
      <c r="E79" s="44">
        <v>0</v>
      </c>
      <c r="F79" s="35">
        <v>0</v>
      </c>
      <c r="G79" s="35">
        <v>0</v>
      </c>
      <c r="H79" s="35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2.038311212657122</v>
      </c>
      <c r="C80" s="44">
        <v>1.9235970771923576</v>
      </c>
      <c r="D80" s="44">
        <v>0</v>
      </c>
      <c r="E80" s="44">
        <v>0</v>
      </c>
      <c r="F80" s="35">
        <v>0</v>
      </c>
      <c r="G80" s="35">
        <v>0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7" ht="18.75" customHeight="1">
      <c r="A81" s="17" t="s">
        <v>84</v>
      </c>
      <c r="B81" s="44">
        <v>0</v>
      </c>
      <c r="C81" s="44">
        <v>0</v>
      </c>
      <c r="D81" s="22">
        <f>(D$37+D$38+D$39)/D$7</f>
        <v>1.868031003803563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</row>
    <row r="82" spans="1:18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2.5997819729495557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R82"/>
    </row>
    <row r="83" spans="1:19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2.181114304269233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S83"/>
    </row>
    <row r="84" spans="1:20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1.7296189647994151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T84"/>
    </row>
    <row r="85" spans="1:21" ht="18.75" customHeight="1">
      <c r="A85" s="17" t="s">
        <v>101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2.034289771245795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U85"/>
    </row>
    <row r="86" spans="1:21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>
        <v>0</v>
      </c>
      <c r="I86" s="44">
        <f>(I$37+I$38+I$39)/I$7</f>
        <v>1.9909515596044787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U86"/>
    </row>
    <row r="87" spans="1:22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>
        <v>0</v>
      </c>
      <c r="I87" s="44">
        <v>0</v>
      </c>
      <c r="J87" s="44">
        <f>(J$37+J$38+J$39)/J$7</f>
        <v>1.9761523711677702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v>0</v>
      </c>
      <c r="J88" s="44">
        <v>0</v>
      </c>
      <c r="K88" s="44">
        <f>(K$37+K$38+K$39)/K$7</f>
        <v>2.2258194365678796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v>0</v>
      </c>
      <c r="K89" s="44">
        <v>0</v>
      </c>
      <c r="L89" s="22">
        <f>(L$37+L$38+L$39)/L$7</f>
        <v>2.128022799384081</v>
      </c>
      <c r="M89" s="44">
        <v>0</v>
      </c>
      <c r="N89" s="44">
        <v>0</v>
      </c>
      <c r="O89" s="26"/>
      <c r="X89"/>
    </row>
    <row r="90" spans="1:25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2.5267834449808886</v>
      </c>
      <c r="N90" s="44">
        <v>0</v>
      </c>
      <c r="O90" s="61"/>
      <c r="Y90"/>
    </row>
    <row r="91" spans="1:26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2.4752342790143436</v>
      </c>
      <c r="O91" s="50"/>
      <c r="P91"/>
      <c r="Z91"/>
    </row>
    <row r="92" spans="1:13" ht="45.75" customHeight="1">
      <c r="A92" s="75" t="s">
        <v>108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  <row r="104" ht="14.25">
      <c r="B104" s="1">
        <v>2.034289772278429</v>
      </c>
    </row>
    <row r="105" ht="14.25">
      <c r="B105" s="1">
        <v>1.9909513523338667</v>
      </c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2017-09-27T20:13:16Z</dcterms:modified>
  <cp:category/>
  <cp:version/>
  <cp:contentType/>
  <cp:contentStatus/>
</cp:coreProperties>
</file>