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<sst xmlns="http://schemas.openxmlformats.org/spreadsheetml/2006/main" count="108" uniqueCount="106">
  <si>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</si>
  <si>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</si>
  <si>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</si>
  <si>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</si>
  <si>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</si>
  <si>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</si>
  <si>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</si>
  <si>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</si>
  <si>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</si>
  <si>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</si>
  <si>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</si>
  <si>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</si>
  <si>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</si>
  <si>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</si>
  <si>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</si>
  <si>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</si>
  <si>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</si>
  <si>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</si>
  <si>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</si>
  <si>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</si>
  <si>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</si>
  <si>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</si>
  <si>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</si>
  <si>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</si>
  <si>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</si>
  <si>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</si>
  <si>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</si>
  <si>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</si>
  <si>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</si>
  <si>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</si>
  <si>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</si>
  <si>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</si>
  <si>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</si>
  <si>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</si>
  <si>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</si>
  <si>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</si>
  <si>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</si>
  <si>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</si>
  <si>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</si>
  <si>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</si>
  <si>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</si>
  <si>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</si>
  <si>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</si>
  <si>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</si>
  <si>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</si>
  <si>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</si>
  <si>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</si>
  <si>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</si>
  <si>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</si>
  <si>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</si>
  <si>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</si>
  <si>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</si>
  <si>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</si>
  <si>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</si>
  <si>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</si>
  <si>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</si>
  <si>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</si>
  <si>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</si>
  <si>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</si>
  <si>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</si>
  <si>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</si>
  <si>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</si>
  <si>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</si>
  <si>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</si>
  <si>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</si>
  <si>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</si>
  <si>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</si>
  <si>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</si>
  <si>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</si>
  <si>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</si>
  <si>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</si>
  <si>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</si>
  <si>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</si>
  <si>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</si>
  <si>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</si>
  <si>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</si>
  <si>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</si>
  <si>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</si>
  <si>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</si>
  <si>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</si>
  <si>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</si>
  <si>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</si>
  <si>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</si>
  <si>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</si>
  <si>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</si>
  <si>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</si>
  <si>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</si>
  <si>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</si>
  <si>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</si>
  <si>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</si>
  <si>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</si>
  <si>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</si>
  <si>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</si>
  <si>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</si>
  <si>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18/09/17 - VENCIMENTO 25/09/17</t>
  </si>
  <si>
    <t>Movebuss Soluções em Mobilidde Urbana Ltda</t>
  </si>
  <si>
    <t>Imperial Transportes Urbanos Ltda</t>
  </si>
  <si>
    <t>Área 3.1</t>
  </si>
  <si>
    <t>Área 4.0</t>
  </si>
  <si>
    <t>Área 4.1</t>
  </si>
  <si>
    <t>Átea 5.1</t>
  </si>
  <si>
    <t>Nota: (1) Ajuste de remuneração previsto contratualmente, período de 25/07 a 24/08/17, parcela 12/16.
             (2) Tarifa de remuneração de cada empresa considerando o  reequilibrio interno estabelecido e informado pelo consórcio. Não consideram os acertos financeiros previstos no item 7.</t>
  </si>
  <si>
    <t>5.2.8. Ajuste de Remuneração Previsto Contratualmente (1)</t>
  </si>
  <si>
    <t>8. Tarifa de Remuneração por Passageiro (2)</t>
  </si>
  <si>
    <t>8.7. Movebuss</t>
  </si>
  <si>
    <t>7.7. Movebuss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</si>
</sst>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2" fontId="0" fillId="0" borderId="0" xfId="52" applyNumberFormat="1" applyFont="1" applyAlignment="1">
      <alignment/>
    </xf>
    <xf numFmtId="172" fontId="0" fillId="0" borderId="0" xfId="52" applyNumberFormat="1" applyFont="1" applyFill="1" applyAlignment="1">
      <alignment vertical="center"/>
    </xf>
    <xf numFmtId="9" fontId="0" fillId="0" borderId="0" xfId="0" applyNumberFormat="1" applyAlignment="1">
      <alignment/>
    </xf>
    <xf numFmtId="0" fontId="42" fillId="0" borderId="15" xfId="0" applyFont="1" applyFill="1" applyBorder="1" applyAlignment="1">
      <alignment horizontal="left" vertical="center" wrapText="1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850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850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850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8" width="17.50390625" style="1" customWidth="1"/>
    <col min="9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18.875" style="1" customWidth="1"/>
    <col min="16" max="16384" width="9.00390625" style="1" customWidth="1"/>
  </cols>
  <sheetData>
    <row r="1" spans="1:15" ht="21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1">
      <c r="A2" s="68" t="s">
        <v>94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69" t="s">
        <v>1</v>
      </c>
      <c r="B4" s="69" t="s">
        <v>38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 t="s">
        <v>2</v>
      </c>
    </row>
    <row r="5" spans="1:15" ht="42" customHeight="1">
      <c r="A5" s="69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95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69"/>
    </row>
    <row r="6" spans="1:15" ht="20.25" customHeight="1">
      <c r="A6" s="69"/>
      <c r="B6" s="3" t="s">
        <v>21</v>
      </c>
      <c r="C6" s="3" t="s">
        <v>22</v>
      </c>
      <c r="D6" s="3" t="s">
        <v>23</v>
      </c>
      <c r="E6" s="3" t="s">
        <v>97</v>
      </c>
      <c r="F6" s="3" t="s">
        <v>98</v>
      </c>
      <c r="G6" s="3" t="s">
        <v>99</v>
      </c>
      <c r="H6" s="3" t="s">
        <v>29</v>
      </c>
      <c r="I6" s="3" t="s">
        <v>100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69"/>
    </row>
    <row r="7" spans="1:26" ht="18.75" customHeight="1">
      <c r="A7" s="9" t="s">
        <v>3</v>
      </c>
      <c r="B7" s="10">
        <f>B8+B20+B24</f>
        <v>504985</v>
      </c>
      <c r="C7" s="10">
        <f>C8+C20+C24</f>
        <v>378025</v>
      </c>
      <c r="D7" s="10">
        <f>D8+D20+D24</f>
        <v>382496</v>
      </c>
      <c r="E7" s="10">
        <f>E8+E20+E24</f>
        <v>46331</v>
      </c>
      <c r="F7" s="10">
        <f aca="true" t="shared" si="0" ref="F7:N7">F8+F20+F24</f>
        <v>338604</v>
      </c>
      <c r="G7" s="10">
        <f t="shared" si="0"/>
        <v>517303</v>
      </c>
      <c r="H7" s="10">
        <f>H8+H20+H24</f>
        <v>366785</v>
      </c>
      <c r="I7" s="10">
        <f>I8+I20+I24</f>
        <v>105683</v>
      </c>
      <c r="J7" s="10">
        <f>J8+J20+J24</f>
        <v>407576</v>
      </c>
      <c r="K7" s="10">
        <f>K8+K20+K24</f>
        <v>302052</v>
      </c>
      <c r="L7" s="10">
        <f>L8+L20+L24</f>
        <v>373031</v>
      </c>
      <c r="M7" s="10">
        <f t="shared" si="0"/>
        <v>149174</v>
      </c>
      <c r="N7" s="10">
        <f t="shared" si="0"/>
        <v>92455</v>
      </c>
      <c r="O7" s="10">
        <f>+O8+O20+O24</f>
        <v>3964500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205946</v>
      </c>
      <c r="C8" s="12">
        <f>+C9+C12+C16</f>
        <v>167247</v>
      </c>
      <c r="D8" s="12">
        <f>+D9+D12+D16</f>
        <v>182117</v>
      </c>
      <c r="E8" s="12">
        <f>+E9+E12+E16</f>
        <v>19661</v>
      </c>
      <c r="F8" s="12">
        <f aca="true" t="shared" si="1" ref="F8:N8">+F9+F12+F16</f>
        <v>147797</v>
      </c>
      <c r="G8" s="12">
        <f t="shared" si="1"/>
        <v>233397</v>
      </c>
      <c r="H8" s="12">
        <f>+H9+H12+H16</f>
        <v>159018</v>
      </c>
      <c r="I8" s="12">
        <f>+I9+I12+I16</f>
        <v>48456</v>
      </c>
      <c r="J8" s="12">
        <f>+J9+J12+J16</f>
        <v>184877</v>
      </c>
      <c r="K8" s="12">
        <f>+K9+K12+K16</f>
        <v>136828</v>
      </c>
      <c r="L8" s="12">
        <f>+L9+L12+L16</f>
        <v>157280</v>
      </c>
      <c r="M8" s="12">
        <f t="shared" si="1"/>
        <v>72807</v>
      </c>
      <c r="N8" s="12">
        <f t="shared" si="1"/>
        <v>46641</v>
      </c>
      <c r="O8" s="12">
        <f>SUM(B8:N8)</f>
        <v>1762072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19350</v>
      </c>
      <c r="C9" s="14">
        <v>19895</v>
      </c>
      <c r="D9" s="14">
        <v>14189</v>
      </c>
      <c r="E9" s="14">
        <v>1325</v>
      </c>
      <c r="F9" s="14">
        <v>12103</v>
      </c>
      <c r="G9" s="14">
        <v>21766</v>
      </c>
      <c r="H9" s="14">
        <v>18938</v>
      </c>
      <c r="I9" s="14">
        <v>6003</v>
      </c>
      <c r="J9" s="14">
        <v>11436</v>
      </c>
      <c r="K9" s="14">
        <v>15383</v>
      </c>
      <c r="L9" s="14">
        <v>12126</v>
      </c>
      <c r="M9" s="14">
        <f>7949+30</f>
        <v>7979</v>
      </c>
      <c r="N9" s="14">
        <v>5336</v>
      </c>
      <c r="O9" s="12">
        <f aca="true" t="shared" si="2" ref="O9:O19">SUM(B9:N9)</f>
        <v>165829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19350</v>
      </c>
      <c r="C10" s="14">
        <f>+C9-C11</f>
        <v>19895</v>
      </c>
      <c r="D10" s="14">
        <f>+D9-D11</f>
        <v>14189</v>
      </c>
      <c r="E10" s="14">
        <f>+E9-E11</f>
        <v>1325</v>
      </c>
      <c r="F10" s="14">
        <f aca="true" t="shared" si="3" ref="F10:N10">+F9-F11</f>
        <v>12103</v>
      </c>
      <c r="G10" s="14">
        <f t="shared" si="3"/>
        <v>21766</v>
      </c>
      <c r="H10" s="14">
        <f>+H9-H11</f>
        <v>18938</v>
      </c>
      <c r="I10" s="14">
        <f>+I9-I11</f>
        <v>6003</v>
      </c>
      <c r="J10" s="14">
        <f>+J9-J11</f>
        <v>11436</v>
      </c>
      <c r="K10" s="14">
        <f>+K9-K11</f>
        <v>15383</v>
      </c>
      <c r="L10" s="14">
        <f>+L9-L11</f>
        <v>12126</v>
      </c>
      <c r="M10" s="14">
        <f t="shared" si="3"/>
        <v>7979</v>
      </c>
      <c r="N10" s="14">
        <f t="shared" si="3"/>
        <v>5336</v>
      </c>
      <c r="O10" s="12">
        <f t="shared" si="2"/>
        <v>165829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175068</v>
      </c>
      <c r="C12" s="14">
        <f>C13+C14+C15</f>
        <v>138719</v>
      </c>
      <c r="D12" s="14">
        <f>D13+D14+D15</f>
        <v>158808</v>
      </c>
      <c r="E12" s="14">
        <f>E13+E14+E15</f>
        <v>17335</v>
      </c>
      <c r="F12" s="14">
        <f aca="true" t="shared" si="4" ref="F12:N12">F13+F14+F15</f>
        <v>127640</v>
      </c>
      <c r="G12" s="14">
        <f t="shared" si="4"/>
        <v>198198</v>
      </c>
      <c r="H12" s="14">
        <f>H13+H14+H15</f>
        <v>131845</v>
      </c>
      <c r="I12" s="14">
        <f>I13+I14+I15</f>
        <v>39889</v>
      </c>
      <c r="J12" s="14">
        <f>J13+J14+J15</f>
        <v>162393</v>
      </c>
      <c r="K12" s="14">
        <f>K13+K14+K15</f>
        <v>114170</v>
      </c>
      <c r="L12" s="14">
        <f>L13+L14+L15</f>
        <v>135229</v>
      </c>
      <c r="M12" s="14">
        <f t="shared" si="4"/>
        <v>61189</v>
      </c>
      <c r="N12" s="14">
        <f t="shared" si="4"/>
        <v>39222</v>
      </c>
      <c r="O12" s="12">
        <f t="shared" si="2"/>
        <v>1499705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81661</v>
      </c>
      <c r="C13" s="14">
        <v>65694</v>
      </c>
      <c r="D13" s="14">
        <v>73060</v>
      </c>
      <c r="E13" s="14">
        <v>8264</v>
      </c>
      <c r="F13" s="14">
        <v>57908</v>
      </c>
      <c r="G13" s="14">
        <v>92154</v>
      </c>
      <c r="H13" s="14">
        <v>64542</v>
      </c>
      <c r="I13" s="14">
        <v>19907</v>
      </c>
      <c r="J13" s="14">
        <v>78701</v>
      </c>
      <c r="K13" s="14">
        <v>53117</v>
      </c>
      <c r="L13" s="14">
        <v>63298</v>
      </c>
      <c r="M13" s="14">
        <v>28255</v>
      </c>
      <c r="N13" s="14">
        <v>17631</v>
      </c>
      <c r="O13" s="12">
        <f t="shared" si="2"/>
        <v>704192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88246</v>
      </c>
      <c r="C14" s="14">
        <v>66422</v>
      </c>
      <c r="D14" s="14">
        <v>82328</v>
      </c>
      <c r="E14" s="14">
        <v>8393</v>
      </c>
      <c r="F14" s="14">
        <v>65144</v>
      </c>
      <c r="G14" s="14">
        <v>97031</v>
      </c>
      <c r="H14" s="14">
        <v>62444</v>
      </c>
      <c r="I14" s="14">
        <v>18577</v>
      </c>
      <c r="J14" s="14">
        <v>80377</v>
      </c>
      <c r="K14" s="14">
        <v>57128</v>
      </c>
      <c r="L14" s="14">
        <v>68420</v>
      </c>
      <c r="M14" s="14">
        <v>30818</v>
      </c>
      <c r="N14" s="14">
        <v>20521</v>
      </c>
      <c r="O14" s="12">
        <f t="shared" si="2"/>
        <v>745849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5161</v>
      </c>
      <c r="C15" s="14">
        <v>6603</v>
      </c>
      <c r="D15" s="14">
        <v>3420</v>
      </c>
      <c r="E15" s="14">
        <v>678</v>
      </c>
      <c r="F15" s="14">
        <v>4588</v>
      </c>
      <c r="G15" s="14">
        <v>9013</v>
      </c>
      <c r="H15" s="14">
        <v>4859</v>
      </c>
      <c r="I15" s="14">
        <v>1405</v>
      </c>
      <c r="J15" s="14">
        <v>3315</v>
      </c>
      <c r="K15" s="14">
        <v>3925</v>
      </c>
      <c r="L15" s="14">
        <v>3511</v>
      </c>
      <c r="M15" s="14">
        <v>2116</v>
      </c>
      <c r="N15" s="14">
        <v>1070</v>
      </c>
      <c r="O15" s="12">
        <f t="shared" si="2"/>
        <v>49664</v>
      </c>
      <c r="P15"/>
      <c r="Q15"/>
      <c r="R15"/>
      <c r="S15"/>
      <c r="T15"/>
      <c r="U15"/>
      <c r="V15"/>
      <c r="W15"/>
      <c r="X15"/>
      <c r="Y15"/>
      <c r="Z15"/>
    </row>
    <row r="16" spans="1:23" ht="18.75" customHeight="1">
      <c r="A16" s="16" t="s">
        <v>19</v>
      </c>
      <c r="B16" s="14">
        <f>B17+B18+B19</f>
        <v>11528</v>
      </c>
      <c r="C16" s="14">
        <f>C17+C18+C19</f>
        <v>8633</v>
      </c>
      <c r="D16" s="14">
        <f>D17+D18+D19</f>
        <v>9120</v>
      </c>
      <c r="E16" s="14">
        <f>E17+E18+E19</f>
        <v>1001</v>
      </c>
      <c r="F16" s="14">
        <f aca="true" t="shared" si="5" ref="F16:N16">F17+F18+F19</f>
        <v>8054</v>
      </c>
      <c r="G16" s="14">
        <f t="shared" si="5"/>
        <v>13433</v>
      </c>
      <c r="H16" s="14">
        <f>H17+H18+H19</f>
        <v>8235</v>
      </c>
      <c r="I16" s="14">
        <f>I17+I18+I19</f>
        <v>2564</v>
      </c>
      <c r="J16" s="14">
        <f>J17+J18+J19</f>
        <v>11048</v>
      </c>
      <c r="K16" s="14">
        <f>K17+K18+K19</f>
        <v>7275</v>
      </c>
      <c r="L16" s="14">
        <f>L17+L18+L19</f>
        <v>9925</v>
      </c>
      <c r="M16" s="14">
        <f t="shared" si="5"/>
        <v>3639</v>
      </c>
      <c r="N16" s="14">
        <f t="shared" si="5"/>
        <v>2083</v>
      </c>
      <c r="O16" s="12">
        <f t="shared" si="2"/>
        <v>96538</v>
      </c>
      <c r="R16"/>
      <c r="S16"/>
      <c r="T16"/>
      <c r="U16"/>
      <c r="V16"/>
      <c r="W16"/>
    </row>
    <row r="17" spans="1:26" ht="18.75" customHeight="1">
      <c r="A17" s="15" t="s">
        <v>16</v>
      </c>
      <c r="B17" s="14">
        <v>11462</v>
      </c>
      <c r="C17" s="14">
        <v>8578</v>
      </c>
      <c r="D17" s="14">
        <v>9057</v>
      </c>
      <c r="E17" s="14">
        <v>996</v>
      </c>
      <c r="F17" s="14">
        <v>8002</v>
      </c>
      <c r="G17" s="14">
        <v>13372</v>
      </c>
      <c r="H17" s="14">
        <v>8178</v>
      </c>
      <c r="I17" s="14">
        <v>2550</v>
      </c>
      <c r="J17" s="14">
        <v>10996</v>
      </c>
      <c r="K17" s="14">
        <v>7210</v>
      </c>
      <c r="L17" s="14">
        <v>9855</v>
      </c>
      <c r="M17" s="14">
        <f>1769+1846</f>
        <v>3615</v>
      </c>
      <c r="N17" s="14">
        <v>2064</v>
      </c>
      <c r="O17" s="12">
        <f t="shared" si="2"/>
        <v>95935</v>
      </c>
      <c r="P17"/>
      <c r="Q17"/>
      <c r="R17"/>
      <c r="S17"/>
      <c r="T17" s="73"/>
      <c r="U17" s="73"/>
      <c r="V17"/>
      <c r="W17"/>
      <c r="X17"/>
      <c r="Y17"/>
      <c r="Z17"/>
    </row>
    <row r="18" spans="1:26" ht="18.75" customHeight="1">
      <c r="A18" s="15" t="s">
        <v>17</v>
      </c>
      <c r="B18" s="14">
        <v>58</v>
      </c>
      <c r="C18" s="14">
        <v>46</v>
      </c>
      <c r="D18" s="14">
        <v>61</v>
      </c>
      <c r="E18" s="14">
        <v>5</v>
      </c>
      <c r="F18" s="14">
        <v>48</v>
      </c>
      <c r="G18" s="14">
        <v>52</v>
      </c>
      <c r="H18" s="14">
        <v>55</v>
      </c>
      <c r="I18" s="14">
        <v>13</v>
      </c>
      <c r="J18" s="14">
        <v>45</v>
      </c>
      <c r="K18" s="14">
        <v>64</v>
      </c>
      <c r="L18" s="14">
        <v>69</v>
      </c>
      <c r="M18" s="14">
        <f>21+2</f>
        <v>23</v>
      </c>
      <c r="N18" s="14">
        <v>19</v>
      </c>
      <c r="O18" s="12">
        <f t="shared" si="2"/>
        <v>558</v>
      </c>
      <c r="P18"/>
      <c r="Q18"/>
      <c r="R18"/>
      <c r="S18"/>
      <c r="T18" s="71"/>
      <c r="U18" s="71"/>
      <c r="V18"/>
      <c r="W18"/>
      <c r="X18"/>
      <c r="Y18"/>
      <c r="Z18"/>
    </row>
    <row r="19" spans="1:26" ht="18.75" customHeight="1">
      <c r="A19" s="15" t="s">
        <v>18</v>
      </c>
      <c r="B19" s="14">
        <v>8</v>
      </c>
      <c r="C19" s="14">
        <v>9</v>
      </c>
      <c r="D19" s="14">
        <v>2</v>
      </c>
      <c r="E19" s="14">
        <v>0</v>
      </c>
      <c r="F19" s="14">
        <v>4</v>
      </c>
      <c r="G19" s="14">
        <v>9</v>
      </c>
      <c r="H19" s="14">
        <v>2</v>
      </c>
      <c r="I19" s="14">
        <v>1</v>
      </c>
      <c r="J19" s="14">
        <v>7</v>
      </c>
      <c r="K19" s="14">
        <v>1</v>
      </c>
      <c r="L19" s="14">
        <v>1</v>
      </c>
      <c r="M19" s="14">
        <v>1</v>
      </c>
      <c r="N19" s="14">
        <v>0</v>
      </c>
      <c r="O19" s="12">
        <f t="shared" si="2"/>
        <v>45</v>
      </c>
      <c r="P19"/>
      <c r="Q19"/>
      <c r="T19" s="72"/>
      <c r="U19" s="72"/>
      <c r="V19"/>
      <c r="X19"/>
      <c r="Y19"/>
      <c r="Z19"/>
    </row>
    <row r="20" spans="1:26" ht="18.75" customHeight="1">
      <c r="A20" s="17" t="s">
        <v>10</v>
      </c>
      <c r="B20" s="18">
        <f>B21+B22+B23</f>
        <v>129185</v>
      </c>
      <c r="C20" s="18">
        <f>C21+C22+C23</f>
        <v>82304</v>
      </c>
      <c r="D20" s="18">
        <f>D21+D22+D23</f>
        <v>77269</v>
      </c>
      <c r="E20" s="18">
        <f>E21+E22+E23</f>
        <v>9411</v>
      </c>
      <c r="F20" s="18">
        <f aca="true" t="shared" si="6" ref="F20:N20">F21+F22+F23</f>
        <v>68557</v>
      </c>
      <c r="G20" s="18">
        <f t="shared" si="6"/>
        <v>104660</v>
      </c>
      <c r="H20" s="18">
        <f>H21+H22+H23</f>
        <v>87175</v>
      </c>
      <c r="I20" s="18">
        <f>I21+I22+I23</f>
        <v>24712</v>
      </c>
      <c r="J20" s="18">
        <f>J21+J22+J23</f>
        <v>99946</v>
      </c>
      <c r="K20" s="18">
        <f>K21+K22+K23</f>
        <v>69175</v>
      </c>
      <c r="L20" s="18">
        <f>L21+L22+L23</f>
        <v>109191</v>
      </c>
      <c r="M20" s="18">
        <f t="shared" si="6"/>
        <v>40769</v>
      </c>
      <c r="N20" s="18">
        <f t="shared" si="6"/>
        <v>23938</v>
      </c>
      <c r="O20" s="12">
        <f aca="true" t="shared" si="7" ref="O20:O26">SUM(B20:N20)</f>
        <v>926292</v>
      </c>
      <c r="P20"/>
      <c r="Q20"/>
      <c r="R20"/>
      <c r="S20"/>
      <c r="T20" s="71"/>
      <c r="U20" s="71"/>
      <c r="V20"/>
      <c r="W20"/>
      <c r="X20"/>
      <c r="Y20"/>
      <c r="Z20"/>
    </row>
    <row r="21" spans="1:26" ht="18.75" customHeight="1">
      <c r="A21" s="13" t="s">
        <v>11</v>
      </c>
      <c r="B21" s="14">
        <v>65025</v>
      </c>
      <c r="C21" s="14">
        <v>44031</v>
      </c>
      <c r="D21" s="14">
        <v>38663</v>
      </c>
      <c r="E21" s="14">
        <v>5062</v>
      </c>
      <c r="F21" s="14">
        <v>34270</v>
      </c>
      <c r="G21" s="14">
        <v>53843</v>
      </c>
      <c r="H21" s="14">
        <v>47442</v>
      </c>
      <c r="I21" s="14">
        <v>13812</v>
      </c>
      <c r="J21" s="14">
        <v>53495</v>
      </c>
      <c r="K21" s="14">
        <v>35999</v>
      </c>
      <c r="L21" s="14">
        <v>55551</v>
      </c>
      <c r="M21" s="14">
        <v>21052</v>
      </c>
      <c r="N21" s="14">
        <v>11952</v>
      </c>
      <c r="O21" s="12">
        <f t="shared" si="7"/>
        <v>480197</v>
      </c>
      <c r="P21"/>
      <c r="Q21"/>
      <c r="R21"/>
      <c r="S21"/>
      <c r="T21" s="71"/>
      <c r="U21" s="71"/>
      <c r="V21"/>
      <c r="W21"/>
      <c r="X21"/>
      <c r="Y21"/>
      <c r="Z21"/>
    </row>
    <row r="22" spans="1:26" ht="18.75" customHeight="1">
      <c r="A22" s="13" t="s">
        <v>12</v>
      </c>
      <c r="B22" s="14">
        <v>61478</v>
      </c>
      <c r="C22" s="14">
        <v>35956</v>
      </c>
      <c r="D22" s="14">
        <v>37343</v>
      </c>
      <c r="E22" s="14">
        <v>4094</v>
      </c>
      <c r="F22" s="14">
        <v>32602</v>
      </c>
      <c r="G22" s="14">
        <v>47635</v>
      </c>
      <c r="H22" s="14">
        <v>37864</v>
      </c>
      <c r="I22" s="14">
        <v>10369</v>
      </c>
      <c r="J22" s="14">
        <v>44772</v>
      </c>
      <c r="K22" s="14">
        <v>31699</v>
      </c>
      <c r="L22" s="14">
        <v>51633</v>
      </c>
      <c r="M22" s="14">
        <v>18813</v>
      </c>
      <c r="N22" s="14">
        <v>11485</v>
      </c>
      <c r="O22" s="12">
        <f t="shared" si="7"/>
        <v>425743</v>
      </c>
      <c r="P22"/>
      <c r="Q22"/>
      <c r="R22"/>
      <c r="S22"/>
      <c r="T22" s="71"/>
      <c r="U22" s="71"/>
      <c r="W22"/>
      <c r="X22"/>
      <c r="Y22"/>
      <c r="Z22"/>
    </row>
    <row r="23" spans="1:26" ht="18.75" customHeight="1">
      <c r="A23" s="13" t="s">
        <v>13</v>
      </c>
      <c r="B23" s="14">
        <v>2682</v>
      </c>
      <c r="C23" s="14">
        <v>2317</v>
      </c>
      <c r="D23" s="14">
        <v>1263</v>
      </c>
      <c r="E23" s="14">
        <v>255</v>
      </c>
      <c r="F23" s="14">
        <v>1685</v>
      </c>
      <c r="G23" s="14">
        <v>3182</v>
      </c>
      <c r="H23" s="14">
        <v>1869</v>
      </c>
      <c r="I23" s="14">
        <v>531</v>
      </c>
      <c r="J23" s="14">
        <v>1679</v>
      </c>
      <c r="K23" s="14">
        <v>1477</v>
      </c>
      <c r="L23" s="14">
        <v>2007</v>
      </c>
      <c r="M23" s="14">
        <v>904</v>
      </c>
      <c r="N23" s="14">
        <v>501</v>
      </c>
      <c r="O23" s="12">
        <f t="shared" si="7"/>
        <v>20352</v>
      </c>
      <c r="P23"/>
      <c r="Q23"/>
      <c r="R23"/>
      <c r="S23"/>
      <c r="T23" s="71"/>
      <c r="U23" s="71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169854</v>
      </c>
      <c r="C24" s="14">
        <f>C25+C26</f>
        <v>128474</v>
      </c>
      <c r="D24" s="14">
        <f>D25+D26</f>
        <v>123110</v>
      </c>
      <c r="E24" s="14">
        <f>E25+E26</f>
        <v>17259</v>
      </c>
      <c r="F24" s="14">
        <f aca="true" t="shared" si="8" ref="F24:N24">F25+F26</f>
        <v>122250</v>
      </c>
      <c r="G24" s="14">
        <f t="shared" si="8"/>
        <v>179246</v>
      </c>
      <c r="H24" s="14">
        <f>H25+H26</f>
        <v>120592</v>
      </c>
      <c r="I24" s="14">
        <f>I25+I26</f>
        <v>32515</v>
      </c>
      <c r="J24" s="14">
        <f>J25+J26</f>
        <v>122753</v>
      </c>
      <c r="K24" s="14">
        <f>K25+K26</f>
        <v>96049</v>
      </c>
      <c r="L24" s="14">
        <f>L25+L26</f>
        <v>106560</v>
      </c>
      <c r="M24" s="14">
        <f t="shared" si="8"/>
        <v>35598</v>
      </c>
      <c r="N24" s="14">
        <f t="shared" si="8"/>
        <v>21876</v>
      </c>
      <c r="O24" s="12">
        <f t="shared" si="7"/>
        <v>1276136</v>
      </c>
      <c r="P24"/>
      <c r="Q24"/>
      <c r="R24"/>
      <c r="S24"/>
      <c r="T24" s="71"/>
      <c r="U24" s="71"/>
      <c r="V24"/>
      <c r="W24"/>
      <c r="X24"/>
      <c r="Y24"/>
      <c r="Z24"/>
    </row>
    <row r="25" spans="1:26" ht="18.75" customHeight="1">
      <c r="A25" s="13" t="s">
        <v>41</v>
      </c>
      <c r="B25" s="14">
        <v>66407</v>
      </c>
      <c r="C25" s="14">
        <v>57990</v>
      </c>
      <c r="D25" s="14">
        <v>54812</v>
      </c>
      <c r="E25" s="14">
        <v>8822</v>
      </c>
      <c r="F25" s="14">
        <v>54210</v>
      </c>
      <c r="G25" s="14">
        <v>85107</v>
      </c>
      <c r="H25" s="14">
        <v>58096</v>
      </c>
      <c r="I25" s="14">
        <v>17374</v>
      </c>
      <c r="J25" s="14">
        <v>50895</v>
      </c>
      <c r="K25" s="14">
        <v>45344</v>
      </c>
      <c r="L25" s="14">
        <v>44419</v>
      </c>
      <c r="M25" s="14">
        <v>14995</v>
      </c>
      <c r="N25" s="14">
        <v>8076</v>
      </c>
      <c r="O25" s="12">
        <f t="shared" si="7"/>
        <v>566547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103447</v>
      </c>
      <c r="C26" s="14">
        <v>70484</v>
      </c>
      <c r="D26" s="14">
        <v>68298</v>
      </c>
      <c r="E26" s="14">
        <v>8437</v>
      </c>
      <c r="F26" s="14">
        <v>68040</v>
      </c>
      <c r="G26" s="14">
        <v>94139</v>
      </c>
      <c r="H26" s="14">
        <v>62496</v>
      </c>
      <c r="I26" s="14">
        <v>15141</v>
      </c>
      <c r="J26" s="14">
        <v>71858</v>
      </c>
      <c r="K26" s="14">
        <v>50705</v>
      </c>
      <c r="L26" s="14">
        <v>62141</v>
      </c>
      <c r="M26" s="14">
        <v>20603</v>
      </c>
      <c r="N26" s="14">
        <v>13800</v>
      </c>
      <c r="O26" s="12">
        <f t="shared" si="7"/>
        <v>709589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I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2.0285</v>
      </c>
      <c r="I28" s="23">
        <f t="shared" si="9"/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>M29+M30</f>
        <v>2.5186314299999997</v>
      </c>
      <c r="N28" s="23">
        <f>N29+N30</f>
        <v>2.46767856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I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>M33*M34</f>
        <v>1271.16</v>
      </c>
      <c r="N32" s="56">
        <f>N33*N34</f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1059060.7467181</v>
      </c>
      <c r="C36" s="60">
        <f aca="true" t="shared" si="11" ref="C36:N36">C37+C38+C39+C40</f>
        <v>765877.5722625001</v>
      </c>
      <c r="D36" s="60">
        <f t="shared" si="11"/>
        <v>724805.0435248</v>
      </c>
      <c r="E36" s="60">
        <f t="shared" si="11"/>
        <v>120547.1273904</v>
      </c>
      <c r="F36" s="60">
        <f t="shared" si="11"/>
        <v>738605.4778981999</v>
      </c>
      <c r="G36" s="60">
        <f t="shared" si="11"/>
        <v>894906.3744000001</v>
      </c>
      <c r="H36" s="60">
        <f>H37+H38+H39+H40</f>
        <v>749769.4524999999</v>
      </c>
      <c r="I36" s="60">
        <f>I37+I38+I39+I40</f>
        <v>210435.61613659997</v>
      </c>
      <c r="J36" s="60">
        <f>J37+J38+J39+J40</f>
        <v>809656.6221968</v>
      </c>
      <c r="K36" s="60">
        <f>K37+K38+K39+K40</f>
        <v>675919.9035835998</v>
      </c>
      <c r="L36" s="60">
        <f>L37+L38+L39+L40</f>
        <v>798026.9854225599</v>
      </c>
      <c r="M36" s="60">
        <f t="shared" si="11"/>
        <v>379320.56493881997</v>
      </c>
      <c r="N36" s="60">
        <f t="shared" si="11"/>
        <v>228868.2612648</v>
      </c>
      <c r="O36" s="60">
        <f>O37+O38+O39+O40</f>
        <v>8155799.7482371805</v>
      </c>
    </row>
    <row r="37" spans="1:15" ht="18.75" customHeight="1">
      <c r="A37" s="57" t="s">
        <v>50</v>
      </c>
      <c r="B37" s="54">
        <f aca="true" t="shared" si="12" ref="B37:N37">B29*B7</f>
        <v>1054863.1665</v>
      </c>
      <c r="C37" s="54">
        <f t="shared" si="12"/>
        <v>762854.45</v>
      </c>
      <c r="D37" s="54">
        <f t="shared" si="12"/>
        <v>714579.0272</v>
      </c>
      <c r="E37" s="54">
        <f t="shared" si="12"/>
        <v>120191.8802</v>
      </c>
      <c r="F37" s="54">
        <f t="shared" si="12"/>
        <v>738596.9051999999</v>
      </c>
      <c r="G37" s="54">
        <f t="shared" si="12"/>
        <v>894882.4597</v>
      </c>
      <c r="H37" s="54">
        <f>H29*H7</f>
        <v>746077.3685</v>
      </c>
      <c r="I37" s="54">
        <f>I29*I7</f>
        <v>210372.57979999998</v>
      </c>
      <c r="J37" s="54">
        <f>J29*J7</f>
        <v>805370.176</v>
      </c>
      <c r="K37" s="54">
        <f>K29*K7</f>
        <v>672216.7259999999</v>
      </c>
      <c r="L37" s="54">
        <f>L29*L7</f>
        <v>793698.0586999999</v>
      </c>
      <c r="M37" s="54">
        <f t="shared" si="12"/>
        <v>376813.524</v>
      </c>
      <c r="N37" s="54">
        <f t="shared" si="12"/>
        <v>228826.125</v>
      </c>
      <c r="O37" s="56">
        <f>SUM(B37:N37)</f>
        <v>8119342.4468</v>
      </c>
    </row>
    <row r="38" spans="1:15" ht="18.75" customHeight="1">
      <c r="A38" s="57" t="s">
        <v>51</v>
      </c>
      <c r="B38" s="54">
        <f aca="true" t="shared" si="13" ref="B38:N38">B30*B7</f>
        <v>-3128.1497819</v>
      </c>
      <c r="C38" s="54">
        <f t="shared" si="13"/>
        <v>-2218.8177375</v>
      </c>
      <c r="D38" s="54">
        <f t="shared" si="13"/>
        <v>-2122.8336752</v>
      </c>
      <c r="E38" s="54">
        <f t="shared" si="13"/>
        <v>-291.0328096</v>
      </c>
      <c r="F38" s="54">
        <f t="shared" si="13"/>
        <v>-2152.8273018</v>
      </c>
      <c r="G38" s="54">
        <f t="shared" si="13"/>
        <v>-2638.2453</v>
      </c>
      <c r="H38" s="54">
        <f>H30*H7</f>
        <v>-2053.996</v>
      </c>
      <c r="I38" s="54">
        <f>I30*I7</f>
        <v>-591.8036634</v>
      </c>
      <c r="J38" s="54">
        <f>J30*J7</f>
        <v>-2318.3738032</v>
      </c>
      <c r="K38" s="54">
        <f>K30*K7</f>
        <v>-1922.7724164</v>
      </c>
      <c r="L38" s="54">
        <f>L30*L7</f>
        <v>-2331.53327744</v>
      </c>
      <c r="M38" s="54">
        <f t="shared" si="13"/>
        <v>-1099.19906118</v>
      </c>
      <c r="N38" s="54">
        <f t="shared" si="13"/>
        <v>-676.9037352</v>
      </c>
      <c r="O38" s="25">
        <f>SUM(B38:N38)</f>
        <v>-23546.488562820003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>H32</f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4068.65</v>
      </c>
      <c r="C40" s="54">
        <v>2849.42</v>
      </c>
      <c r="D40" s="54">
        <v>10187.45</v>
      </c>
      <c r="E40" s="54">
        <v>0</v>
      </c>
      <c r="F40" s="54">
        <v>0</v>
      </c>
      <c r="G40" s="54">
        <v>0</v>
      </c>
      <c r="H40" s="54">
        <v>3503.36</v>
      </c>
      <c r="I40" s="54">
        <v>0</v>
      </c>
      <c r="J40" s="54">
        <v>4058.22</v>
      </c>
      <c r="K40" s="54">
        <v>3507.35</v>
      </c>
      <c r="L40" s="54">
        <v>4058.22</v>
      </c>
      <c r="M40" s="54">
        <v>2335.08</v>
      </c>
      <c r="N40" s="54">
        <v>0</v>
      </c>
      <c r="O40" s="56">
        <f>SUM(B40:N40)</f>
        <v>34567.75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+B43+B46+B55+B56</f>
        <v>-60781.74</v>
      </c>
      <c r="C42" s="25">
        <f aca="true" t="shared" si="15" ref="C42:N42">+C43+C46+C55+C56</f>
        <v>-66636.77</v>
      </c>
      <c r="D42" s="25">
        <f t="shared" si="15"/>
        <v>-45140.509999999995</v>
      </c>
      <c r="E42" s="25">
        <f t="shared" si="15"/>
        <v>-3771.08</v>
      </c>
      <c r="F42" s="25">
        <f t="shared" si="15"/>
        <v>-37277.66</v>
      </c>
      <c r="G42" s="25">
        <f t="shared" si="15"/>
        <v>-72330.36</v>
      </c>
      <c r="H42" s="25">
        <f>+H43+H46+H55+H56</f>
        <v>-63042.17999999999</v>
      </c>
      <c r="I42" s="25">
        <f>+I43+I46+I55+I56</f>
        <v>-38282.61</v>
      </c>
      <c r="J42" s="25">
        <f>+J43+J46+J55+J56</f>
        <v>-33316.82000000001</v>
      </c>
      <c r="K42" s="25">
        <f>+K43+K46+K55+K56</f>
        <v>-50394.79</v>
      </c>
      <c r="L42" s="25">
        <f>+L43+L46+L55+L56</f>
        <v>-36322.8</v>
      </c>
      <c r="M42" s="25">
        <f t="shared" si="15"/>
        <v>-25826.510000000002</v>
      </c>
      <c r="N42" s="25">
        <f t="shared" si="15"/>
        <v>-18158.22</v>
      </c>
      <c r="O42" s="25">
        <f>+O43+O46+O55+O56</f>
        <v>-551282.05</v>
      </c>
    </row>
    <row r="43" spans="1:15" ht="18.75" customHeight="1">
      <c r="A43" s="17" t="s">
        <v>55</v>
      </c>
      <c r="B43" s="26">
        <f>B44+B45</f>
        <v>-73530</v>
      </c>
      <c r="C43" s="26">
        <f>C44+C45</f>
        <v>-75601</v>
      </c>
      <c r="D43" s="26">
        <f>D44+D45</f>
        <v>-53918.2</v>
      </c>
      <c r="E43" s="26">
        <f>E44+E45</f>
        <v>-5035</v>
      </c>
      <c r="F43" s="26">
        <f aca="true" t="shared" si="16" ref="F43:N43">F44+F45</f>
        <v>-45991.4</v>
      </c>
      <c r="G43" s="26">
        <f t="shared" si="16"/>
        <v>-82710.8</v>
      </c>
      <c r="H43" s="26">
        <f>H44+H45</f>
        <v>-71964.4</v>
      </c>
      <c r="I43" s="26">
        <f>I44+I45</f>
        <v>-22811.4</v>
      </c>
      <c r="J43" s="26">
        <f>J44+J45</f>
        <v>-43456.8</v>
      </c>
      <c r="K43" s="26">
        <f>K44+K45</f>
        <v>-58455.4</v>
      </c>
      <c r="L43" s="26">
        <f>L44+L45</f>
        <v>-46078.8</v>
      </c>
      <c r="M43" s="26">
        <f t="shared" si="16"/>
        <v>-30320.2</v>
      </c>
      <c r="N43" s="26">
        <f t="shared" si="16"/>
        <v>-20276.8</v>
      </c>
      <c r="O43" s="25">
        <f aca="true" t="shared" si="17" ref="O43:O56">SUM(B43:N43)</f>
        <v>-630150.2000000001</v>
      </c>
    </row>
    <row r="44" spans="1:26" ht="18.75" customHeight="1">
      <c r="A44" s="13" t="s">
        <v>56</v>
      </c>
      <c r="B44" s="20">
        <f>ROUND(-B9*$D$3,2)</f>
        <v>-73530</v>
      </c>
      <c r="C44" s="20">
        <f>ROUND(-C9*$D$3,2)</f>
        <v>-75601</v>
      </c>
      <c r="D44" s="20">
        <f>ROUND(-D9*$D$3,2)</f>
        <v>-53918.2</v>
      </c>
      <c r="E44" s="20">
        <f>ROUND(-E9*$D$3,2)</f>
        <v>-5035</v>
      </c>
      <c r="F44" s="20">
        <f aca="true" t="shared" si="18" ref="F44:N44">ROUND(-F9*$D$3,2)</f>
        <v>-45991.4</v>
      </c>
      <c r="G44" s="20">
        <f t="shared" si="18"/>
        <v>-82710.8</v>
      </c>
      <c r="H44" s="20">
        <f>ROUND(-H9*$D$3,2)</f>
        <v>-71964.4</v>
      </c>
      <c r="I44" s="20">
        <f>ROUND(-I9*$D$3,2)</f>
        <v>-22811.4</v>
      </c>
      <c r="J44" s="20">
        <f>ROUND(-J9*$D$3,2)</f>
        <v>-43456.8</v>
      </c>
      <c r="K44" s="20">
        <f>ROUND(-K9*$D$3,2)</f>
        <v>-58455.4</v>
      </c>
      <c r="L44" s="20">
        <f>ROUND(-L9*$D$3,2)</f>
        <v>-46078.8</v>
      </c>
      <c r="M44" s="20">
        <f t="shared" si="18"/>
        <v>-30320.2</v>
      </c>
      <c r="N44" s="20">
        <f t="shared" si="18"/>
        <v>-20276.8</v>
      </c>
      <c r="O44" s="46">
        <f t="shared" si="17"/>
        <v>-630150.2000000001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>ROUND(H11*$D$3,2)</f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SUM(B47:B54)</f>
        <v>12748.26</v>
      </c>
      <c r="C46" s="26">
        <f aca="true" t="shared" si="20" ref="C46:O46">SUM(C47:C54)</f>
        <v>8964.23</v>
      </c>
      <c r="D46" s="26">
        <f t="shared" si="20"/>
        <v>8777.69</v>
      </c>
      <c r="E46" s="26">
        <f t="shared" si="20"/>
        <v>1263.92</v>
      </c>
      <c r="F46" s="26">
        <f t="shared" si="20"/>
        <v>8713.74</v>
      </c>
      <c r="G46" s="26">
        <f t="shared" si="20"/>
        <v>10380.44</v>
      </c>
      <c r="H46" s="26">
        <f t="shared" si="20"/>
        <v>8922.22</v>
      </c>
      <c r="I46" s="26">
        <f t="shared" si="20"/>
        <v>-15471.21</v>
      </c>
      <c r="J46" s="26">
        <f t="shared" si="20"/>
        <v>10139.98</v>
      </c>
      <c r="K46" s="26">
        <f t="shared" si="20"/>
        <v>8060.61</v>
      </c>
      <c r="L46" s="26">
        <f t="shared" si="20"/>
        <v>9756</v>
      </c>
      <c r="M46" s="26">
        <f t="shared" si="20"/>
        <v>4493.69</v>
      </c>
      <c r="N46" s="26">
        <f t="shared" si="20"/>
        <v>2118.58</v>
      </c>
      <c r="O46" s="26">
        <f t="shared" si="20"/>
        <v>78868.15000000001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-500</v>
      </c>
      <c r="H49" s="24">
        <v>0</v>
      </c>
      <c r="I49" s="24">
        <v>-18000</v>
      </c>
      <c r="J49" s="24">
        <v>0</v>
      </c>
      <c r="K49" s="24">
        <v>0</v>
      </c>
      <c r="L49" s="24">
        <v>0</v>
      </c>
      <c r="M49" s="24">
        <v>0</v>
      </c>
      <c r="N49" s="24">
        <v>-500</v>
      </c>
      <c r="O49" s="24">
        <f t="shared" si="17"/>
        <v>-19500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102</v>
      </c>
      <c r="B54" s="24">
        <f>2388.76+10359.5</f>
        <v>12748.26</v>
      </c>
      <c r="C54" s="24">
        <f>2576.36+6387.87</f>
        <v>8964.23</v>
      </c>
      <c r="D54" s="24">
        <v>8777.69</v>
      </c>
      <c r="E54" s="24">
        <v>1763.92</v>
      </c>
      <c r="F54" s="24">
        <v>8713.74</v>
      </c>
      <c r="G54" s="24">
        <v>10880.44</v>
      </c>
      <c r="H54" s="24">
        <v>8922.22</v>
      </c>
      <c r="I54" s="24">
        <v>2528.79</v>
      </c>
      <c r="J54" s="24">
        <v>10139.98</v>
      </c>
      <c r="K54" s="24">
        <v>8060.61</v>
      </c>
      <c r="L54" s="24">
        <v>9756</v>
      </c>
      <c r="M54" s="24">
        <v>4493.69</v>
      </c>
      <c r="N54" s="24">
        <v>2618.58</v>
      </c>
      <c r="O54" s="24">
        <f t="shared" si="17"/>
        <v>98368.15000000001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7" t="s">
        <v>66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7" t="s">
        <v>67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15" ht="15" customHeight="1">
      <c r="A57" s="3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20"/>
    </row>
    <row r="58" spans="1:26" ht="15.75">
      <c r="A58" s="2" t="s">
        <v>68</v>
      </c>
      <c r="B58" s="29">
        <f aca="true" t="shared" si="21" ref="B58:N58">+B36+B42</f>
        <v>998279.0067181</v>
      </c>
      <c r="C58" s="29">
        <f t="shared" si="21"/>
        <v>699240.8022625</v>
      </c>
      <c r="D58" s="29">
        <f t="shared" si="21"/>
        <v>679664.5335248</v>
      </c>
      <c r="E58" s="29">
        <f t="shared" si="21"/>
        <v>116776.0473904</v>
      </c>
      <c r="F58" s="29">
        <f t="shared" si="21"/>
        <v>701327.8178981999</v>
      </c>
      <c r="G58" s="29">
        <f t="shared" si="21"/>
        <v>822576.0144000001</v>
      </c>
      <c r="H58" s="29">
        <f>+H36+H42</f>
        <v>686727.2725</v>
      </c>
      <c r="I58" s="29">
        <f>+I36+I42</f>
        <v>172153.0061366</v>
      </c>
      <c r="J58" s="29">
        <f>+J36+J42</f>
        <v>776339.8021968</v>
      </c>
      <c r="K58" s="29">
        <f>+K36+K42</f>
        <v>625525.1135835998</v>
      </c>
      <c r="L58" s="29">
        <f>+L36+L42</f>
        <v>761704.1854225599</v>
      </c>
      <c r="M58" s="29">
        <f t="shared" si="21"/>
        <v>353494.05493881996</v>
      </c>
      <c r="N58" s="29">
        <f t="shared" si="21"/>
        <v>210710.0412648</v>
      </c>
      <c r="O58" s="29">
        <f>SUM(B58:N58)</f>
        <v>7604517.698237181</v>
      </c>
      <c r="P58"/>
      <c r="Q58"/>
      <c r="R58"/>
      <c r="S58"/>
      <c r="T58"/>
      <c r="U58"/>
      <c r="V58"/>
      <c r="W58"/>
      <c r="X58"/>
      <c r="Y58"/>
      <c r="Z58"/>
    </row>
    <row r="59" spans="1:17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  <c r="Q59" s="75"/>
    </row>
    <row r="60" spans="1:15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8.75" customHeight="1">
      <c r="A61" s="2" t="s">
        <v>69</v>
      </c>
      <c r="B61" s="36">
        <f>SUM(B62:B75)</f>
        <v>998279</v>
      </c>
      <c r="C61" s="36">
        <f aca="true" t="shared" si="22" ref="C61:N61">SUM(C62:C75)</f>
        <v>699240.8</v>
      </c>
      <c r="D61" s="36">
        <f t="shared" si="22"/>
        <v>679664.54</v>
      </c>
      <c r="E61" s="36">
        <f t="shared" si="22"/>
        <v>116776.05</v>
      </c>
      <c r="F61" s="36">
        <f t="shared" si="22"/>
        <v>701327.82</v>
      </c>
      <c r="G61" s="36">
        <f t="shared" si="22"/>
        <v>822576.01</v>
      </c>
      <c r="H61" s="36">
        <f t="shared" si="22"/>
        <v>686727.27</v>
      </c>
      <c r="I61" s="36">
        <f t="shared" si="22"/>
        <v>172153.01</v>
      </c>
      <c r="J61" s="36">
        <f t="shared" si="22"/>
        <v>776339.7999999999</v>
      </c>
      <c r="K61" s="36">
        <f t="shared" si="22"/>
        <v>625525.12</v>
      </c>
      <c r="L61" s="36">
        <f t="shared" si="22"/>
        <v>761704.19</v>
      </c>
      <c r="M61" s="36">
        <f t="shared" si="22"/>
        <v>353494.05</v>
      </c>
      <c r="N61" s="36">
        <f t="shared" si="22"/>
        <v>210710.05</v>
      </c>
      <c r="O61" s="29">
        <f>SUM(O62:O75)</f>
        <v>7604517.709999999</v>
      </c>
    </row>
    <row r="62" spans="1:16" ht="18.75" customHeight="1">
      <c r="A62" s="17" t="s">
        <v>70</v>
      </c>
      <c r="B62" s="36">
        <f>192764.06+567.13</f>
        <v>193331.19</v>
      </c>
      <c r="C62" s="36">
        <v>200644.07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29">
        <f>SUM(B62:N62)</f>
        <v>393975.26</v>
      </c>
      <c r="P62"/>
    </row>
    <row r="63" spans="1:16" ht="18.75" customHeight="1">
      <c r="A63" s="17" t="s">
        <v>71</v>
      </c>
      <c r="B63" s="36">
        <f>801446.29+3501.52</f>
        <v>804947.81</v>
      </c>
      <c r="C63" s="36">
        <f>495747.31+2849.42</f>
        <v>498596.73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29">
        <f aca="true" t="shared" si="23" ref="O63:O74">SUM(B63:N63)</f>
        <v>1303544.54</v>
      </c>
      <c r="P63"/>
    </row>
    <row r="64" spans="1:17" ht="18.75" customHeight="1">
      <c r="A64" s="17" t="s">
        <v>72</v>
      </c>
      <c r="B64" s="35">
        <v>0</v>
      </c>
      <c r="C64" s="35">
        <v>0</v>
      </c>
      <c r="D64" s="26">
        <v>679664.54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26">
        <f t="shared" si="23"/>
        <v>679664.54</v>
      </c>
      <c r="Q64"/>
    </row>
    <row r="65" spans="1:18" ht="18.75" customHeight="1">
      <c r="A65" s="17" t="s">
        <v>73</v>
      </c>
      <c r="B65" s="35">
        <v>0</v>
      </c>
      <c r="C65" s="35">
        <v>0</v>
      </c>
      <c r="D65" s="35">
        <v>0</v>
      </c>
      <c r="E65" s="26">
        <v>116776.05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 t="shared" si="23"/>
        <v>116776.05</v>
      </c>
      <c r="R65"/>
    </row>
    <row r="66" spans="1:19" ht="18.75" customHeight="1">
      <c r="A66" s="17" t="s">
        <v>74</v>
      </c>
      <c r="B66" s="35">
        <v>0</v>
      </c>
      <c r="C66" s="35">
        <v>0</v>
      </c>
      <c r="D66" s="35">
        <v>0</v>
      </c>
      <c r="E66" s="35">
        <v>0</v>
      </c>
      <c r="F66" s="26">
        <v>701327.82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6">
        <f t="shared" si="23"/>
        <v>701327.82</v>
      </c>
      <c r="S66"/>
    </row>
    <row r="67" spans="1:20" ht="18.75" customHeight="1">
      <c r="A67" s="17" t="s">
        <v>75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822576.01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9">
        <f t="shared" si="23"/>
        <v>822576.01</v>
      </c>
      <c r="T67"/>
    </row>
    <row r="68" spans="1:21" ht="18.75" customHeight="1">
      <c r="A68" s="17" t="s">
        <v>105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f>683223.91+3503.36</f>
        <v>686727.27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686727.27</v>
      </c>
      <c r="U68"/>
    </row>
    <row r="69" spans="1:21" ht="18.75" customHeight="1">
      <c r="A69" s="17" t="s">
        <v>76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6">
        <f>172153.01</f>
        <v>172153.01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9">
        <f t="shared" si="23"/>
        <v>172153.01</v>
      </c>
      <c r="U69"/>
    </row>
    <row r="70" spans="1:22" ht="18.75" customHeight="1">
      <c r="A70" s="17" t="s">
        <v>77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f>772281.58+4058.22</f>
        <v>776339.7999999999</v>
      </c>
      <c r="K70" s="35">
        <v>0</v>
      </c>
      <c r="L70" s="35">
        <v>0</v>
      </c>
      <c r="M70" s="35">
        <v>0</v>
      </c>
      <c r="N70" s="35">
        <v>0</v>
      </c>
      <c r="O70" s="26">
        <f t="shared" si="23"/>
        <v>776339.7999999999</v>
      </c>
      <c r="V70"/>
    </row>
    <row r="71" spans="1:23" ht="18.75" customHeight="1">
      <c r="A71" s="17" t="s">
        <v>78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f>622017.77+3507.35</f>
        <v>625525.12</v>
      </c>
      <c r="L71" s="35">
        <v>0</v>
      </c>
      <c r="M71" s="35">
        <v>0</v>
      </c>
      <c r="N71" s="35">
        <v>0</v>
      </c>
      <c r="O71" s="29">
        <f t="shared" si="23"/>
        <v>625525.12</v>
      </c>
      <c r="W71"/>
    </row>
    <row r="72" spans="1:24" ht="18.75" customHeight="1">
      <c r="A72" s="17" t="s">
        <v>79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f>757645.97+4058.22</f>
        <v>761704.19</v>
      </c>
      <c r="M72" s="35">
        <v>0</v>
      </c>
      <c r="N72" s="35">
        <v>0</v>
      </c>
      <c r="O72" s="26">
        <f t="shared" si="23"/>
        <v>761704.19</v>
      </c>
      <c r="X72"/>
    </row>
    <row r="73" spans="1:25" ht="18.75" customHeight="1">
      <c r="A73" s="17" t="s">
        <v>80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f>351158.97+2335.08</f>
        <v>353494.05</v>
      </c>
      <c r="N73" s="35">
        <v>0</v>
      </c>
      <c r="O73" s="29">
        <f t="shared" si="23"/>
        <v>353494.05</v>
      </c>
      <c r="Y73"/>
    </row>
    <row r="74" spans="1:26" ht="18.75" customHeight="1">
      <c r="A74" s="17" t="s">
        <v>81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26">
        <v>210710.05</v>
      </c>
      <c r="O74" s="26">
        <f t="shared" si="23"/>
        <v>210710.05</v>
      </c>
      <c r="P74"/>
      <c r="Z74"/>
    </row>
    <row r="75" spans="1:26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/>
      <c r="Q75"/>
      <c r="R75"/>
      <c r="S75"/>
      <c r="T75"/>
      <c r="U75"/>
      <c r="V75"/>
      <c r="W75"/>
      <c r="X75"/>
      <c r="Y75"/>
      <c r="Z75"/>
    </row>
    <row r="76" spans="1:15" ht="17.25" customHeight="1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1:15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</row>
    <row r="78" spans="1:15" ht="18.75" customHeight="1">
      <c r="A78" s="2" t="s">
        <v>103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29"/>
    </row>
    <row r="79" spans="1:16" ht="18.75" customHeight="1">
      <c r="A79" s="17" t="s">
        <v>82</v>
      </c>
      <c r="B79" s="44">
        <v>2.3318803493198725</v>
      </c>
      <c r="C79" s="44">
        <v>2.2969139559155045</v>
      </c>
      <c r="D79" s="44">
        <v>0</v>
      </c>
      <c r="E79" s="44">
        <v>0</v>
      </c>
      <c r="F79" s="35">
        <v>0</v>
      </c>
      <c r="G79" s="35">
        <v>0</v>
      </c>
      <c r="H79" s="35">
        <v>0</v>
      </c>
      <c r="I79" s="44">
        <v>0</v>
      </c>
      <c r="J79" s="44">
        <v>0</v>
      </c>
      <c r="K79" s="44">
        <v>0</v>
      </c>
      <c r="L79" s="35">
        <v>0</v>
      </c>
      <c r="M79" s="44">
        <v>0</v>
      </c>
      <c r="N79" s="44">
        <v>0</v>
      </c>
      <c r="O79" s="29"/>
      <c r="P79"/>
    </row>
    <row r="80" spans="1:16" ht="18.75" customHeight="1">
      <c r="A80" s="17" t="s">
        <v>83</v>
      </c>
      <c r="B80" s="44">
        <v>2.03865592321825</v>
      </c>
      <c r="C80" s="44">
        <v>1.923918239319086</v>
      </c>
      <c r="D80" s="44">
        <v>0</v>
      </c>
      <c r="E80" s="44">
        <v>0</v>
      </c>
      <c r="F80" s="35">
        <v>0</v>
      </c>
      <c r="G80" s="35">
        <v>0</v>
      </c>
      <c r="H80" s="35">
        <v>0</v>
      </c>
      <c r="I80" s="44">
        <v>0</v>
      </c>
      <c r="J80" s="44">
        <v>0</v>
      </c>
      <c r="K80" s="44">
        <v>0</v>
      </c>
      <c r="L80" s="35">
        <v>0</v>
      </c>
      <c r="M80" s="44">
        <v>0</v>
      </c>
      <c r="N80" s="44">
        <v>0</v>
      </c>
      <c r="O80" s="29"/>
      <c r="P80"/>
    </row>
    <row r="81" spans="1:17" ht="18.75" customHeight="1">
      <c r="A81" s="17" t="s">
        <v>84</v>
      </c>
      <c r="B81" s="44">
        <v>0</v>
      </c>
      <c r="C81" s="44">
        <v>0</v>
      </c>
      <c r="D81" s="22">
        <f>(D$37+D$38+D$39)/D$7</f>
        <v>1.8683008280473523</v>
      </c>
      <c r="E81" s="44">
        <v>0</v>
      </c>
      <c r="F81" s="35">
        <v>0</v>
      </c>
      <c r="G81" s="35">
        <v>0</v>
      </c>
      <c r="H81" s="35">
        <v>0</v>
      </c>
      <c r="I81" s="44">
        <v>0</v>
      </c>
      <c r="J81" s="44">
        <v>0</v>
      </c>
      <c r="K81" s="44">
        <v>0</v>
      </c>
      <c r="L81" s="35">
        <v>0</v>
      </c>
      <c r="M81" s="44">
        <v>0</v>
      </c>
      <c r="N81" s="44">
        <v>0</v>
      </c>
      <c r="O81" s="26"/>
      <c r="Q81"/>
    </row>
    <row r="82" spans="1:18" ht="18.75" customHeight="1">
      <c r="A82" s="17" t="s">
        <v>85</v>
      </c>
      <c r="B82" s="44">
        <v>0</v>
      </c>
      <c r="C82" s="44">
        <v>0</v>
      </c>
      <c r="D82" s="44">
        <v>0</v>
      </c>
      <c r="E82" s="22">
        <f>(E$37+E$38+E$39)/E$7</f>
        <v>2.601867591685912</v>
      </c>
      <c r="F82" s="35">
        <v>0</v>
      </c>
      <c r="G82" s="35">
        <v>0</v>
      </c>
      <c r="H82" s="35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R82"/>
    </row>
    <row r="83" spans="1:19" ht="18.75" customHeight="1">
      <c r="A83" s="17" t="s">
        <v>86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2.1813253177700203</v>
      </c>
      <c r="G83" s="35">
        <v>0</v>
      </c>
      <c r="H83" s="35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6"/>
      <c r="S83"/>
    </row>
    <row r="84" spans="1:20" ht="18.75" customHeight="1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1.729946229579183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9"/>
      <c r="T84"/>
    </row>
    <row r="85" spans="1:21" ht="18.75" customHeight="1">
      <c r="A85" s="17" t="s">
        <v>104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f>(H$37+H$38+H$39)/H$7</f>
        <v>2.034614535763458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U85"/>
    </row>
    <row r="86" spans="1:21" ht="18.75" customHeight="1">
      <c r="A86" s="17" t="s">
        <v>88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35">
        <v>0</v>
      </c>
      <c r="I86" s="44">
        <f>(I$37+I$38+I$39)/I$7</f>
        <v>1.9911964661922918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9"/>
      <c r="U86"/>
    </row>
    <row r="87" spans="1:22" ht="18.75" customHeight="1">
      <c r="A87" s="17" t="s">
        <v>89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35">
        <v>0</v>
      </c>
      <c r="I87" s="44">
        <v>0</v>
      </c>
      <c r="J87" s="44">
        <f>(J$37+J$38+J$39)/J$7</f>
        <v>1.9765599598523955</v>
      </c>
      <c r="K87" s="44">
        <v>0</v>
      </c>
      <c r="L87" s="35">
        <v>0</v>
      </c>
      <c r="M87" s="44">
        <v>0</v>
      </c>
      <c r="N87" s="44">
        <v>0</v>
      </c>
      <c r="O87" s="26"/>
      <c r="V87"/>
    </row>
    <row r="88" spans="1:23" ht="18.75" customHeight="1">
      <c r="A88" s="17" t="s">
        <v>90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35">
        <v>0</v>
      </c>
      <c r="I88" s="44">
        <v>0</v>
      </c>
      <c r="J88" s="44">
        <v>0</v>
      </c>
      <c r="K88" s="44">
        <f>(K$37+K$38+K$39)/K$7</f>
        <v>2.226148324075324</v>
      </c>
      <c r="L88" s="35">
        <v>0</v>
      </c>
      <c r="M88" s="44">
        <v>0</v>
      </c>
      <c r="N88" s="44">
        <v>0</v>
      </c>
      <c r="O88" s="29"/>
      <c r="W88"/>
    </row>
    <row r="89" spans="1:24" ht="18.75" customHeight="1">
      <c r="A89" s="17" t="s">
        <v>91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35">
        <v>0</v>
      </c>
      <c r="I89" s="44">
        <v>0</v>
      </c>
      <c r="J89" s="44">
        <v>0</v>
      </c>
      <c r="K89" s="44">
        <v>0</v>
      </c>
      <c r="L89" s="22">
        <f>(L$37+L$38+L$39)/L$7</f>
        <v>2.1284256949759133</v>
      </c>
      <c r="M89" s="44">
        <v>0</v>
      </c>
      <c r="N89" s="44">
        <v>0</v>
      </c>
      <c r="O89" s="26"/>
      <c r="X89"/>
    </row>
    <row r="90" spans="1:25" ht="18.75" customHeight="1">
      <c r="A90" s="17" t="s">
        <v>92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35">
        <v>0</v>
      </c>
      <c r="I90" s="44">
        <v>0</v>
      </c>
      <c r="J90" s="44">
        <v>0</v>
      </c>
      <c r="K90" s="44">
        <v>0</v>
      </c>
      <c r="L90" s="44">
        <v>0</v>
      </c>
      <c r="M90" s="44">
        <f>(M$37+M$38+M$39)/M$7</f>
        <v>2.5271527540913294</v>
      </c>
      <c r="N90" s="44">
        <v>0</v>
      </c>
      <c r="O90" s="61"/>
      <c r="Y90"/>
    </row>
    <row r="91" spans="1:26" ht="18.75" customHeight="1">
      <c r="A91" s="34" t="s">
        <v>93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9">
        <f>(N$37+N$38+N$39)/N$7</f>
        <v>2.4754557489027094</v>
      </c>
      <c r="O91" s="50"/>
      <c r="P91"/>
      <c r="Z91"/>
    </row>
    <row r="92" spans="1:13" ht="51" customHeight="1">
      <c r="A92" s="74" t="s">
        <v>101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5" ht="14.25">
      <c r="B95" s="40"/>
    </row>
    <row r="96" ht="14.25">
      <c r="I96" s="41"/>
    </row>
    <row r="97" ht="14.25"/>
    <row r="98" spans="9:12" ht="14.25">
      <c r="I98" s="42"/>
      <c r="J98" s="43"/>
      <c r="K98" s="43"/>
      <c r="L98" s="43"/>
    </row>
  </sheetData>
  <sheetProtection/>
  <mergeCells count="7">
    <mergeCell ref="A92:M92"/>
    <mergeCell ref="A76:O76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2017-09-22T19:53:28Z</dcterms:modified>
  <cp:category/>
  <cp:version/>
  <cp:contentType/>
  <cp:contentStatus/>
</cp:coreProperties>
</file>