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<sst xmlns="http://schemas.openxmlformats.org/spreadsheetml/2006/main" count="106" uniqueCount="104">
  <si>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</si>
  <si>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</si>
  <si>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</si>
  <si>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</si>
  <si>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</si>
  <si>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</si>
  <si>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</si>
  <si>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</si>
  <si>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</si>
  <si>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</si>
  <si>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</si>
  <si>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</si>
  <si>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</si>
  <si>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</si>
  <si>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</si>
  <si>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</si>
  <si>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</si>
  <si>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</si>
  <si>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</si>
  <si>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</si>
  <si>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</si>
  <si>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</si>
  <si>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</si>
  <si>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</si>
  <si>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</si>
  <si>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</si>
  <si>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</si>
  <si>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</si>
  <si>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</si>
  <si>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</si>
  <si>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</si>
  <si>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</si>
  <si>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</si>
  <si>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</si>
  <si>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</si>
  <si>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</si>
  <si>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</si>
  <si>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</si>
  <si>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</si>
  <si>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</si>
  <si>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</si>
  <si>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</si>
  <si>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</si>
  <si>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</si>
  <si>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</si>
  <si>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</si>
  <si>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</si>
  <si>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</si>
  <si>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</si>
  <si>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</si>
  <si>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</si>
  <si>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</si>
  <si>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</si>
  <si>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</si>
  <si>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</si>
  <si>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</si>
  <si>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</si>
  <si>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</si>
  <si>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</si>
  <si>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</si>
  <si>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</si>
  <si>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</si>
  <si>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</si>
  <si>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</si>
  <si>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</si>
  <si>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</si>
  <si>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</si>
  <si>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</si>
  <si>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</si>
  <si>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</si>
  <si>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</si>
  <si>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</si>
  <si>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</si>
  <si>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</si>
  <si>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</si>
  <si>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</si>
  <si>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</si>
  <si>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</si>
  <si>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</si>
  <si>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</si>
  <si>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</si>
  <si>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</si>
  <si>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</si>
  <si>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</si>
  <si>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</si>
  <si>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</si>
  <si>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</si>
  <si>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</si>
  <si>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</si>
  <si>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</si>
  <si>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</si>
  <si>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</si>
  <si>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</si>
  <si>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</si>
  <si>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</si>
  <si>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</si>
  <si>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</si>
  <si>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</si>
  <si>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</si>
  <si>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</si>
  <si>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05/09/17 - VENCIMENTO 13/09/17</t>
  </si>
  <si>
    <t>5.2.8. Ajuste de Remuneração Previsto Contratualmente (1)</t>
  </si>
  <si>
    <t>Nota: (1) Ajuste de remuneração previsto contratualmente, período de 25/07 a 24/08/17, parcela 04/16.
             (2) Tarifa de remuneração de cada empresa considerando o  reequilibrio interno estabelecido e informado pelo consórcio. Não consideram os acertos financeiros previstos no item 7.</t>
  </si>
  <si>
    <t>8. Tarifa de Remuneração por Passageiro (2)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</si>
</sst>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698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698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698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100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530091</v>
      </c>
      <c r="C7" s="10">
        <f>C8+C20+C24</f>
        <v>396898</v>
      </c>
      <c r="D7" s="10">
        <f>D8+D20+D24</f>
        <v>395277</v>
      </c>
      <c r="E7" s="10">
        <f>E8+E20+E24</f>
        <v>55989</v>
      </c>
      <c r="F7" s="10">
        <f aca="true" t="shared" si="0" ref="F7:M7">F8+F20+F24</f>
        <v>351252</v>
      </c>
      <c r="G7" s="10">
        <f t="shared" si="0"/>
        <v>553913</v>
      </c>
      <c r="H7" s="10">
        <f t="shared" si="0"/>
        <v>497054</v>
      </c>
      <c r="I7" s="10">
        <f t="shared" si="0"/>
        <v>441417</v>
      </c>
      <c r="J7" s="10">
        <f t="shared" si="0"/>
        <v>313270</v>
      </c>
      <c r="K7" s="10">
        <f t="shared" si="0"/>
        <v>395756</v>
      </c>
      <c r="L7" s="10">
        <f t="shared" si="0"/>
        <v>155682</v>
      </c>
      <c r="M7" s="10">
        <f t="shared" si="0"/>
        <v>94806</v>
      </c>
      <c r="N7" s="10">
        <f>+N8+N20+N24</f>
        <v>4181405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216606</v>
      </c>
      <c r="C8" s="12">
        <f>+C9+C12+C16</f>
        <v>175799</v>
      </c>
      <c r="D8" s="12">
        <f>+D9+D12+D16</f>
        <v>188770</v>
      </c>
      <c r="E8" s="12">
        <f>+E9+E12+E16</f>
        <v>23925</v>
      </c>
      <c r="F8" s="12">
        <f aca="true" t="shared" si="1" ref="F8:M8">+F9+F12+F16</f>
        <v>153205</v>
      </c>
      <c r="G8" s="12">
        <f t="shared" si="1"/>
        <v>249908</v>
      </c>
      <c r="H8" s="12">
        <f t="shared" si="1"/>
        <v>218078</v>
      </c>
      <c r="I8" s="12">
        <f t="shared" si="1"/>
        <v>198933</v>
      </c>
      <c r="J8" s="12">
        <f t="shared" si="1"/>
        <v>142567</v>
      </c>
      <c r="K8" s="12">
        <f t="shared" si="1"/>
        <v>167290</v>
      </c>
      <c r="L8" s="12">
        <f t="shared" si="1"/>
        <v>76452</v>
      </c>
      <c r="M8" s="12">
        <f t="shared" si="1"/>
        <v>47948</v>
      </c>
      <c r="N8" s="12">
        <f>SUM(B8:M8)</f>
        <v>1859481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18712</v>
      </c>
      <c r="C9" s="14">
        <v>19570</v>
      </c>
      <c r="D9" s="14">
        <v>13759</v>
      </c>
      <c r="E9" s="14">
        <v>1632</v>
      </c>
      <c r="F9" s="14">
        <v>11735</v>
      </c>
      <c r="G9" s="14">
        <v>22309</v>
      </c>
      <c r="H9" s="14">
        <v>25026</v>
      </c>
      <c r="I9" s="14">
        <v>11477</v>
      </c>
      <c r="J9" s="14">
        <v>15612</v>
      </c>
      <c r="K9" s="14">
        <v>12311</v>
      </c>
      <c r="L9" s="14">
        <v>8271</v>
      </c>
      <c r="M9" s="14">
        <v>5469</v>
      </c>
      <c r="N9" s="12">
        <f aca="true" t="shared" si="2" ref="N9:N19">SUM(B9:M9)</f>
        <v>165883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18712</v>
      </c>
      <c r="C10" s="14">
        <f>+C9-C11</f>
        <v>19570</v>
      </c>
      <c r="D10" s="14">
        <f>+D9-D11</f>
        <v>13759</v>
      </c>
      <c r="E10" s="14">
        <f>+E9-E11</f>
        <v>1632</v>
      </c>
      <c r="F10" s="14">
        <f aca="true" t="shared" si="3" ref="F10:M10">+F9-F11</f>
        <v>11735</v>
      </c>
      <c r="G10" s="14">
        <f t="shared" si="3"/>
        <v>22309</v>
      </c>
      <c r="H10" s="14">
        <f t="shared" si="3"/>
        <v>25026</v>
      </c>
      <c r="I10" s="14">
        <f t="shared" si="3"/>
        <v>11477</v>
      </c>
      <c r="J10" s="14">
        <f t="shared" si="3"/>
        <v>15612</v>
      </c>
      <c r="K10" s="14">
        <f t="shared" si="3"/>
        <v>12311</v>
      </c>
      <c r="L10" s="14">
        <f t="shared" si="3"/>
        <v>8271</v>
      </c>
      <c r="M10" s="14">
        <f t="shared" si="3"/>
        <v>5469</v>
      </c>
      <c r="N10" s="12">
        <f t="shared" si="2"/>
        <v>165883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185923</v>
      </c>
      <c r="C12" s="14">
        <f>C13+C14+C15</f>
        <v>147115</v>
      </c>
      <c r="D12" s="14">
        <f>D13+D14+D15</f>
        <v>165520</v>
      </c>
      <c r="E12" s="14">
        <f>E13+E14+E15</f>
        <v>21052</v>
      </c>
      <c r="F12" s="14">
        <f aca="true" t="shared" si="4" ref="F12:M12">F13+F14+F15</f>
        <v>133236</v>
      </c>
      <c r="G12" s="14">
        <f t="shared" si="4"/>
        <v>213138</v>
      </c>
      <c r="H12" s="14">
        <f t="shared" si="4"/>
        <v>181593</v>
      </c>
      <c r="I12" s="14">
        <f t="shared" si="4"/>
        <v>175586</v>
      </c>
      <c r="J12" s="14">
        <f t="shared" si="4"/>
        <v>119238</v>
      </c>
      <c r="K12" s="14">
        <f t="shared" si="4"/>
        <v>144201</v>
      </c>
      <c r="L12" s="14">
        <f t="shared" si="4"/>
        <v>64432</v>
      </c>
      <c r="M12" s="14">
        <f t="shared" si="4"/>
        <v>40354</v>
      </c>
      <c r="N12" s="12">
        <f t="shared" si="2"/>
        <v>1591388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86471</v>
      </c>
      <c r="C13" s="14">
        <v>69885</v>
      </c>
      <c r="D13" s="14">
        <v>75559</v>
      </c>
      <c r="E13" s="14">
        <v>10072</v>
      </c>
      <c r="F13" s="14">
        <v>60282</v>
      </c>
      <c r="G13" s="14">
        <v>98665</v>
      </c>
      <c r="H13" s="14">
        <v>89269</v>
      </c>
      <c r="I13" s="14">
        <v>84752</v>
      </c>
      <c r="J13" s="14">
        <v>55422</v>
      </c>
      <c r="K13" s="14">
        <v>67279</v>
      </c>
      <c r="L13" s="14">
        <v>29486</v>
      </c>
      <c r="M13" s="14">
        <v>18014</v>
      </c>
      <c r="N13" s="12">
        <f t="shared" si="2"/>
        <v>745156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94339</v>
      </c>
      <c r="C14" s="14">
        <v>70798</v>
      </c>
      <c r="D14" s="14">
        <v>86634</v>
      </c>
      <c r="E14" s="14">
        <v>10238</v>
      </c>
      <c r="F14" s="14">
        <v>68515</v>
      </c>
      <c r="G14" s="14">
        <v>104992</v>
      </c>
      <c r="H14" s="14">
        <v>86070</v>
      </c>
      <c r="I14" s="14">
        <v>87485</v>
      </c>
      <c r="J14" s="14">
        <v>59959</v>
      </c>
      <c r="K14" s="14">
        <v>73347</v>
      </c>
      <c r="L14" s="14">
        <v>32902</v>
      </c>
      <c r="M14" s="14">
        <v>21350</v>
      </c>
      <c r="N14" s="12">
        <f t="shared" si="2"/>
        <v>796629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5113</v>
      </c>
      <c r="C15" s="14">
        <v>6432</v>
      </c>
      <c r="D15" s="14">
        <v>3327</v>
      </c>
      <c r="E15" s="14">
        <v>742</v>
      </c>
      <c r="F15" s="14">
        <v>4439</v>
      </c>
      <c r="G15" s="14">
        <v>9481</v>
      </c>
      <c r="H15" s="14">
        <v>6254</v>
      </c>
      <c r="I15" s="14">
        <v>3349</v>
      </c>
      <c r="J15" s="14">
        <v>3857</v>
      </c>
      <c r="K15" s="14">
        <v>3575</v>
      </c>
      <c r="L15" s="14">
        <v>2044</v>
      </c>
      <c r="M15" s="14">
        <v>990</v>
      </c>
      <c r="N15" s="12">
        <f t="shared" si="2"/>
        <v>49603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11971</v>
      </c>
      <c r="C16" s="14">
        <f>C17+C18+C19</f>
        <v>9114</v>
      </c>
      <c r="D16" s="14">
        <f>D17+D18+D19</f>
        <v>9491</v>
      </c>
      <c r="E16" s="14">
        <f>E17+E18+E19</f>
        <v>1241</v>
      </c>
      <c r="F16" s="14">
        <f aca="true" t="shared" si="5" ref="F16:M16">F17+F18+F19</f>
        <v>8234</v>
      </c>
      <c r="G16" s="14">
        <f t="shared" si="5"/>
        <v>14461</v>
      </c>
      <c r="H16" s="14">
        <f t="shared" si="5"/>
        <v>11459</v>
      </c>
      <c r="I16" s="14">
        <f t="shared" si="5"/>
        <v>11870</v>
      </c>
      <c r="J16" s="14">
        <f t="shared" si="5"/>
        <v>7717</v>
      </c>
      <c r="K16" s="14">
        <f t="shared" si="5"/>
        <v>10778</v>
      </c>
      <c r="L16" s="14">
        <f t="shared" si="5"/>
        <v>3749</v>
      </c>
      <c r="M16" s="14">
        <f t="shared" si="5"/>
        <v>2125</v>
      </c>
      <c r="N16" s="12">
        <f t="shared" si="2"/>
        <v>102210</v>
      </c>
    </row>
    <row r="17" spans="1:25" ht="18.75" customHeight="1">
      <c r="A17" s="15" t="s">
        <v>16</v>
      </c>
      <c r="B17" s="14">
        <v>11876</v>
      </c>
      <c r="C17" s="14">
        <v>9057</v>
      </c>
      <c r="D17" s="14">
        <v>9417</v>
      </c>
      <c r="E17" s="14">
        <v>1234</v>
      </c>
      <c r="F17" s="14">
        <v>8168</v>
      </c>
      <c r="G17" s="14">
        <v>14378</v>
      </c>
      <c r="H17" s="14">
        <v>11370</v>
      </c>
      <c r="I17" s="14">
        <v>11802</v>
      </c>
      <c r="J17" s="14">
        <v>7644</v>
      </c>
      <c r="K17" s="14">
        <v>10687</v>
      </c>
      <c r="L17" s="14">
        <v>3712</v>
      </c>
      <c r="M17" s="14">
        <v>2100</v>
      </c>
      <c r="N17" s="12">
        <f t="shared" si="2"/>
        <v>101445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89</v>
      </c>
      <c r="C18" s="14">
        <v>51</v>
      </c>
      <c r="D18" s="14">
        <v>70</v>
      </c>
      <c r="E18" s="14">
        <v>7</v>
      </c>
      <c r="F18" s="14">
        <v>61</v>
      </c>
      <c r="G18" s="14">
        <v>74</v>
      </c>
      <c r="H18" s="14">
        <v>78</v>
      </c>
      <c r="I18" s="14">
        <v>65</v>
      </c>
      <c r="J18" s="14">
        <v>70</v>
      </c>
      <c r="K18" s="14">
        <v>91</v>
      </c>
      <c r="L18" s="14">
        <v>37</v>
      </c>
      <c r="M18" s="14">
        <v>24</v>
      </c>
      <c r="N18" s="12">
        <f t="shared" si="2"/>
        <v>717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6</v>
      </c>
      <c r="C19" s="14">
        <v>6</v>
      </c>
      <c r="D19" s="14">
        <v>4</v>
      </c>
      <c r="E19" s="14">
        <v>0</v>
      </c>
      <c r="F19" s="14">
        <v>5</v>
      </c>
      <c r="G19" s="14">
        <v>9</v>
      </c>
      <c r="H19" s="14">
        <v>11</v>
      </c>
      <c r="I19" s="14">
        <v>3</v>
      </c>
      <c r="J19" s="14">
        <v>3</v>
      </c>
      <c r="K19" s="14">
        <v>0</v>
      </c>
      <c r="L19" s="14">
        <v>0</v>
      </c>
      <c r="M19" s="14">
        <v>1</v>
      </c>
      <c r="N19" s="12">
        <f t="shared" si="2"/>
        <v>48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137195</v>
      </c>
      <c r="C20" s="18">
        <f>C21+C22+C23</f>
        <v>87246</v>
      </c>
      <c r="D20" s="18">
        <f>D21+D22+D23</f>
        <v>79899</v>
      </c>
      <c r="E20" s="18">
        <f>E21+E22+E23</f>
        <v>11543</v>
      </c>
      <c r="F20" s="18">
        <f aca="true" t="shared" si="6" ref="F20:M20">F21+F22+F23</f>
        <v>71158</v>
      </c>
      <c r="G20" s="18">
        <f t="shared" si="6"/>
        <v>113764</v>
      </c>
      <c r="H20" s="18">
        <f t="shared" si="6"/>
        <v>118622</v>
      </c>
      <c r="I20" s="18">
        <f t="shared" si="6"/>
        <v>110229</v>
      </c>
      <c r="J20" s="18">
        <f t="shared" si="6"/>
        <v>72613</v>
      </c>
      <c r="K20" s="18">
        <f t="shared" si="6"/>
        <v>114854</v>
      </c>
      <c r="L20" s="18">
        <f t="shared" si="6"/>
        <v>42315</v>
      </c>
      <c r="M20" s="18">
        <f t="shared" si="6"/>
        <v>24825</v>
      </c>
      <c r="N20" s="12">
        <f aca="true" t="shared" si="7" ref="N20:N26">SUM(B20:M20)</f>
        <v>984263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68057</v>
      </c>
      <c r="C21" s="14">
        <v>46398</v>
      </c>
      <c r="D21" s="14">
        <v>39206</v>
      </c>
      <c r="E21" s="14">
        <v>6072</v>
      </c>
      <c r="F21" s="14">
        <v>35020</v>
      </c>
      <c r="G21" s="14">
        <v>57923</v>
      </c>
      <c r="H21" s="14">
        <v>64856</v>
      </c>
      <c r="I21" s="14">
        <v>58336</v>
      </c>
      <c r="J21" s="14">
        <v>37370</v>
      </c>
      <c r="K21" s="14">
        <v>58384</v>
      </c>
      <c r="L21" s="14">
        <v>21561</v>
      </c>
      <c r="M21" s="14">
        <v>12210</v>
      </c>
      <c r="N21" s="12">
        <f t="shared" si="7"/>
        <v>505393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66540</v>
      </c>
      <c r="C22" s="14">
        <v>38526</v>
      </c>
      <c r="D22" s="14">
        <v>39470</v>
      </c>
      <c r="E22" s="14">
        <v>5190</v>
      </c>
      <c r="F22" s="14">
        <v>34431</v>
      </c>
      <c r="G22" s="14">
        <v>52555</v>
      </c>
      <c r="H22" s="14">
        <v>51442</v>
      </c>
      <c r="I22" s="14">
        <v>50220</v>
      </c>
      <c r="J22" s="14">
        <v>33713</v>
      </c>
      <c r="K22" s="14">
        <v>54574</v>
      </c>
      <c r="L22" s="14">
        <v>19852</v>
      </c>
      <c r="M22" s="14">
        <v>12161</v>
      </c>
      <c r="N22" s="12">
        <f t="shared" si="7"/>
        <v>458674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2598</v>
      </c>
      <c r="C23" s="14">
        <v>2322</v>
      </c>
      <c r="D23" s="14">
        <v>1223</v>
      </c>
      <c r="E23" s="14">
        <v>281</v>
      </c>
      <c r="F23" s="14">
        <v>1707</v>
      </c>
      <c r="G23" s="14">
        <v>3286</v>
      </c>
      <c r="H23" s="14">
        <v>2324</v>
      </c>
      <c r="I23" s="14">
        <v>1673</v>
      </c>
      <c r="J23" s="14">
        <v>1530</v>
      </c>
      <c r="K23" s="14">
        <v>1896</v>
      </c>
      <c r="L23" s="14">
        <v>902</v>
      </c>
      <c r="M23" s="14">
        <v>454</v>
      </c>
      <c r="N23" s="12">
        <f t="shared" si="7"/>
        <v>20196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176290</v>
      </c>
      <c r="C24" s="14">
        <f>C25+C26</f>
        <v>133853</v>
      </c>
      <c r="D24" s="14">
        <f>D25+D26</f>
        <v>126608</v>
      </c>
      <c r="E24" s="14">
        <f>E25+E26</f>
        <v>20521</v>
      </c>
      <c r="F24" s="14">
        <f aca="true" t="shared" si="8" ref="F24:M24">F25+F26</f>
        <v>126889</v>
      </c>
      <c r="G24" s="14">
        <f t="shared" si="8"/>
        <v>190241</v>
      </c>
      <c r="H24" s="14">
        <f t="shared" si="8"/>
        <v>160354</v>
      </c>
      <c r="I24" s="14">
        <f t="shared" si="8"/>
        <v>132255</v>
      </c>
      <c r="J24" s="14">
        <f t="shared" si="8"/>
        <v>98090</v>
      </c>
      <c r="K24" s="14">
        <f t="shared" si="8"/>
        <v>113612</v>
      </c>
      <c r="L24" s="14">
        <f t="shared" si="8"/>
        <v>36915</v>
      </c>
      <c r="M24" s="14">
        <f t="shared" si="8"/>
        <v>22033</v>
      </c>
      <c r="N24" s="12">
        <f t="shared" si="7"/>
        <v>1337661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73663</v>
      </c>
      <c r="C25" s="14">
        <v>64309</v>
      </c>
      <c r="D25" s="14">
        <v>59556</v>
      </c>
      <c r="E25" s="14">
        <v>10921</v>
      </c>
      <c r="F25" s="14">
        <v>59380</v>
      </c>
      <c r="G25" s="14">
        <v>95976</v>
      </c>
      <c r="H25" s="14">
        <v>82954</v>
      </c>
      <c r="I25" s="14">
        <v>58379</v>
      </c>
      <c r="J25" s="14">
        <v>48748</v>
      </c>
      <c r="K25" s="14">
        <v>50160</v>
      </c>
      <c r="L25" s="14">
        <v>16486</v>
      </c>
      <c r="M25" s="14">
        <v>8542</v>
      </c>
      <c r="N25" s="12">
        <f t="shared" si="7"/>
        <v>629074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102627</v>
      </c>
      <c r="C26" s="14">
        <v>69544</v>
      </c>
      <c r="D26" s="14">
        <v>67052</v>
      </c>
      <c r="E26" s="14">
        <v>9600</v>
      </c>
      <c r="F26" s="14">
        <v>67509</v>
      </c>
      <c r="G26" s="14">
        <v>94265</v>
      </c>
      <c r="H26" s="14">
        <v>77400</v>
      </c>
      <c r="I26" s="14">
        <v>73876</v>
      </c>
      <c r="J26" s="14">
        <v>49342</v>
      </c>
      <c r="K26" s="14">
        <v>63452</v>
      </c>
      <c r="L26" s="14">
        <v>20429</v>
      </c>
      <c r="M26" s="14">
        <v>13491</v>
      </c>
      <c r="N26" s="12">
        <f t="shared" si="7"/>
        <v>708587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1107847.62999686</v>
      </c>
      <c r="C36" s="60">
        <f aca="true" t="shared" si="11" ref="C36:M36">C37+C38+C39+C40</f>
        <v>801003.0911889999</v>
      </c>
      <c r="D36" s="60">
        <f t="shared" si="11"/>
        <v>748611.5738138501</v>
      </c>
      <c r="E36" s="60">
        <f t="shared" si="11"/>
        <v>145541.24329759998</v>
      </c>
      <c r="F36" s="60">
        <f t="shared" si="11"/>
        <v>766114.1449465998</v>
      </c>
      <c r="G36" s="60">
        <f t="shared" si="11"/>
        <v>958051.3024</v>
      </c>
      <c r="H36" s="60">
        <f t="shared" si="11"/>
        <v>1009803.8298000002</v>
      </c>
      <c r="I36" s="60">
        <f t="shared" si="11"/>
        <v>876333.9438205999</v>
      </c>
      <c r="J36" s="60">
        <f t="shared" si="11"/>
        <v>700814.1521609998</v>
      </c>
      <c r="K36" s="60">
        <f t="shared" si="11"/>
        <v>846236.93121856</v>
      </c>
      <c r="L36" s="60">
        <f t="shared" si="11"/>
        <v>395711.81828525994</v>
      </c>
      <c r="M36" s="60">
        <f t="shared" si="11"/>
        <v>234669.77355936</v>
      </c>
      <c r="N36" s="60">
        <f>N37+N38+N39+N40</f>
        <v>8590739.434488688</v>
      </c>
    </row>
    <row r="37" spans="1:14" ht="18.75" customHeight="1">
      <c r="A37" s="57" t="s">
        <v>54</v>
      </c>
      <c r="B37" s="54">
        <f aca="true" t="shared" si="12" ref="B37:M37">B29*B7</f>
        <v>1107307.0899</v>
      </c>
      <c r="C37" s="54">
        <f t="shared" si="12"/>
        <v>800940.1639999999</v>
      </c>
      <c r="D37" s="54">
        <f t="shared" si="12"/>
        <v>738456.4914</v>
      </c>
      <c r="E37" s="54">
        <f t="shared" si="12"/>
        <v>145246.66379999998</v>
      </c>
      <c r="F37" s="54">
        <f t="shared" si="12"/>
        <v>766185.9875999999</v>
      </c>
      <c r="G37" s="54">
        <f t="shared" si="12"/>
        <v>958214.0987</v>
      </c>
      <c r="H37" s="54">
        <f t="shared" si="12"/>
        <v>1006186.4122000001</v>
      </c>
      <c r="I37" s="54">
        <f t="shared" si="12"/>
        <v>872239.992</v>
      </c>
      <c r="J37" s="54">
        <f t="shared" si="12"/>
        <v>697182.3849999999</v>
      </c>
      <c r="K37" s="54">
        <f t="shared" si="12"/>
        <v>842050.0412</v>
      </c>
      <c r="L37" s="54">
        <f t="shared" si="12"/>
        <v>393252.73199999996</v>
      </c>
      <c r="M37" s="54">
        <f t="shared" si="12"/>
        <v>234644.85</v>
      </c>
      <c r="N37" s="56">
        <f>SUM(B37:M37)</f>
        <v>8561906.907799998</v>
      </c>
    </row>
    <row r="38" spans="1:14" ht="18.75" customHeight="1">
      <c r="A38" s="57" t="s">
        <v>55</v>
      </c>
      <c r="B38" s="54">
        <f aca="true" t="shared" si="13" ref="B38:M38">B30*B7</f>
        <v>-3283.66990314</v>
      </c>
      <c r="C38" s="54">
        <f t="shared" si="13"/>
        <v>-2329.592811</v>
      </c>
      <c r="D38" s="54">
        <f t="shared" si="13"/>
        <v>-2193.7675861499997</v>
      </c>
      <c r="E38" s="54">
        <f t="shared" si="13"/>
        <v>-351.7005024</v>
      </c>
      <c r="F38" s="54">
        <f t="shared" si="13"/>
        <v>-2233.2426534</v>
      </c>
      <c r="G38" s="54">
        <f t="shared" si="13"/>
        <v>-2824.9563000000003</v>
      </c>
      <c r="H38" s="54">
        <f t="shared" si="13"/>
        <v>-2783.5024</v>
      </c>
      <c r="I38" s="54">
        <f t="shared" si="13"/>
        <v>-2510.8681794</v>
      </c>
      <c r="J38" s="54">
        <f t="shared" si="13"/>
        <v>-1994.182839</v>
      </c>
      <c r="K38" s="54">
        <f t="shared" si="13"/>
        <v>-2473.56998144</v>
      </c>
      <c r="L38" s="54">
        <f t="shared" si="13"/>
        <v>-1147.15371474</v>
      </c>
      <c r="M38" s="54">
        <f t="shared" si="13"/>
        <v>-694.1164406400001</v>
      </c>
      <c r="N38" s="25">
        <f>SUM(B38:M38)</f>
        <v>-24820.32331131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567.13</v>
      </c>
      <c r="C40" s="54">
        <v>0</v>
      </c>
      <c r="D40" s="54">
        <v>10187.45</v>
      </c>
      <c r="E40" s="54">
        <v>0</v>
      </c>
      <c r="F40" s="54">
        <v>0</v>
      </c>
      <c r="G40" s="54">
        <v>0</v>
      </c>
      <c r="H40" s="54">
        <v>3503.36</v>
      </c>
      <c r="I40" s="54">
        <v>4058.22</v>
      </c>
      <c r="J40" s="54">
        <v>3507.35</v>
      </c>
      <c r="K40" s="54">
        <v>4058.22</v>
      </c>
      <c r="L40" s="54">
        <v>2335.08</v>
      </c>
      <c r="M40" s="54">
        <v>0</v>
      </c>
      <c r="N40" s="56">
        <f>SUM(B40:M40)</f>
        <v>28216.809999999998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+B43+B46+B55+B56</f>
        <v>-58357.340000000004</v>
      </c>
      <c r="C42" s="25">
        <f aca="true" t="shared" si="15" ref="C42:M42">+C43+C46+C55+C56</f>
        <v>-65401.770000000004</v>
      </c>
      <c r="D42" s="25">
        <f t="shared" si="15"/>
        <v>-43506.509999999995</v>
      </c>
      <c r="E42" s="25">
        <f t="shared" si="15"/>
        <v>-4437.68</v>
      </c>
      <c r="F42" s="25">
        <f t="shared" si="15"/>
        <v>-35879.26</v>
      </c>
      <c r="G42" s="25">
        <f t="shared" si="15"/>
        <v>-73893.76</v>
      </c>
      <c r="H42" s="25">
        <f t="shared" si="15"/>
        <v>-84147.79000000001</v>
      </c>
      <c r="I42" s="25">
        <f t="shared" si="15"/>
        <v>-33472.619999999995</v>
      </c>
      <c r="J42" s="25">
        <f t="shared" si="15"/>
        <v>-51264.99</v>
      </c>
      <c r="K42" s="25">
        <f t="shared" si="15"/>
        <v>-37025.8</v>
      </c>
      <c r="L42" s="25">
        <f t="shared" si="15"/>
        <v>-26936.11</v>
      </c>
      <c r="M42" s="25">
        <f t="shared" si="15"/>
        <v>-18163.620000000003</v>
      </c>
      <c r="N42" s="25">
        <f>+N43+N46+N55+N56</f>
        <v>-532487.25</v>
      </c>
    </row>
    <row r="43" spans="1:14" ht="18.75" customHeight="1">
      <c r="A43" s="17" t="s">
        <v>59</v>
      </c>
      <c r="B43" s="26">
        <f>B44+B45</f>
        <v>-71105.6</v>
      </c>
      <c r="C43" s="26">
        <f>C44+C45</f>
        <v>-74366</v>
      </c>
      <c r="D43" s="26">
        <f>D44+D45</f>
        <v>-52284.2</v>
      </c>
      <c r="E43" s="26">
        <f>E44+E45</f>
        <v>-6201.6</v>
      </c>
      <c r="F43" s="26">
        <f aca="true" t="shared" si="16" ref="F43:M43">F44+F45</f>
        <v>-44593</v>
      </c>
      <c r="G43" s="26">
        <f t="shared" si="16"/>
        <v>-84774.2</v>
      </c>
      <c r="H43" s="26">
        <f t="shared" si="16"/>
        <v>-95098.8</v>
      </c>
      <c r="I43" s="26">
        <f t="shared" si="16"/>
        <v>-43612.6</v>
      </c>
      <c r="J43" s="26">
        <f t="shared" si="16"/>
        <v>-59325.6</v>
      </c>
      <c r="K43" s="26">
        <f t="shared" si="16"/>
        <v>-46781.8</v>
      </c>
      <c r="L43" s="26">
        <f t="shared" si="16"/>
        <v>-31429.8</v>
      </c>
      <c r="M43" s="26">
        <f t="shared" si="16"/>
        <v>-20782.2</v>
      </c>
      <c r="N43" s="25">
        <f aca="true" t="shared" si="17" ref="N43:N56">SUM(B43:M43)</f>
        <v>-630355.4</v>
      </c>
    </row>
    <row r="44" spans="1:25" ht="18.75" customHeight="1">
      <c r="A44" s="13" t="s">
        <v>60</v>
      </c>
      <c r="B44" s="20">
        <f>ROUND(-B9*$D$3,2)</f>
        <v>-71105.6</v>
      </c>
      <c r="C44" s="20">
        <f>ROUND(-C9*$D$3,2)</f>
        <v>-74366</v>
      </c>
      <c r="D44" s="20">
        <f>ROUND(-D9*$D$3,2)</f>
        <v>-52284.2</v>
      </c>
      <c r="E44" s="20">
        <f>ROUND(-E9*$D$3,2)</f>
        <v>-6201.6</v>
      </c>
      <c r="F44" s="20">
        <f aca="true" t="shared" si="18" ref="F44:M44">ROUND(-F9*$D$3,2)</f>
        <v>-44593</v>
      </c>
      <c r="G44" s="20">
        <f t="shared" si="18"/>
        <v>-84774.2</v>
      </c>
      <c r="H44" s="20">
        <f t="shared" si="18"/>
        <v>-95098.8</v>
      </c>
      <c r="I44" s="20">
        <f t="shared" si="18"/>
        <v>-43612.6</v>
      </c>
      <c r="J44" s="20">
        <f t="shared" si="18"/>
        <v>-59325.6</v>
      </c>
      <c r="K44" s="20">
        <f t="shared" si="18"/>
        <v>-46781.8</v>
      </c>
      <c r="L44" s="20">
        <f t="shared" si="18"/>
        <v>-31429.8</v>
      </c>
      <c r="M44" s="20">
        <f t="shared" si="18"/>
        <v>-20782.2</v>
      </c>
      <c r="N44" s="46">
        <f t="shared" si="17"/>
        <v>-630355.4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 aca="true" t="shared" si="20" ref="B46:M46">SUM(B47:B54)</f>
        <v>12748.26</v>
      </c>
      <c r="C46" s="26">
        <f t="shared" si="20"/>
        <v>8964.23</v>
      </c>
      <c r="D46" s="26">
        <f t="shared" si="20"/>
        <v>8777.69</v>
      </c>
      <c r="E46" s="26">
        <f t="shared" si="20"/>
        <v>1763.92</v>
      </c>
      <c r="F46" s="26">
        <f t="shared" si="20"/>
        <v>8713.74</v>
      </c>
      <c r="G46" s="26">
        <f t="shared" si="20"/>
        <v>10880.44</v>
      </c>
      <c r="H46" s="26">
        <f t="shared" si="20"/>
        <v>10951.009999999998</v>
      </c>
      <c r="I46" s="26">
        <f t="shared" si="20"/>
        <v>10139.98</v>
      </c>
      <c r="J46" s="26">
        <f t="shared" si="20"/>
        <v>8060.61</v>
      </c>
      <c r="K46" s="26">
        <f t="shared" si="20"/>
        <v>9756</v>
      </c>
      <c r="L46" s="26">
        <f t="shared" si="20"/>
        <v>4493.69</v>
      </c>
      <c r="M46" s="26">
        <f t="shared" si="20"/>
        <v>2618.58</v>
      </c>
      <c r="N46" s="26">
        <f>SUM(N47:N54)</f>
        <v>97868.15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101</v>
      </c>
      <c r="B54" s="24">
        <f>2388.76+10359.5</f>
        <v>12748.26</v>
      </c>
      <c r="C54" s="24">
        <f>2576.36+6387.87</f>
        <v>8964.23</v>
      </c>
      <c r="D54" s="24">
        <v>8777.69</v>
      </c>
      <c r="E54" s="24">
        <v>1763.92</v>
      </c>
      <c r="F54" s="24">
        <v>8713.74</v>
      </c>
      <c r="G54" s="24">
        <v>10880.44</v>
      </c>
      <c r="H54" s="24">
        <f>8922.22+2528.79</f>
        <v>11451.009999999998</v>
      </c>
      <c r="I54" s="24">
        <v>10139.98</v>
      </c>
      <c r="J54" s="24">
        <v>8060.61</v>
      </c>
      <c r="K54" s="24">
        <v>9756</v>
      </c>
      <c r="L54" s="24">
        <v>4493.69</v>
      </c>
      <c r="M54" s="24">
        <v>2618.58</v>
      </c>
      <c r="N54" s="24">
        <f t="shared" si="17"/>
        <v>98368.15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71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20"/>
    </row>
    <row r="58" spans="1:25" ht="15.75">
      <c r="A58" s="2" t="s">
        <v>72</v>
      </c>
      <c r="B58" s="29">
        <f aca="true" t="shared" si="21" ref="B58:M58">+B36+B42</f>
        <v>1049490.2899968599</v>
      </c>
      <c r="C58" s="29">
        <f t="shared" si="21"/>
        <v>735601.3211889999</v>
      </c>
      <c r="D58" s="29">
        <f t="shared" si="21"/>
        <v>705105.06381385</v>
      </c>
      <c r="E58" s="29">
        <f t="shared" si="21"/>
        <v>141103.5632976</v>
      </c>
      <c r="F58" s="29">
        <f t="shared" si="21"/>
        <v>730234.8849465998</v>
      </c>
      <c r="G58" s="29">
        <f t="shared" si="21"/>
        <v>884157.5424</v>
      </c>
      <c r="H58" s="29">
        <f t="shared" si="21"/>
        <v>925656.0398000001</v>
      </c>
      <c r="I58" s="29">
        <f t="shared" si="21"/>
        <v>842861.3238205999</v>
      </c>
      <c r="J58" s="29">
        <f t="shared" si="21"/>
        <v>649549.1621609998</v>
      </c>
      <c r="K58" s="29">
        <f t="shared" si="21"/>
        <v>809211.1312185599</v>
      </c>
      <c r="L58" s="29">
        <f t="shared" si="21"/>
        <v>368775.70828525996</v>
      </c>
      <c r="M58" s="29">
        <f t="shared" si="21"/>
        <v>216506.15355936</v>
      </c>
      <c r="N58" s="29">
        <f>SUM(B58:M58)</f>
        <v>8058252.18448869</v>
      </c>
      <c r="O58"/>
      <c r="P58"/>
      <c r="Q58"/>
      <c r="R58"/>
      <c r="S58"/>
      <c r="T58"/>
      <c r="U58"/>
      <c r="V58"/>
      <c r="W58"/>
      <c r="X58"/>
      <c r="Y58"/>
    </row>
    <row r="59" spans="1:16" ht="15" customHeight="1">
      <c r="A59" s="3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  <c r="P59" s="72"/>
    </row>
    <row r="60" spans="1:14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4" ht="18.75" customHeight="1">
      <c r="A61" s="2" t="s">
        <v>73</v>
      </c>
      <c r="B61" s="36">
        <f>SUM(B62:B75)</f>
        <v>1049490.29</v>
      </c>
      <c r="C61" s="36">
        <f aca="true" t="shared" si="22" ref="C61:M61">SUM(C62:C75)</f>
        <v>735601.3300000001</v>
      </c>
      <c r="D61" s="36">
        <f t="shared" si="22"/>
        <v>705105.06</v>
      </c>
      <c r="E61" s="36">
        <f t="shared" si="22"/>
        <v>141103.56</v>
      </c>
      <c r="F61" s="36">
        <f t="shared" si="22"/>
        <v>730234.89</v>
      </c>
      <c r="G61" s="36">
        <f t="shared" si="22"/>
        <v>884157.54</v>
      </c>
      <c r="H61" s="36">
        <f t="shared" si="22"/>
        <v>925656.04</v>
      </c>
      <c r="I61" s="36">
        <f t="shared" si="22"/>
        <v>842861.33</v>
      </c>
      <c r="J61" s="36">
        <f t="shared" si="22"/>
        <v>649549.17</v>
      </c>
      <c r="K61" s="36">
        <f t="shared" si="22"/>
        <v>809211.13</v>
      </c>
      <c r="L61" s="36">
        <f t="shared" si="22"/>
        <v>368775.71</v>
      </c>
      <c r="M61" s="36">
        <f t="shared" si="22"/>
        <v>216506.15</v>
      </c>
      <c r="N61" s="29">
        <f>SUM(N62:N75)</f>
        <v>8058252.2</v>
      </c>
    </row>
    <row r="62" spans="1:15" ht="18.75" customHeight="1">
      <c r="A62" s="17" t="s">
        <v>74</v>
      </c>
      <c r="B62" s="36">
        <v>206264.92</v>
      </c>
      <c r="C62" s="36">
        <v>210794.07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417058.99</v>
      </c>
      <c r="O62"/>
    </row>
    <row r="63" spans="1:15" ht="18.75" customHeight="1">
      <c r="A63" s="17" t="s">
        <v>75</v>
      </c>
      <c r="B63" s="36">
        <v>843225.37</v>
      </c>
      <c r="C63" s="36">
        <v>524807.26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1368032.63</v>
      </c>
      <c r="O63"/>
    </row>
    <row r="64" spans="1:16" ht="18.75" customHeight="1">
      <c r="A64" s="17" t="s">
        <v>76</v>
      </c>
      <c r="B64" s="35">
        <v>0</v>
      </c>
      <c r="C64" s="35">
        <v>0</v>
      </c>
      <c r="D64" s="26">
        <v>705105.06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705105.06</v>
      </c>
      <c r="P64"/>
    </row>
    <row r="65" spans="1:17" ht="18.75" customHeight="1">
      <c r="A65" s="17" t="s">
        <v>77</v>
      </c>
      <c r="B65" s="35">
        <v>0</v>
      </c>
      <c r="C65" s="35">
        <v>0</v>
      </c>
      <c r="D65" s="35">
        <v>0</v>
      </c>
      <c r="E65" s="26">
        <v>141103.56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141103.56</v>
      </c>
      <c r="Q65"/>
    </row>
    <row r="66" spans="1:18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26">
        <v>730234.89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730234.89</v>
      </c>
      <c r="R66"/>
    </row>
    <row r="67" spans="1:19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884157.54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884157.54</v>
      </c>
      <c r="S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725216.49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725216.49</v>
      </c>
      <c r="T68"/>
    </row>
    <row r="69" spans="1:20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200439.55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200439.55</v>
      </c>
      <c r="T69"/>
    </row>
    <row r="70" spans="1:21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842861.33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842861.33</v>
      </c>
      <c r="U70"/>
    </row>
    <row r="71" spans="1:22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649549.17</v>
      </c>
      <c r="K71" s="35">
        <v>0</v>
      </c>
      <c r="L71" s="35">
        <v>0</v>
      </c>
      <c r="M71" s="35">
        <v>0</v>
      </c>
      <c r="N71" s="29">
        <f t="shared" si="23"/>
        <v>649549.17</v>
      </c>
      <c r="V71"/>
    </row>
    <row r="72" spans="1:23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809211.13</v>
      </c>
      <c r="L72" s="35">
        <v>0</v>
      </c>
      <c r="M72" s="61"/>
      <c r="N72" s="26">
        <f t="shared" si="23"/>
        <v>809211.13</v>
      </c>
      <c r="W72"/>
    </row>
    <row r="73" spans="1:24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368775.71</v>
      </c>
      <c r="M73" s="35">
        <v>0</v>
      </c>
      <c r="N73" s="29">
        <f t="shared" si="23"/>
        <v>368775.71</v>
      </c>
      <c r="X73"/>
    </row>
    <row r="74" spans="1:25" ht="18.75" customHeight="1">
      <c r="A74" s="17" t="s">
        <v>86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216506.15</v>
      </c>
      <c r="N74" s="26">
        <f t="shared" si="23"/>
        <v>216506.15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103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87</v>
      </c>
      <c r="B79" s="44">
        <v>2.327434875179588</v>
      </c>
      <c r="C79" s="44">
        <v>2.29994289897511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5" ht="18.75" customHeight="1">
      <c r="A80" s="17" t="s">
        <v>88</v>
      </c>
      <c r="B80" s="44">
        <v>2.0383684127281625</v>
      </c>
      <c r="C80" s="44">
        <v>1.9236065280301498</v>
      </c>
      <c r="D80" s="44">
        <v>0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9"/>
      <c r="O80"/>
    </row>
    <row r="81" spans="1:16" ht="18.75" customHeight="1">
      <c r="A81" s="17" t="s">
        <v>89</v>
      </c>
      <c r="B81" s="44">
        <v>0</v>
      </c>
      <c r="C81" s="44">
        <v>0</v>
      </c>
      <c r="D81" s="22">
        <f>(D$37+D$38+D$39)/D$7</f>
        <v>1.86811811416766</v>
      </c>
      <c r="E81" s="44">
        <v>0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6"/>
      <c r="P81"/>
    </row>
    <row r="82" spans="1:17" ht="18.75" customHeight="1">
      <c r="A82" s="17" t="s">
        <v>90</v>
      </c>
      <c r="B82" s="44">
        <v>0</v>
      </c>
      <c r="C82" s="44">
        <v>0</v>
      </c>
      <c r="D82" s="44">
        <v>0</v>
      </c>
      <c r="E82" s="22">
        <f>(E$37+E$38+E$39)/E$7</f>
        <v>2.599461381657111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9"/>
      <c r="Q82"/>
    </row>
    <row r="83" spans="1:18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44">
        <f>(F$37+F$38+F$39)/F$7</f>
        <v>2.1810954669200457</v>
      </c>
      <c r="G83" s="35">
        <v>0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6"/>
      <c r="R83"/>
    </row>
    <row r="84" spans="1:19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44">
        <f>(G$37+G$38+G$39)/G$7</f>
        <v>1.729606097708485</v>
      </c>
      <c r="H84" s="44">
        <v>0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S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2.03417409287791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0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1.9909098235639184</v>
      </c>
      <c r="I86" s="44">
        <v>0</v>
      </c>
      <c r="J86" s="44">
        <v>0</v>
      </c>
      <c r="K86" s="35">
        <v>0</v>
      </c>
      <c r="L86" s="44">
        <v>0</v>
      </c>
      <c r="M86" s="44">
        <v>0</v>
      </c>
      <c r="N86" s="29"/>
      <c r="T86"/>
    </row>
    <row r="87" spans="1:21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f>(I$37+I$38+I$39)/I$7</f>
        <v>1.976080947993847</v>
      </c>
      <c r="J87" s="44">
        <v>0</v>
      </c>
      <c r="K87" s="35">
        <v>0</v>
      </c>
      <c r="L87" s="44">
        <v>0</v>
      </c>
      <c r="M87" s="44">
        <v>0</v>
      </c>
      <c r="N87" s="26"/>
      <c r="U87"/>
    </row>
    <row r="88" spans="1:22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f>(J$37+J$38+J$39)/J$7</f>
        <v>2.2258971563220222</v>
      </c>
      <c r="K88" s="35">
        <v>0</v>
      </c>
      <c r="L88" s="44">
        <v>0</v>
      </c>
      <c r="M88" s="44">
        <v>0</v>
      </c>
      <c r="N88" s="29"/>
      <c r="V88"/>
    </row>
    <row r="89" spans="1:23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22">
        <f>(K$37+K$38+K$39)/K$7</f>
        <v>2.1280251246186035</v>
      </c>
      <c r="L89" s="44">
        <v>0</v>
      </c>
      <c r="M89" s="44">
        <v>0</v>
      </c>
      <c r="N89" s="26"/>
      <c r="W89"/>
    </row>
    <row r="90" spans="1:24" ht="18.75" customHeight="1">
      <c r="A90" s="17" t="s">
        <v>98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v>0</v>
      </c>
      <c r="K90" s="44">
        <v>0</v>
      </c>
      <c r="L90" s="44">
        <f>(L$37+L$38+L$39)/L$7</f>
        <v>2.5267965357925766</v>
      </c>
      <c r="M90" s="44">
        <v>0</v>
      </c>
      <c r="N90" s="62"/>
      <c r="X90"/>
    </row>
    <row r="91" spans="1:25" ht="18.75" customHeight="1">
      <c r="A91" s="34" t="s">
        <v>99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9">
        <f>(M$37+M$38+M$39)/M$7</f>
        <v>2.4752628901056895</v>
      </c>
      <c r="N91" s="50"/>
      <c r="Y91"/>
    </row>
    <row r="92" spans="1:13" ht="39" customHeight="1">
      <c r="A92" s="73" t="s">
        <v>102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</row>
    <row r="95" ht="14.25">
      <c r="B95" s="40"/>
    </row>
    <row r="96" ht="14.25">
      <c r="H96" s="41"/>
    </row>
    <row r="97" ht="14.25"/>
    <row r="98" spans="8:11" ht="14.25">
      <c r="H98" s="42"/>
      <c r="I98" s="43"/>
      <c r="J98" s="43"/>
      <c r="K98" s="43"/>
    </row>
  </sheetData>
  <sheetProtection/>
  <mergeCells count="7">
    <mergeCell ref="A92:M92"/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2017-09-12T19:27:56Z</dcterms:modified>
  <cp:category/>
  <cp:version/>
  <cp:contentType/>
  <cp:contentStatus/>
</cp:coreProperties>
</file>