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<sst xmlns="http://schemas.openxmlformats.org/spreadsheetml/2006/main" count="116" uniqueCount="114">
  <si>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</si>
  <si>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</si>
  <si>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</si>
  <si>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</si>
  <si>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</si>
  <si>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</si>
  <si>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</si>
  <si>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</si>
  <si>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</si>
  <si>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</si>
  <si>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</si>
  <si>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</si>
  <si>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</si>
  <si>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</si>
  <si>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</si>
  <si>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</si>
  <si>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</si>
  <si>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</si>
  <si>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</si>
  <si>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</si>
  <si>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</si>
  <si>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</si>
  <si>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</si>
  <si>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</si>
  <si>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</si>
  <si>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</si>
  <si>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</si>
  <si>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</si>
  <si>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</si>
  <si>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</si>
  <si>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</si>
  <si>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</si>
  <si>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</si>
  <si>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</si>
  <si>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</si>
  <si>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</si>
  <si>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</si>
  <si>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</si>
  <si>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</si>
  <si>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</si>
  <si>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</si>
  <si>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</si>
  <si>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</si>
  <si>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</si>
  <si>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</si>
  <si>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</si>
  <si>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</si>
  <si>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</si>
  <si>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</si>
  <si>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</si>
  <si>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</si>
  <si>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</si>
  <si>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</si>
  <si>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</si>
  <si>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</si>
  <si>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</si>
  <si>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</si>
  <si>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</si>
  <si>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</si>
  <si>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</si>
  <si>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</si>
  <si>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</si>
  <si>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</si>
  <si>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</si>
  <si>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</si>
  <si>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</si>
  <si>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</si>
  <si>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</si>
  <si>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</si>
  <si>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</si>
  <si>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</si>
  <si>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</si>
  <si>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</si>
  <si>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</si>
  <si>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</si>
  <si>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</si>
  <si>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</si>
  <si>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</si>
  <si>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</si>
  <si>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</si>
  <si>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</si>
  <si>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</si>
  <si>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</si>
  <si>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</si>
  <si>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</si>
  <si>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</si>
  <si>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</si>
  <si>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</si>
  <si>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</si>
  <si>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</si>
  <si>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</si>
  <si>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</si>
  <si>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</si>
  <si>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</si>
  <si>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</si>
  <si>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</si>
  <si>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</si>
  <si>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</si>
  <si>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</si>
  <si>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</si>
  <si>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</si>
  <si>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>Nota:</t>
  </si>
  <si>
    <t>OPERAÇÃO 17/10/17 - VENCIMENTO 24/10/17</t>
  </si>
  <si>
    <t>5.2.8. Ajuste de Remuneração Previsto Contratualmente (1)</t>
  </si>
  <si>
    <t>5.2.9. Ajuste de Remuneração Previsto Contratualmente  Ar-condicionado (-) (2)</t>
  </si>
  <si>
    <t>5.2.9. Ajuste de Remuneração Previsto Contratualmente  Ar-condicionado  (+) (2)</t>
  </si>
  <si>
    <t>5.2.10. Revisão do Ajuste de Remuneração Previsto Contratualmente (3)</t>
  </si>
  <si>
    <t xml:space="preserve">(1) Ajuste de remuneração, previsto contratualmente, período de 25/08 a 24/09/17, parcela 15/20.
</t>
  </si>
  <si>
    <t>(3) Revisão do ajuste de remuneração, previsto contratualmente, período de 25/05 a 25/06/17.</t>
  </si>
  <si>
    <t>5.3. Revisão de Remuneração pelo Transporte Coletivo (4)</t>
  </si>
  <si>
    <t>8. Tarifa de Remuneração por Passageiro (5)</t>
  </si>
  <si>
    <t>(5) Tarifa de remuneração de cada empresa considerando o  reequilibrio interno estabelecido e informado pelo consórcio. Não consideram os acertos financeiros previstos no item 7.</t>
  </si>
  <si>
    <t>(4) Revisão de passageiros transportados, processado pelo sistema de bilhetagem eletrônica, área 3.1, total de 34.472 passageiros.</t>
  </si>
  <si>
    <t>(2) Revisão de remuneração ar-condicionado, previsto contratualmente, período de 25/05 a 25/06/17.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</si>
</sst>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19050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69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19050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69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19050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69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6.50390625" style="1" customWidth="1"/>
    <col min="9" max="9" width="15.375" style="1" customWidth="1"/>
    <col min="10" max="10" width="15.6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18.50390625" style="1" customWidth="1"/>
    <col min="16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99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3" t="s">
        <v>29</v>
      </c>
      <c r="I6" s="63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511057</v>
      </c>
      <c r="C7" s="10">
        <f>C8+C20+C24</f>
        <v>395866</v>
      </c>
      <c r="D7" s="10">
        <f>D8+D20+D24</f>
        <v>395112</v>
      </c>
      <c r="E7" s="10">
        <f>E8+E20+E24</f>
        <v>53626</v>
      </c>
      <c r="F7" s="10">
        <f aca="true" t="shared" si="0" ref="F7:N7">F8+F20+F24</f>
        <v>342706</v>
      </c>
      <c r="G7" s="10">
        <f t="shared" si="0"/>
        <v>546049</v>
      </c>
      <c r="H7" s="10">
        <f>H8+H20+H24</f>
        <v>381267</v>
      </c>
      <c r="I7" s="10">
        <f>I8+I20+I24</f>
        <v>111937</v>
      </c>
      <c r="J7" s="10">
        <f>J8+J20+J24</f>
        <v>437438</v>
      </c>
      <c r="K7" s="10">
        <f>K8+K20+K24</f>
        <v>311093</v>
      </c>
      <c r="L7" s="10">
        <f>L8+L20+L24</f>
        <v>386579</v>
      </c>
      <c r="M7" s="10">
        <f t="shared" si="0"/>
        <v>154678</v>
      </c>
      <c r="N7" s="10">
        <f t="shared" si="0"/>
        <v>93686</v>
      </c>
      <c r="O7" s="10">
        <f>+O8+O20+O24</f>
        <v>4121094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206424</v>
      </c>
      <c r="C8" s="12">
        <f>+C9+C12+C16</f>
        <v>172285</v>
      </c>
      <c r="D8" s="12">
        <f>+D9+D12+D16</f>
        <v>187154</v>
      </c>
      <c r="E8" s="12">
        <f>+E9+E12+E16</f>
        <v>23471</v>
      </c>
      <c r="F8" s="12">
        <f aca="true" t="shared" si="1" ref="F8:N8">+F9+F12+F16</f>
        <v>148620</v>
      </c>
      <c r="G8" s="12">
        <f t="shared" si="1"/>
        <v>243751</v>
      </c>
      <c r="H8" s="12">
        <f>+H9+H12+H16</f>
        <v>163574</v>
      </c>
      <c r="I8" s="12">
        <f>+I9+I12+I16</f>
        <v>50832</v>
      </c>
      <c r="J8" s="12">
        <f>+J9+J12+J16</f>
        <v>194533</v>
      </c>
      <c r="K8" s="12">
        <f>+K9+K12+K16</f>
        <v>139009</v>
      </c>
      <c r="L8" s="12">
        <f>+L9+L12+L16</f>
        <v>160943</v>
      </c>
      <c r="M8" s="12">
        <f t="shared" si="1"/>
        <v>75302</v>
      </c>
      <c r="N8" s="12">
        <f t="shared" si="1"/>
        <v>46903</v>
      </c>
      <c r="O8" s="12">
        <f>SUM(B8:N8)</f>
        <v>1812801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17389</v>
      </c>
      <c r="C9" s="14">
        <v>18592</v>
      </c>
      <c r="D9" s="14">
        <v>12990</v>
      </c>
      <c r="E9" s="14">
        <v>1482</v>
      </c>
      <c r="F9" s="14">
        <v>10737</v>
      </c>
      <c r="G9" s="14">
        <v>20317</v>
      </c>
      <c r="H9" s="14">
        <v>17777</v>
      </c>
      <c r="I9" s="14">
        <v>5719</v>
      </c>
      <c r="J9" s="14">
        <v>11043</v>
      </c>
      <c r="K9" s="14">
        <v>14136</v>
      </c>
      <c r="L9" s="14">
        <v>11340</v>
      </c>
      <c r="M9" s="14">
        <v>7759</v>
      </c>
      <c r="N9" s="14">
        <v>5111</v>
      </c>
      <c r="O9" s="12">
        <f aca="true" t="shared" si="2" ref="O9:O19">SUM(B9:N9)</f>
        <v>154392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17389</v>
      </c>
      <c r="C10" s="14">
        <f>+C9-C11</f>
        <v>18592</v>
      </c>
      <c r="D10" s="14">
        <f>+D9-D11</f>
        <v>12990</v>
      </c>
      <c r="E10" s="14">
        <f>+E9-E11</f>
        <v>1482</v>
      </c>
      <c r="F10" s="14">
        <f aca="true" t="shared" si="3" ref="F10:N10">+F9-F11</f>
        <v>10737</v>
      </c>
      <c r="G10" s="14">
        <f t="shared" si="3"/>
        <v>20317</v>
      </c>
      <c r="H10" s="14">
        <f>+H9-H11</f>
        <v>17777</v>
      </c>
      <c r="I10" s="14">
        <f>+I9-I11</f>
        <v>5719</v>
      </c>
      <c r="J10" s="14">
        <f>+J9-J11</f>
        <v>11043</v>
      </c>
      <c r="K10" s="14">
        <f>+K9-K11</f>
        <v>14136</v>
      </c>
      <c r="L10" s="14">
        <f>+L9-L11</f>
        <v>11340</v>
      </c>
      <c r="M10" s="14">
        <f t="shared" si="3"/>
        <v>7759</v>
      </c>
      <c r="N10" s="14">
        <f t="shared" si="3"/>
        <v>5111</v>
      </c>
      <c r="O10" s="12">
        <f t="shared" si="2"/>
        <v>154392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177815</v>
      </c>
      <c r="C12" s="14">
        <f>C13+C14+C15</f>
        <v>144872</v>
      </c>
      <c r="D12" s="14">
        <f>D13+D14+D15</f>
        <v>164936</v>
      </c>
      <c r="E12" s="14">
        <f>E13+E14+E15</f>
        <v>20797</v>
      </c>
      <c r="F12" s="14">
        <f aca="true" t="shared" si="4" ref="F12:N12">F13+F14+F15</f>
        <v>129749</v>
      </c>
      <c r="G12" s="14">
        <f t="shared" si="4"/>
        <v>209474</v>
      </c>
      <c r="H12" s="14">
        <f>H13+H14+H15</f>
        <v>137336</v>
      </c>
      <c r="I12" s="14">
        <f>I13+I14+I15</f>
        <v>42491</v>
      </c>
      <c r="J12" s="14">
        <f>J13+J14+J15</f>
        <v>172127</v>
      </c>
      <c r="K12" s="14">
        <f>K13+K14+K15</f>
        <v>117493</v>
      </c>
      <c r="L12" s="14">
        <f>L13+L14+L15</f>
        <v>139800</v>
      </c>
      <c r="M12" s="14">
        <f t="shared" si="4"/>
        <v>63809</v>
      </c>
      <c r="N12" s="14">
        <f t="shared" si="4"/>
        <v>39861</v>
      </c>
      <c r="O12" s="12">
        <f t="shared" si="2"/>
        <v>1560560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82619</v>
      </c>
      <c r="C13" s="14">
        <v>68753</v>
      </c>
      <c r="D13" s="14">
        <v>75883</v>
      </c>
      <c r="E13" s="14">
        <v>9762</v>
      </c>
      <c r="F13" s="14">
        <v>59385</v>
      </c>
      <c r="G13" s="14">
        <v>97074</v>
      </c>
      <c r="H13" s="14">
        <v>66864</v>
      </c>
      <c r="I13" s="14">
        <v>21059</v>
      </c>
      <c r="J13" s="14">
        <v>83314</v>
      </c>
      <c r="K13" s="14">
        <v>54728</v>
      </c>
      <c r="L13" s="14">
        <v>65329</v>
      </c>
      <c r="M13" s="14">
        <v>29586</v>
      </c>
      <c r="N13" s="14">
        <v>17922</v>
      </c>
      <c r="O13" s="12">
        <f t="shared" si="2"/>
        <v>732278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89887</v>
      </c>
      <c r="C14" s="14">
        <v>69313</v>
      </c>
      <c r="D14" s="14">
        <v>85615</v>
      </c>
      <c r="E14" s="14">
        <v>10297</v>
      </c>
      <c r="F14" s="14">
        <v>65624</v>
      </c>
      <c r="G14" s="14">
        <v>102869</v>
      </c>
      <c r="H14" s="14">
        <v>65360</v>
      </c>
      <c r="I14" s="14">
        <v>19859</v>
      </c>
      <c r="J14" s="14">
        <v>85211</v>
      </c>
      <c r="K14" s="14">
        <v>58795</v>
      </c>
      <c r="L14" s="14">
        <v>70826</v>
      </c>
      <c r="M14" s="14">
        <v>32035</v>
      </c>
      <c r="N14" s="14">
        <v>20919</v>
      </c>
      <c r="O14" s="12">
        <f t="shared" si="2"/>
        <v>776610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5309</v>
      </c>
      <c r="C15" s="14">
        <v>6806</v>
      </c>
      <c r="D15" s="14">
        <v>3438</v>
      </c>
      <c r="E15" s="14">
        <v>738</v>
      </c>
      <c r="F15" s="14">
        <v>4740</v>
      </c>
      <c r="G15" s="14">
        <v>9531</v>
      </c>
      <c r="H15" s="14">
        <v>5112</v>
      </c>
      <c r="I15" s="14">
        <v>1573</v>
      </c>
      <c r="J15" s="14">
        <v>3602</v>
      </c>
      <c r="K15" s="14">
        <v>3970</v>
      </c>
      <c r="L15" s="14">
        <v>3645</v>
      </c>
      <c r="M15" s="14">
        <v>2188</v>
      </c>
      <c r="N15" s="14">
        <v>1020</v>
      </c>
      <c r="O15" s="12">
        <f t="shared" si="2"/>
        <v>51672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11220</v>
      </c>
      <c r="C16" s="14">
        <f>C17+C18+C19</f>
        <v>8821</v>
      </c>
      <c r="D16" s="14">
        <f>D17+D18+D19</f>
        <v>9228</v>
      </c>
      <c r="E16" s="14">
        <f>E17+E18+E19</f>
        <v>1192</v>
      </c>
      <c r="F16" s="14">
        <f aca="true" t="shared" si="5" ref="F16:N16">F17+F18+F19</f>
        <v>8134</v>
      </c>
      <c r="G16" s="14">
        <f t="shared" si="5"/>
        <v>13960</v>
      </c>
      <c r="H16" s="14">
        <f>H17+H18+H19</f>
        <v>8461</v>
      </c>
      <c r="I16" s="14">
        <f>I17+I18+I19</f>
        <v>2622</v>
      </c>
      <c r="J16" s="14">
        <f>J17+J18+J19</f>
        <v>11363</v>
      </c>
      <c r="K16" s="14">
        <f>K17+K18+K19</f>
        <v>7380</v>
      </c>
      <c r="L16" s="14">
        <f>L17+L18+L19</f>
        <v>9803</v>
      </c>
      <c r="M16" s="14">
        <f t="shared" si="5"/>
        <v>3734</v>
      </c>
      <c r="N16" s="14">
        <f t="shared" si="5"/>
        <v>1931</v>
      </c>
      <c r="O16" s="12">
        <f t="shared" si="2"/>
        <v>97849</v>
      </c>
    </row>
    <row r="17" spans="1:26" ht="18.75" customHeight="1">
      <c r="A17" s="15" t="s">
        <v>16</v>
      </c>
      <c r="B17" s="14">
        <v>11174</v>
      </c>
      <c r="C17" s="14">
        <v>8772</v>
      </c>
      <c r="D17" s="14">
        <v>9163</v>
      </c>
      <c r="E17" s="14">
        <v>1183</v>
      </c>
      <c r="F17" s="14">
        <v>8091</v>
      </c>
      <c r="G17" s="14">
        <v>13906</v>
      </c>
      <c r="H17" s="14">
        <v>8411</v>
      </c>
      <c r="I17" s="14">
        <v>2613</v>
      </c>
      <c r="J17" s="14">
        <v>11319</v>
      </c>
      <c r="K17" s="14">
        <v>7337</v>
      </c>
      <c r="L17" s="14">
        <v>9754</v>
      </c>
      <c r="M17" s="14">
        <v>3698</v>
      </c>
      <c r="N17" s="14">
        <v>1915</v>
      </c>
      <c r="O17" s="12">
        <f t="shared" si="2"/>
        <v>97336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40</v>
      </c>
      <c r="C18" s="14">
        <v>40</v>
      </c>
      <c r="D18" s="14">
        <v>61</v>
      </c>
      <c r="E18" s="14">
        <v>9</v>
      </c>
      <c r="F18" s="14">
        <v>29</v>
      </c>
      <c r="G18" s="14">
        <v>52</v>
      </c>
      <c r="H18" s="14">
        <v>45</v>
      </c>
      <c r="I18" s="14">
        <v>6</v>
      </c>
      <c r="J18" s="14">
        <v>42</v>
      </c>
      <c r="K18" s="14">
        <v>39</v>
      </c>
      <c r="L18" s="14">
        <v>45</v>
      </c>
      <c r="M18" s="14">
        <v>29</v>
      </c>
      <c r="N18" s="14">
        <v>16</v>
      </c>
      <c r="O18" s="12">
        <f t="shared" si="2"/>
        <v>453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6</v>
      </c>
      <c r="C19" s="14">
        <v>9</v>
      </c>
      <c r="D19" s="14">
        <v>4</v>
      </c>
      <c r="E19" s="14">
        <v>0</v>
      </c>
      <c r="F19" s="14">
        <v>14</v>
      </c>
      <c r="G19" s="14">
        <v>2</v>
      </c>
      <c r="H19" s="14">
        <v>5</v>
      </c>
      <c r="I19" s="14">
        <v>3</v>
      </c>
      <c r="J19" s="14">
        <v>2</v>
      </c>
      <c r="K19" s="14">
        <v>4</v>
      </c>
      <c r="L19" s="14">
        <v>4</v>
      </c>
      <c r="M19" s="14">
        <v>7</v>
      </c>
      <c r="N19" s="14">
        <v>0</v>
      </c>
      <c r="O19" s="12">
        <f t="shared" si="2"/>
        <v>60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130696</v>
      </c>
      <c r="C20" s="18">
        <f>C21+C22+C23</f>
        <v>86689</v>
      </c>
      <c r="D20" s="18">
        <f>D21+D22+D23</f>
        <v>78944</v>
      </c>
      <c r="E20" s="18">
        <f>E21+E22+E23</f>
        <v>10061</v>
      </c>
      <c r="F20" s="18">
        <f aca="true" t="shared" si="6" ref="F20:N20">F21+F22+F23</f>
        <v>68601</v>
      </c>
      <c r="G20" s="18">
        <f t="shared" si="6"/>
        <v>110470</v>
      </c>
      <c r="H20" s="18">
        <f>H21+H22+H23</f>
        <v>90782</v>
      </c>
      <c r="I20" s="18">
        <f>I21+I22+I23</f>
        <v>25996</v>
      </c>
      <c r="J20" s="18">
        <f>J21+J22+J23</f>
        <v>109413</v>
      </c>
      <c r="K20" s="18">
        <f>K21+K22+K23</f>
        <v>71603</v>
      </c>
      <c r="L20" s="18">
        <f>L21+L22+L23</f>
        <v>112873</v>
      </c>
      <c r="M20" s="18">
        <f t="shared" si="6"/>
        <v>42114</v>
      </c>
      <c r="N20" s="18">
        <f t="shared" si="6"/>
        <v>24280</v>
      </c>
      <c r="O20" s="12">
        <f aca="true" t="shared" si="7" ref="O20:O26">SUM(B20:N20)</f>
        <v>962522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65551</v>
      </c>
      <c r="C21" s="14">
        <v>46431</v>
      </c>
      <c r="D21" s="14">
        <v>39574</v>
      </c>
      <c r="E21" s="14">
        <v>5534</v>
      </c>
      <c r="F21" s="14">
        <v>34598</v>
      </c>
      <c r="G21" s="14">
        <v>57156</v>
      </c>
      <c r="H21" s="14">
        <v>49272</v>
      </c>
      <c r="I21" s="14">
        <v>14619</v>
      </c>
      <c r="J21" s="14">
        <v>57724</v>
      </c>
      <c r="K21" s="14">
        <v>37118</v>
      </c>
      <c r="L21" s="14">
        <v>57361</v>
      </c>
      <c r="M21" s="14">
        <v>21779</v>
      </c>
      <c r="N21" s="14">
        <v>12025</v>
      </c>
      <c r="O21" s="12">
        <f t="shared" si="7"/>
        <v>498742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62439</v>
      </c>
      <c r="C22" s="14">
        <v>37760</v>
      </c>
      <c r="D22" s="14">
        <v>38029</v>
      </c>
      <c r="E22" s="14">
        <v>4285</v>
      </c>
      <c r="F22" s="14">
        <v>32307</v>
      </c>
      <c r="G22" s="14">
        <v>49950</v>
      </c>
      <c r="H22" s="14">
        <v>39624</v>
      </c>
      <c r="I22" s="14">
        <v>10822</v>
      </c>
      <c r="J22" s="14">
        <v>49848</v>
      </c>
      <c r="K22" s="14">
        <v>32929</v>
      </c>
      <c r="L22" s="14">
        <v>53475</v>
      </c>
      <c r="M22" s="14">
        <v>19382</v>
      </c>
      <c r="N22" s="14">
        <v>11805</v>
      </c>
      <c r="O22" s="12">
        <f t="shared" si="7"/>
        <v>442655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2706</v>
      </c>
      <c r="C23" s="14">
        <v>2498</v>
      </c>
      <c r="D23" s="14">
        <v>1341</v>
      </c>
      <c r="E23" s="14">
        <v>242</v>
      </c>
      <c r="F23" s="14">
        <v>1696</v>
      </c>
      <c r="G23" s="14">
        <v>3364</v>
      </c>
      <c r="H23" s="14">
        <v>1886</v>
      </c>
      <c r="I23" s="14">
        <v>555</v>
      </c>
      <c r="J23" s="14">
        <v>1841</v>
      </c>
      <c r="K23" s="14">
        <v>1556</v>
      </c>
      <c r="L23" s="14">
        <v>2037</v>
      </c>
      <c r="M23" s="14">
        <v>953</v>
      </c>
      <c r="N23" s="14">
        <v>450</v>
      </c>
      <c r="O23" s="12">
        <f t="shared" si="7"/>
        <v>21125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173937</v>
      </c>
      <c r="C24" s="14">
        <f>C25+C26</f>
        <v>136892</v>
      </c>
      <c r="D24" s="14">
        <f>D25+D26</f>
        <v>129014</v>
      </c>
      <c r="E24" s="14">
        <f>E25+E26</f>
        <v>20094</v>
      </c>
      <c r="F24" s="14">
        <f aca="true" t="shared" si="8" ref="F24:N24">F25+F26</f>
        <v>125485</v>
      </c>
      <c r="G24" s="14">
        <f t="shared" si="8"/>
        <v>191828</v>
      </c>
      <c r="H24" s="14">
        <f>H25+H26</f>
        <v>126911</v>
      </c>
      <c r="I24" s="14">
        <f>I25+I26</f>
        <v>35109</v>
      </c>
      <c r="J24" s="14">
        <f>J25+J26</f>
        <v>133492</v>
      </c>
      <c r="K24" s="14">
        <f>K25+K26</f>
        <v>100481</v>
      </c>
      <c r="L24" s="14">
        <f>L25+L26</f>
        <v>112763</v>
      </c>
      <c r="M24" s="14">
        <f t="shared" si="8"/>
        <v>37262</v>
      </c>
      <c r="N24" s="14">
        <f t="shared" si="8"/>
        <v>22503</v>
      </c>
      <c r="O24" s="12">
        <f t="shared" si="7"/>
        <v>1345771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68967</v>
      </c>
      <c r="C25" s="14">
        <v>62802</v>
      </c>
      <c r="D25" s="14">
        <v>57306</v>
      </c>
      <c r="E25" s="14">
        <v>10127</v>
      </c>
      <c r="F25" s="14">
        <v>56424</v>
      </c>
      <c r="G25" s="14">
        <v>92397</v>
      </c>
      <c r="H25" s="14">
        <v>61950</v>
      </c>
      <c r="I25" s="14">
        <v>18890</v>
      </c>
      <c r="J25" s="14">
        <v>55445</v>
      </c>
      <c r="K25" s="14">
        <v>47740</v>
      </c>
      <c r="L25" s="14">
        <v>46855</v>
      </c>
      <c r="M25" s="14">
        <v>15791</v>
      </c>
      <c r="N25" s="14">
        <v>8365</v>
      </c>
      <c r="O25" s="12">
        <f t="shared" si="7"/>
        <v>603059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104970</v>
      </c>
      <c r="C26" s="14">
        <v>74090</v>
      </c>
      <c r="D26" s="14">
        <v>71708</v>
      </c>
      <c r="E26" s="14">
        <v>9967</v>
      </c>
      <c r="F26" s="14">
        <v>69061</v>
      </c>
      <c r="G26" s="14">
        <v>99431</v>
      </c>
      <c r="H26" s="14">
        <v>64961</v>
      </c>
      <c r="I26" s="14">
        <v>16219</v>
      </c>
      <c r="J26" s="14">
        <v>78047</v>
      </c>
      <c r="K26" s="14">
        <v>52741</v>
      </c>
      <c r="L26" s="14">
        <v>65908</v>
      </c>
      <c r="M26" s="14">
        <v>21471</v>
      </c>
      <c r="N26" s="14">
        <v>14138</v>
      </c>
      <c r="O26" s="12">
        <f t="shared" si="7"/>
        <v>742712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49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8.75" customHeight="1">
      <c r="A32" s="52" t="s">
        <v>46</v>
      </c>
      <c r="B32" s="53">
        <f>B33*B34</f>
        <v>3257.0800000000004</v>
      </c>
      <c r="C32" s="53">
        <f aca="true" t="shared" si="10" ref="C32:N32">C33*C34</f>
        <v>2392.52</v>
      </c>
      <c r="D32" s="53">
        <f t="shared" si="10"/>
        <v>2161.4</v>
      </c>
      <c r="E32" s="53">
        <f t="shared" si="10"/>
        <v>646.2800000000001</v>
      </c>
      <c r="F32" s="53">
        <f t="shared" si="10"/>
        <v>2161.4</v>
      </c>
      <c r="G32" s="53">
        <f t="shared" si="10"/>
        <v>2662.1600000000003</v>
      </c>
      <c r="H32" s="53">
        <f t="shared" si="10"/>
        <v>2242.7200000000003</v>
      </c>
      <c r="I32" s="53">
        <f t="shared" si="10"/>
        <v>654.84</v>
      </c>
      <c r="J32" s="53">
        <f>J33*J34</f>
        <v>2546.6000000000004</v>
      </c>
      <c r="K32" s="53">
        <f>K33*K34</f>
        <v>2118.6</v>
      </c>
      <c r="L32" s="53">
        <f>L33*L34</f>
        <v>2602.2400000000002</v>
      </c>
      <c r="M32" s="53">
        <f t="shared" si="10"/>
        <v>1271.16</v>
      </c>
      <c r="N32" s="53">
        <f t="shared" si="10"/>
        <v>719.0400000000001</v>
      </c>
      <c r="O32" s="25">
        <f>SUM(B32:N32)</f>
        <v>25436.04</v>
      </c>
    </row>
    <row r="33" spans="1:26" ht="18.75" customHeight="1">
      <c r="A33" s="49" t="s">
        <v>47</v>
      </c>
      <c r="B33" s="55">
        <v>761</v>
      </c>
      <c r="C33" s="55">
        <v>559</v>
      </c>
      <c r="D33" s="55">
        <v>505</v>
      </c>
      <c r="E33" s="55">
        <v>151</v>
      </c>
      <c r="F33" s="55">
        <v>505</v>
      </c>
      <c r="G33" s="55">
        <v>622</v>
      </c>
      <c r="H33" s="55">
        <v>524</v>
      </c>
      <c r="I33" s="55">
        <v>153</v>
      </c>
      <c r="J33" s="55">
        <v>595</v>
      </c>
      <c r="K33" s="55">
        <v>495</v>
      </c>
      <c r="L33" s="55">
        <v>608</v>
      </c>
      <c r="M33" s="55">
        <v>297</v>
      </c>
      <c r="N33" s="55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49" t="s">
        <v>48</v>
      </c>
      <c r="B34" s="51">
        <v>4.28</v>
      </c>
      <c r="C34" s="51">
        <v>4.28</v>
      </c>
      <c r="D34" s="51">
        <v>4.28</v>
      </c>
      <c r="E34" s="51">
        <v>4.28</v>
      </c>
      <c r="F34" s="51">
        <v>4.28</v>
      </c>
      <c r="G34" s="51">
        <v>4.28</v>
      </c>
      <c r="H34" s="51">
        <v>4.28</v>
      </c>
      <c r="I34" s="51">
        <v>4.28</v>
      </c>
      <c r="J34" s="51">
        <v>4.28</v>
      </c>
      <c r="K34" s="51">
        <v>4.28</v>
      </c>
      <c r="L34" s="51">
        <v>4.28</v>
      </c>
      <c r="M34" s="51">
        <v>4.28</v>
      </c>
      <c r="N34" s="51">
        <v>4.28</v>
      </c>
      <c r="O34" s="51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8.75" customHeight="1">
      <c r="A36" s="56" t="s">
        <v>49</v>
      </c>
      <c r="B36" s="57">
        <f>B37+B38+B39+B40</f>
        <v>1071710.3342712203</v>
      </c>
      <c r="C36" s="57">
        <f aca="true" t="shared" si="11" ref="C36:N36">C37+C38+C39+C40</f>
        <v>801778.5925129999</v>
      </c>
      <c r="D36" s="57">
        <f t="shared" si="11"/>
        <v>748303.7565556</v>
      </c>
      <c r="E36" s="57">
        <f t="shared" si="11"/>
        <v>139425.9921184</v>
      </c>
      <c r="F36" s="57">
        <f t="shared" si="11"/>
        <v>747527.0901872999</v>
      </c>
      <c r="G36" s="57">
        <f t="shared" si="11"/>
        <v>944487.4752</v>
      </c>
      <c r="H36" s="57">
        <f t="shared" si="11"/>
        <v>779149.8695</v>
      </c>
      <c r="I36" s="57">
        <f>I37+I38+I39+I40</f>
        <v>222849.80738739998</v>
      </c>
      <c r="J36" s="57">
        <f>J37+J38+J39+J40</f>
        <v>868493.4431684</v>
      </c>
      <c r="K36" s="57">
        <f>K37+K38+K39+K40</f>
        <v>695982.5667899</v>
      </c>
      <c r="L36" s="57">
        <f>L37+L38+L39+L40</f>
        <v>826768.30677104</v>
      </c>
      <c r="M36" s="57">
        <f t="shared" si="11"/>
        <v>393185.4523295399</v>
      </c>
      <c r="N36" s="57">
        <f t="shared" si="11"/>
        <v>231905.97357216</v>
      </c>
      <c r="O36" s="57">
        <f>O37+O38+O39+O40</f>
        <v>8471568.660363957</v>
      </c>
    </row>
    <row r="37" spans="1:15" ht="18.75" customHeight="1">
      <c r="A37" s="54" t="s">
        <v>50</v>
      </c>
      <c r="B37" s="51">
        <f aca="true" t="shared" si="12" ref="B37:N37">B29*B7</f>
        <v>1067546.9673000001</v>
      </c>
      <c r="C37" s="51">
        <f t="shared" si="12"/>
        <v>798857.5879999999</v>
      </c>
      <c r="D37" s="51">
        <f t="shared" si="12"/>
        <v>738148.2384</v>
      </c>
      <c r="E37" s="51">
        <f t="shared" si="12"/>
        <v>139116.5692</v>
      </c>
      <c r="F37" s="51">
        <f t="shared" si="12"/>
        <v>747544.5977999999</v>
      </c>
      <c r="G37" s="51">
        <f t="shared" si="12"/>
        <v>944610.1651</v>
      </c>
      <c r="H37" s="51">
        <f t="shared" si="12"/>
        <v>775535.2047</v>
      </c>
      <c r="I37" s="51">
        <f>I29*I7</f>
        <v>222821.7922</v>
      </c>
      <c r="J37" s="51">
        <f>J29*J7</f>
        <v>864377.488</v>
      </c>
      <c r="K37" s="51">
        <f>K29*K7</f>
        <v>692337.4715</v>
      </c>
      <c r="L37" s="51">
        <f>L29*L7</f>
        <v>822524.1383</v>
      </c>
      <c r="M37" s="51">
        <f t="shared" si="12"/>
        <v>390716.62799999997</v>
      </c>
      <c r="N37" s="51">
        <f t="shared" si="12"/>
        <v>231872.85</v>
      </c>
      <c r="O37" s="53">
        <f>SUM(B37:N37)</f>
        <v>8436009.698499998</v>
      </c>
    </row>
    <row r="38" spans="1:15" ht="18.75" customHeight="1">
      <c r="A38" s="54" t="s">
        <v>51</v>
      </c>
      <c r="B38" s="51">
        <f aca="true" t="shared" si="13" ref="B38:N38">B30*B7</f>
        <v>-3165.7630287800002</v>
      </c>
      <c r="C38" s="51">
        <f t="shared" si="13"/>
        <v>-2323.535487</v>
      </c>
      <c r="D38" s="51">
        <f t="shared" si="13"/>
        <v>-2192.8518443999997</v>
      </c>
      <c r="E38" s="51">
        <f t="shared" si="13"/>
        <v>-336.8570816</v>
      </c>
      <c r="F38" s="51">
        <f t="shared" si="13"/>
        <v>-2178.9076127000003</v>
      </c>
      <c r="G38" s="51">
        <f t="shared" si="13"/>
        <v>-2784.8499</v>
      </c>
      <c r="H38" s="51">
        <f t="shared" si="13"/>
        <v>-2135.0952</v>
      </c>
      <c r="I38" s="51">
        <f>I30*I7</f>
        <v>-626.8248126</v>
      </c>
      <c r="J38" s="51">
        <f>J30*J7</f>
        <v>-2488.2348316000002</v>
      </c>
      <c r="K38" s="51">
        <f>K30*K7</f>
        <v>-1980.3247101</v>
      </c>
      <c r="L38" s="51">
        <f>L30*L7</f>
        <v>-2416.21152896</v>
      </c>
      <c r="M38" s="51">
        <f t="shared" si="13"/>
        <v>-1139.75567046</v>
      </c>
      <c r="N38" s="51">
        <f t="shared" si="13"/>
        <v>-685.91642784</v>
      </c>
      <c r="O38" s="25">
        <f>SUM(B38:N38)</f>
        <v>-24455.12813604</v>
      </c>
    </row>
    <row r="39" spans="1:15" ht="18.75" customHeight="1">
      <c r="A39" s="54" t="s">
        <v>52</v>
      </c>
      <c r="B39" s="51">
        <f aca="true" t="shared" si="14" ref="B39:N39">B32</f>
        <v>3257.0800000000004</v>
      </c>
      <c r="C39" s="51">
        <f t="shared" si="14"/>
        <v>2392.52</v>
      </c>
      <c r="D39" s="51">
        <f t="shared" si="14"/>
        <v>2161.4</v>
      </c>
      <c r="E39" s="51">
        <f t="shared" si="14"/>
        <v>646.2800000000001</v>
      </c>
      <c r="F39" s="51">
        <f t="shared" si="14"/>
        <v>2161.4</v>
      </c>
      <c r="G39" s="51">
        <f t="shared" si="14"/>
        <v>2662.1600000000003</v>
      </c>
      <c r="H39" s="51">
        <f t="shared" si="14"/>
        <v>2242.7200000000003</v>
      </c>
      <c r="I39" s="51">
        <f>I32</f>
        <v>654.84</v>
      </c>
      <c r="J39" s="51">
        <f>J32</f>
        <v>2546.6000000000004</v>
      </c>
      <c r="K39" s="51">
        <f>K32</f>
        <v>2118.6</v>
      </c>
      <c r="L39" s="51">
        <f>L32</f>
        <v>2602.2400000000002</v>
      </c>
      <c r="M39" s="51">
        <f t="shared" si="14"/>
        <v>1271.16</v>
      </c>
      <c r="N39" s="51">
        <f t="shared" si="14"/>
        <v>719.0400000000001</v>
      </c>
      <c r="O39" s="53">
        <f>SUM(B39:N39)</f>
        <v>25436.04</v>
      </c>
    </row>
    <row r="40" spans="1:26" ht="18.75" customHeight="1">
      <c r="A40" s="2" t="s">
        <v>53</v>
      </c>
      <c r="B40" s="51">
        <v>4072.05</v>
      </c>
      <c r="C40" s="51">
        <v>2852.02</v>
      </c>
      <c r="D40" s="51">
        <v>10186.97</v>
      </c>
      <c r="E40" s="51">
        <v>0</v>
      </c>
      <c r="F40" s="51">
        <v>0</v>
      </c>
      <c r="G40" s="51">
        <v>0</v>
      </c>
      <c r="H40" s="51">
        <v>3507.04</v>
      </c>
      <c r="I40" s="51">
        <v>0</v>
      </c>
      <c r="J40" s="51">
        <v>4057.59</v>
      </c>
      <c r="K40" s="51">
        <v>3506.82</v>
      </c>
      <c r="L40" s="51">
        <v>4058.14</v>
      </c>
      <c r="M40" s="51">
        <v>2337.42</v>
      </c>
      <c r="N40" s="51">
        <v>0</v>
      </c>
      <c r="O40" s="53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8"/>
    </row>
    <row r="42" spans="1:15" ht="18.75" customHeight="1">
      <c r="A42" s="2" t="s">
        <v>54</v>
      </c>
      <c r="B42" s="25">
        <f>+B43+B46+B58+B59</f>
        <v>-97258.28</v>
      </c>
      <c r="C42" s="25">
        <f aca="true" t="shared" si="15" ref="C42:N42">+C43+C46+C58+C59</f>
        <v>-92754.61</v>
      </c>
      <c r="D42" s="25">
        <f t="shared" si="15"/>
        <v>-71273.04000000001</v>
      </c>
      <c r="E42" s="25">
        <f t="shared" si="15"/>
        <v>72863.62000000001</v>
      </c>
      <c r="F42" s="25">
        <f t="shared" si="15"/>
        <v>-62963.57</v>
      </c>
      <c r="G42" s="25">
        <f t="shared" si="15"/>
        <v>-104311.90000000001</v>
      </c>
      <c r="H42" s="25">
        <f t="shared" si="15"/>
        <v>-89888.45000000001</v>
      </c>
      <c r="I42" s="25">
        <f>+I43+I46+I58+I59</f>
        <v>-31310.42</v>
      </c>
      <c r="J42" s="25">
        <f>+J43+J46+J58+J59</f>
        <v>-66831.58</v>
      </c>
      <c r="K42" s="25">
        <f>+K43+K46+K58+K59</f>
        <v>-73578.94</v>
      </c>
      <c r="L42" s="25">
        <f>+L43+L46+L58+L59</f>
        <v>-67333.91</v>
      </c>
      <c r="M42" s="25">
        <f t="shared" si="15"/>
        <v>-40428.29</v>
      </c>
      <c r="N42" s="25">
        <f t="shared" si="15"/>
        <v>-25787.9</v>
      </c>
      <c r="O42" s="25">
        <f>+O43+O46+O58+O59</f>
        <v>-750857.27</v>
      </c>
    </row>
    <row r="43" spans="1:15" ht="18.75" customHeight="1">
      <c r="A43" s="17" t="s">
        <v>55</v>
      </c>
      <c r="B43" s="26">
        <f>B44+B45</f>
        <v>-66078.2</v>
      </c>
      <c r="C43" s="26">
        <f>C44+C45</f>
        <v>-70649.6</v>
      </c>
      <c r="D43" s="26">
        <f>D44+D45</f>
        <v>-49362</v>
      </c>
      <c r="E43" s="26">
        <f>E44+E45</f>
        <v>-5631.6</v>
      </c>
      <c r="F43" s="26">
        <f aca="true" t="shared" si="16" ref="F43:N43">F44+F45</f>
        <v>-40800.6</v>
      </c>
      <c r="G43" s="26">
        <f t="shared" si="16"/>
        <v>-77204.6</v>
      </c>
      <c r="H43" s="26">
        <f t="shared" si="16"/>
        <v>-67552.6</v>
      </c>
      <c r="I43" s="26">
        <f>I44+I45</f>
        <v>-21732.2</v>
      </c>
      <c r="J43" s="26">
        <f>J44+J45</f>
        <v>-41963.4</v>
      </c>
      <c r="K43" s="26">
        <f>K44+K45</f>
        <v>-53716.8</v>
      </c>
      <c r="L43" s="26">
        <f>L44+L45</f>
        <v>-43092</v>
      </c>
      <c r="M43" s="26">
        <f t="shared" si="16"/>
        <v>-29484.2</v>
      </c>
      <c r="N43" s="26">
        <f t="shared" si="16"/>
        <v>-19421.8</v>
      </c>
      <c r="O43" s="25">
        <f aca="true" t="shared" si="17" ref="O43:O59">SUM(B43:N43)</f>
        <v>-586689.6</v>
      </c>
    </row>
    <row r="44" spans="1:26" ht="18.75" customHeight="1">
      <c r="A44" s="13" t="s">
        <v>56</v>
      </c>
      <c r="B44" s="20">
        <f>ROUND(-B9*$D$3,2)</f>
        <v>-66078.2</v>
      </c>
      <c r="C44" s="20">
        <f>ROUND(-C9*$D$3,2)</f>
        <v>-70649.6</v>
      </c>
      <c r="D44" s="20">
        <f>ROUND(-D9*$D$3,2)</f>
        <v>-49362</v>
      </c>
      <c r="E44" s="20">
        <f>ROUND(-E9*$D$3,2)</f>
        <v>-5631.6</v>
      </c>
      <c r="F44" s="20">
        <f aca="true" t="shared" si="18" ref="F44:N44">ROUND(-F9*$D$3,2)</f>
        <v>-40800.6</v>
      </c>
      <c r="G44" s="20">
        <f t="shared" si="18"/>
        <v>-77204.6</v>
      </c>
      <c r="H44" s="20">
        <f t="shared" si="18"/>
        <v>-67552.6</v>
      </c>
      <c r="I44" s="20">
        <f>ROUND(-I9*$D$3,2)</f>
        <v>-21732.2</v>
      </c>
      <c r="J44" s="20">
        <f>ROUND(-J9*$D$3,2)</f>
        <v>-41963.4</v>
      </c>
      <c r="K44" s="20">
        <f>ROUND(-K9*$D$3,2)</f>
        <v>-53716.8</v>
      </c>
      <c r="L44" s="20">
        <f>ROUND(-L9*$D$3,2)</f>
        <v>-43092</v>
      </c>
      <c r="M44" s="20">
        <f t="shared" si="18"/>
        <v>-29484.2</v>
      </c>
      <c r="N44" s="20">
        <f t="shared" si="18"/>
        <v>-19421.8</v>
      </c>
      <c r="O44" s="43">
        <f t="shared" si="17"/>
        <v>-586689.6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3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-31180.079999999998</v>
      </c>
      <c r="C46" s="26">
        <f aca="true" t="shared" si="20" ref="C46:O46">SUM(C47:C57)</f>
        <v>-22105.01</v>
      </c>
      <c r="D46" s="26">
        <f t="shared" si="20"/>
        <v>-21911.04</v>
      </c>
      <c r="E46" s="26">
        <f t="shared" si="20"/>
        <v>-7128.299999999999</v>
      </c>
      <c r="F46" s="26">
        <f t="shared" si="20"/>
        <v>-22162.97</v>
      </c>
      <c r="G46" s="26">
        <f t="shared" si="20"/>
        <v>-27107.300000000003</v>
      </c>
      <c r="H46" s="26">
        <f t="shared" si="20"/>
        <v>-22335.850000000002</v>
      </c>
      <c r="I46" s="26">
        <f t="shared" si="20"/>
        <v>-9578.219999999998</v>
      </c>
      <c r="J46" s="26">
        <f t="shared" si="20"/>
        <v>-24868.18</v>
      </c>
      <c r="K46" s="26">
        <f t="shared" si="20"/>
        <v>-19862.14</v>
      </c>
      <c r="L46" s="26">
        <f t="shared" si="20"/>
        <v>-24241.91</v>
      </c>
      <c r="M46" s="26">
        <f t="shared" si="20"/>
        <v>-10944.09</v>
      </c>
      <c r="N46" s="26">
        <f t="shared" si="20"/>
        <v>-6366.1</v>
      </c>
      <c r="O46" s="26">
        <f t="shared" si="20"/>
        <v>-249791.19000000003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-3000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-8500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103</v>
      </c>
      <c r="B54" s="24">
        <v>-29767.1</v>
      </c>
      <c r="C54" s="24">
        <v>-21107.07</v>
      </c>
      <c r="D54" s="24">
        <v>-20453.89</v>
      </c>
      <c r="E54" s="24">
        <v>-3941.07</v>
      </c>
      <c r="F54" s="24">
        <v>-20706.61</v>
      </c>
      <c r="G54" s="24">
        <v>-25401.11</v>
      </c>
      <c r="H54" s="24">
        <v>-20862.36</v>
      </c>
      <c r="I54" s="24">
        <v>-5802.03</v>
      </c>
      <c r="J54" s="24">
        <v>-23741.3</v>
      </c>
      <c r="K54" s="24">
        <v>-18968.95</v>
      </c>
      <c r="L54" s="24">
        <v>-23169.61</v>
      </c>
      <c r="M54" s="24">
        <v>-10452.66</v>
      </c>
      <c r="N54" s="24">
        <v>-6079.28</v>
      </c>
      <c r="O54" s="24">
        <f t="shared" si="17"/>
        <v>-230453.04000000004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104</v>
      </c>
      <c r="B55" s="24">
        <v>3.28</v>
      </c>
      <c r="C55" s="24">
        <v>2.15</v>
      </c>
      <c r="D55" s="24">
        <v>5.71</v>
      </c>
      <c r="E55" s="24">
        <v>0.89</v>
      </c>
      <c r="F55" s="24">
        <v>3.37</v>
      </c>
      <c r="G55" s="24">
        <v>0</v>
      </c>
      <c r="H55" s="24">
        <v>3.89</v>
      </c>
      <c r="I55" s="24">
        <v>0</v>
      </c>
      <c r="J55" s="24">
        <v>0</v>
      </c>
      <c r="K55" s="24">
        <v>0</v>
      </c>
      <c r="L55" s="24">
        <v>0</v>
      </c>
      <c r="M55" s="24">
        <v>1.41</v>
      </c>
      <c r="N55" s="24">
        <v>0</v>
      </c>
      <c r="O55" s="24">
        <f t="shared" si="17"/>
        <v>20.700000000000003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105</v>
      </c>
      <c r="B56" s="24">
        <v>0</v>
      </c>
      <c r="C56" s="24">
        <v>-4.01</v>
      </c>
      <c r="D56" s="24">
        <v>0</v>
      </c>
      <c r="E56" s="24">
        <v>0</v>
      </c>
      <c r="F56" s="24">
        <v>0</v>
      </c>
      <c r="G56" s="24">
        <v>-0.65</v>
      </c>
      <c r="H56" s="24">
        <v>0</v>
      </c>
      <c r="I56" s="24">
        <v>-0.73</v>
      </c>
      <c r="J56" s="24">
        <v>-7.16</v>
      </c>
      <c r="K56" s="24">
        <v>-2.18</v>
      </c>
      <c r="L56" s="24">
        <v>-4.67</v>
      </c>
      <c r="M56" s="24">
        <v>0</v>
      </c>
      <c r="N56" s="24">
        <v>-1.3</v>
      </c>
      <c r="O56" s="24">
        <f t="shared" si="17"/>
        <v>-20.7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106</v>
      </c>
      <c r="B57" s="24">
        <v>-1416.26</v>
      </c>
      <c r="C57" s="24">
        <v>-996.08</v>
      </c>
      <c r="D57" s="24">
        <v>-962.86</v>
      </c>
      <c r="E57" s="24">
        <v>-188.12</v>
      </c>
      <c r="F57" s="24">
        <v>-959.73</v>
      </c>
      <c r="G57" s="24">
        <v>-1205.54</v>
      </c>
      <c r="H57" s="24">
        <v>-977.38</v>
      </c>
      <c r="I57" s="24">
        <v>-275.46</v>
      </c>
      <c r="J57" s="24">
        <v>-1119.72</v>
      </c>
      <c r="K57" s="24">
        <v>-891.01</v>
      </c>
      <c r="L57" s="24">
        <v>-1067.63</v>
      </c>
      <c r="M57" s="24">
        <v>-492.84</v>
      </c>
      <c r="N57" s="24">
        <v>-285.52</v>
      </c>
      <c r="O57" s="24">
        <f t="shared" si="17"/>
        <v>-10838.150000000001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109</v>
      </c>
      <c r="B58" s="27">
        <v>0</v>
      </c>
      <c r="C58" s="27">
        <v>0</v>
      </c>
      <c r="D58" s="27">
        <v>0</v>
      </c>
      <c r="E58" s="27">
        <v>85623.52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85623.52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1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20"/>
    </row>
    <row r="61" spans="1:26" ht="15.75">
      <c r="A61" s="2" t="s">
        <v>67</v>
      </c>
      <c r="B61" s="29">
        <f aca="true" t="shared" si="21" ref="B61:N61">+B36+B42</f>
        <v>974452.0542712202</v>
      </c>
      <c r="C61" s="29">
        <f t="shared" si="21"/>
        <v>709023.9825129999</v>
      </c>
      <c r="D61" s="29">
        <f t="shared" si="21"/>
        <v>677030.7165555999</v>
      </c>
      <c r="E61" s="29">
        <f t="shared" si="21"/>
        <v>212289.6121184</v>
      </c>
      <c r="F61" s="29">
        <f t="shared" si="21"/>
        <v>684563.5201872999</v>
      </c>
      <c r="G61" s="29">
        <f t="shared" si="21"/>
        <v>840175.5752</v>
      </c>
      <c r="H61" s="29">
        <f t="shared" si="21"/>
        <v>689261.4195000001</v>
      </c>
      <c r="I61" s="29">
        <f t="shared" si="21"/>
        <v>191539.38738739997</v>
      </c>
      <c r="J61" s="29">
        <f>+J36+J42</f>
        <v>801661.8631684</v>
      </c>
      <c r="K61" s="29">
        <f>+K36+K42</f>
        <v>622403.6267899</v>
      </c>
      <c r="L61" s="29">
        <f>+L36+L42</f>
        <v>759434.3967710399</v>
      </c>
      <c r="M61" s="29">
        <f t="shared" si="21"/>
        <v>352757.16232953995</v>
      </c>
      <c r="N61" s="29">
        <f t="shared" si="21"/>
        <v>206118.07357216</v>
      </c>
      <c r="O61" s="29">
        <f>SUM(B61:N61)</f>
        <v>7720711.390363959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5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8.75" customHeight="1">
      <c r="A64" s="2" t="s">
        <v>68</v>
      </c>
      <c r="B64" s="35">
        <f>SUM(B65:B78)</f>
        <v>974452.05</v>
      </c>
      <c r="C64" s="35">
        <f aca="true" t="shared" si="22" ref="C64:N64">SUM(C65:C78)</f>
        <v>709023.98</v>
      </c>
      <c r="D64" s="35">
        <f t="shared" si="22"/>
        <v>677030.72</v>
      </c>
      <c r="E64" s="35">
        <f t="shared" si="22"/>
        <v>212289.61</v>
      </c>
      <c r="F64" s="35">
        <f t="shared" si="22"/>
        <v>684563.52</v>
      </c>
      <c r="G64" s="35">
        <f t="shared" si="22"/>
        <v>840175.58</v>
      </c>
      <c r="H64" s="35">
        <f t="shared" si="22"/>
        <v>689261.42</v>
      </c>
      <c r="I64" s="35">
        <f t="shared" si="22"/>
        <v>191539.39</v>
      </c>
      <c r="J64" s="35">
        <f t="shared" si="22"/>
        <v>801661.87</v>
      </c>
      <c r="K64" s="35">
        <f t="shared" si="22"/>
        <v>622403.63</v>
      </c>
      <c r="L64" s="35">
        <f t="shared" si="22"/>
        <v>759434.4</v>
      </c>
      <c r="M64" s="35">
        <f t="shared" si="22"/>
        <v>352757.16</v>
      </c>
      <c r="N64" s="35">
        <f t="shared" si="22"/>
        <v>206118.07</v>
      </c>
      <c r="O64" s="29">
        <f>SUM(O65:O78)</f>
        <v>7720711.4</v>
      </c>
    </row>
    <row r="65" spans="1:16" ht="18.75" customHeight="1">
      <c r="A65" s="17" t="s">
        <v>69</v>
      </c>
      <c r="B65" s="35">
        <f>194897.71+567.32</f>
        <v>195465.03</v>
      </c>
      <c r="C65" s="35">
        <v>203845.59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29">
        <f>SUM(B65:N65)</f>
        <v>399310.62</v>
      </c>
      <c r="P65"/>
    </row>
    <row r="66" spans="1:16" ht="18.75" customHeight="1">
      <c r="A66" s="17" t="s">
        <v>70</v>
      </c>
      <c r="B66" s="35">
        <f>775482.29+3504.73</f>
        <v>778987.02</v>
      </c>
      <c r="C66" s="35">
        <f>502326.37+2852.02</f>
        <v>505178.39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 aca="true" t="shared" si="23" ref="O66:O77">SUM(B66:N66)</f>
        <v>1284165.4100000001</v>
      </c>
      <c r="P66"/>
    </row>
    <row r="67" spans="1:17" ht="18.75" customHeight="1">
      <c r="A67" s="17" t="s">
        <v>71</v>
      </c>
      <c r="B67" s="34">
        <v>0</v>
      </c>
      <c r="C67" s="34">
        <v>0</v>
      </c>
      <c r="D67" s="26">
        <f>666843.75+10186.97</f>
        <v>677030.72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6">
        <f t="shared" si="23"/>
        <v>677030.72</v>
      </c>
      <c r="Q67"/>
    </row>
    <row r="68" spans="1:18" ht="18.75" customHeight="1">
      <c r="A68" s="17" t="s">
        <v>72</v>
      </c>
      <c r="B68" s="34">
        <v>0</v>
      </c>
      <c r="C68" s="34">
        <v>0</v>
      </c>
      <c r="D68" s="34">
        <v>0</v>
      </c>
      <c r="E68" s="26">
        <f>126666.09+85623.52</f>
        <v>212289.61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9">
        <f t="shared" si="23"/>
        <v>212289.61</v>
      </c>
      <c r="R68"/>
    </row>
    <row r="69" spans="1:19" ht="18.75" customHeight="1">
      <c r="A69" s="17" t="s">
        <v>73</v>
      </c>
      <c r="B69" s="34">
        <v>0</v>
      </c>
      <c r="C69" s="34">
        <v>0</v>
      </c>
      <c r="D69" s="34">
        <v>0</v>
      </c>
      <c r="E69" s="34">
        <v>0</v>
      </c>
      <c r="F69" s="26">
        <v>684563.52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6">
        <f t="shared" si="23"/>
        <v>684563.52</v>
      </c>
      <c r="S69"/>
    </row>
    <row r="70" spans="1:20" ht="18.75" customHeight="1">
      <c r="A70" s="17" t="s">
        <v>74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5">
        <v>840175.58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9">
        <f t="shared" si="23"/>
        <v>840175.58</v>
      </c>
      <c r="T70"/>
    </row>
    <row r="71" spans="1:21" ht="18.75" customHeight="1">
      <c r="A71" s="17" t="s">
        <v>100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f>685754.38+3507.04</f>
        <v>689261.42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689261.42</v>
      </c>
      <c r="U71"/>
    </row>
    <row r="72" spans="1:21" ht="18.75" customHeight="1">
      <c r="A72" s="17" t="s">
        <v>75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f>191539.39</f>
        <v>191539.39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191539.39</v>
      </c>
      <c r="U72"/>
    </row>
    <row r="73" spans="1:22" ht="18.75" customHeight="1">
      <c r="A73" s="17" t="s">
        <v>76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26">
        <f>797604.28+4057.59</f>
        <v>801661.87</v>
      </c>
      <c r="K73" s="34">
        <v>0</v>
      </c>
      <c r="L73" s="34">
        <v>0</v>
      </c>
      <c r="M73" s="34">
        <v>0</v>
      </c>
      <c r="N73" s="34">
        <v>0</v>
      </c>
      <c r="O73" s="26">
        <f t="shared" si="23"/>
        <v>801661.87</v>
      </c>
      <c r="V73"/>
    </row>
    <row r="74" spans="1:23" ht="18.75" customHeight="1">
      <c r="A74" s="17" t="s">
        <v>77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26">
        <f>618896.81+3506.82</f>
        <v>622403.63</v>
      </c>
      <c r="L74" s="34">
        <v>0</v>
      </c>
      <c r="M74" s="34">
        <v>0</v>
      </c>
      <c r="N74" s="34">
        <v>0</v>
      </c>
      <c r="O74" s="29">
        <f t="shared" si="23"/>
        <v>622403.63</v>
      </c>
      <c r="W74"/>
    </row>
    <row r="75" spans="1:24" ht="18.75" customHeight="1">
      <c r="A75" s="17" t="s">
        <v>78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26">
        <f>755376.26+4058.14</f>
        <v>759434.4</v>
      </c>
      <c r="M75" s="34">
        <v>0</v>
      </c>
      <c r="N75" s="58">
        <v>0</v>
      </c>
      <c r="O75" s="26">
        <f t="shared" si="23"/>
        <v>759434.4</v>
      </c>
      <c r="X75"/>
    </row>
    <row r="76" spans="1:25" ht="18.75" customHeight="1">
      <c r="A76" s="17" t="s">
        <v>79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6">
        <f>350419.74+2337.42</f>
        <v>352757.16</v>
      </c>
      <c r="N76" s="34">
        <v>0</v>
      </c>
      <c r="O76" s="29">
        <f t="shared" si="23"/>
        <v>352757.16</v>
      </c>
      <c r="Y76"/>
    </row>
    <row r="77" spans="1:26" ht="18.75" customHeight="1">
      <c r="A77" s="17" t="s">
        <v>80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6">
        <f>206118.07</f>
        <v>206118.07</v>
      </c>
      <c r="O77" s="26">
        <f t="shared" si="23"/>
        <v>206118.07</v>
      </c>
      <c r="P77"/>
      <c r="Z77"/>
    </row>
    <row r="78" spans="1:26" ht="18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ht="18.75" customHeight="1">
      <c r="A81" s="2" t="s">
        <v>110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29"/>
    </row>
    <row r="82" spans="1:16" ht="18.75" customHeight="1">
      <c r="A82" s="17" t="s">
        <v>81</v>
      </c>
      <c r="B82" s="41">
        <v>2.3198888555531307</v>
      </c>
      <c r="C82" s="41">
        <v>2.295094529536137</v>
      </c>
      <c r="D82" s="41">
        <v>0</v>
      </c>
      <c r="E82" s="41">
        <v>0</v>
      </c>
      <c r="F82" s="34">
        <v>0</v>
      </c>
      <c r="G82" s="34">
        <v>0</v>
      </c>
      <c r="H82" s="41">
        <v>0</v>
      </c>
      <c r="I82" s="41">
        <v>0</v>
      </c>
      <c r="J82" s="41">
        <v>0</v>
      </c>
      <c r="K82" s="41">
        <v>0</v>
      </c>
      <c r="L82" s="34">
        <v>0</v>
      </c>
      <c r="M82" s="41">
        <v>0</v>
      </c>
      <c r="N82" s="41">
        <v>0</v>
      </c>
      <c r="O82" s="29"/>
      <c r="P82"/>
    </row>
    <row r="83" spans="1:16" ht="18.75" customHeight="1">
      <c r="A83" s="17" t="s">
        <v>82</v>
      </c>
      <c r="B83" s="41">
        <v>2.0386346940965248</v>
      </c>
      <c r="C83" s="41">
        <v>1.9236474375264716</v>
      </c>
      <c r="D83" s="41">
        <v>0</v>
      </c>
      <c r="E83" s="41">
        <v>0</v>
      </c>
      <c r="F83" s="34">
        <v>0</v>
      </c>
      <c r="G83" s="34">
        <v>0</v>
      </c>
      <c r="H83" s="41">
        <v>0</v>
      </c>
      <c r="I83" s="41">
        <v>0</v>
      </c>
      <c r="J83" s="41">
        <v>0</v>
      </c>
      <c r="K83" s="41">
        <v>0</v>
      </c>
      <c r="L83" s="34">
        <v>0</v>
      </c>
      <c r="M83" s="41">
        <v>0</v>
      </c>
      <c r="N83" s="41">
        <v>0</v>
      </c>
      <c r="O83" s="29"/>
      <c r="P83"/>
    </row>
    <row r="84" spans="1:17" ht="18.75" customHeight="1">
      <c r="A84" s="17" t="s">
        <v>83</v>
      </c>
      <c r="B84" s="41">
        <v>0</v>
      </c>
      <c r="C84" s="41">
        <v>0</v>
      </c>
      <c r="D84" s="22">
        <f>(D$37+D$38+D$39)/D$7</f>
        <v>1.8681203976482619</v>
      </c>
      <c r="E84" s="41">
        <v>0</v>
      </c>
      <c r="F84" s="34">
        <v>0</v>
      </c>
      <c r="G84" s="34">
        <v>0</v>
      </c>
      <c r="H84" s="41">
        <v>0</v>
      </c>
      <c r="I84" s="41">
        <v>0</v>
      </c>
      <c r="J84" s="41">
        <v>0</v>
      </c>
      <c r="K84" s="41">
        <v>0</v>
      </c>
      <c r="L84" s="34">
        <v>0</v>
      </c>
      <c r="M84" s="41">
        <v>0</v>
      </c>
      <c r="N84" s="41">
        <v>0</v>
      </c>
      <c r="O84" s="26"/>
      <c r="Q84"/>
    </row>
    <row r="85" spans="1:18" ht="18.75" customHeight="1">
      <c r="A85" s="17" t="s">
        <v>84</v>
      </c>
      <c r="B85" s="41">
        <v>0</v>
      </c>
      <c r="C85" s="41">
        <v>0</v>
      </c>
      <c r="D85" s="41">
        <v>0</v>
      </c>
      <c r="E85" s="22">
        <f>(E$37+E$38+E$39)/E$7</f>
        <v>2.5999700167530677</v>
      </c>
      <c r="F85" s="34">
        <v>0</v>
      </c>
      <c r="G85" s="34">
        <v>0</v>
      </c>
      <c r="H85" s="41">
        <v>0</v>
      </c>
      <c r="I85" s="41">
        <v>0</v>
      </c>
      <c r="J85" s="41">
        <v>0</v>
      </c>
      <c r="K85" s="41">
        <v>0</v>
      </c>
      <c r="L85" s="34">
        <v>0</v>
      </c>
      <c r="M85" s="41">
        <v>0</v>
      </c>
      <c r="N85" s="41">
        <v>0</v>
      </c>
      <c r="O85" s="29"/>
      <c r="R85"/>
    </row>
    <row r="86" spans="1:19" ht="18.75" customHeight="1">
      <c r="A86" s="17" t="s">
        <v>85</v>
      </c>
      <c r="B86" s="41">
        <v>0</v>
      </c>
      <c r="C86" s="41">
        <v>0</v>
      </c>
      <c r="D86" s="41">
        <v>0</v>
      </c>
      <c r="E86" s="41">
        <v>0</v>
      </c>
      <c r="F86" s="41">
        <f>(F$37+F$38+F$39)/F$7</f>
        <v>2.1812489136090405</v>
      </c>
      <c r="G86" s="34">
        <v>0</v>
      </c>
      <c r="H86" s="41">
        <v>0</v>
      </c>
      <c r="I86" s="41">
        <v>0</v>
      </c>
      <c r="J86" s="41">
        <v>0</v>
      </c>
      <c r="K86" s="41">
        <v>0</v>
      </c>
      <c r="L86" s="34">
        <v>0</v>
      </c>
      <c r="M86" s="41">
        <v>0</v>
      </c>
      <c r="N86" s="41">
        <v>0</v>
      </c>
      <c r="O86" s="26"/>
      <c r="S86"/>
    </row>
    <row r="87" spans="1:20" ht="18.75" customHeight="1">
      <c r="A87" s="17" t="s">
        <v>86</v>
      </c>
      <c r="B87" s="41">
        <v>0</v>
      </c>
      <c r="C87" s="41">
        <v>0</v>
      </c>
      <c r="D87" s="41">
        <v>0</v>
      </c>
      <c r="E87" s="41">
        <v>0</v>
      </c>
      <c r="F87" s="34">
        <v>0</v>
      </c>
      <c r="G87" s="41">
        <f>(G$37+G$38+G$39)/G$7</f>
        <v>1.7296753133876264</v>
      </c>
      <c r="H87" s="41">
        <v>0</v>
      </c>
      <c r="I87" s="41">
        <v>0</v>
      </c>
      <c r="J87" s="41">
        <v>0</v>
      </c>
      <c r="K87" s="41">
        <v>0</v>
      </c>
      <c r="L87" s="34">
        <v>0</v>
      </c>
      <c r="M87" s="41">
        <v>0</v>
      </c>
      <c r="N87" s="41">
        <v>0</v>
      </c>
      <c r="O87" s="29"/>
      <c r="T87"/>
    </row>
    <row r="88" spans="1:21" ht="18.75" customHeight="1">
      <c r="A88" s="17" t="s">
        <v>87</v>
      </c>
      <c r="B88" s="41">
        <v>0</v>
      </c>
      <c r="C88" s="41">
        <v>0</v>
      </c>
      <c r="D88" s="41">
        <v>0</v>
      </c>
      <c r="E88" s="41">
        <v>0</v>
      </c>
      <c r="F88" s="34">
        <v>0</v>
      </c>
      <c r="G88" s="34">
        <v>0</v>
      </c>
      <c r="H88" s="41">
        <f>(H$37+H$38+H$39)/H$7</f>
        <v>2.0343822819703776</v>
      </c>
      <c r="I88" s="41">
        <v>0</v>
      </c>
      <c r="J88" s="41">
        <v>0</v>
      </c>
      <c r="K88" s="41">
        <v>0</v>
      </c>
      <c r="L88" s="34">
        <v>0</v>
      </c>
      <c r="M88" s="41">
        <v>0</v>
      </c>
      <c r="N88" s="41">
        <v>0</v>
      </c>
      <c r="O88" s="29"/>
      <c r="U88"/>
    </row>
    <row r="89" spans="1:21" ht="18.75" customHeight="1">
      <c r="A89" s="17" t="s">
        <v>88</v>
      </c>
      <c r="B89" s="41">
        <v>0</v>
      </c>
      <c r="C89" s="41">
        <v>0</v>
      </c>
      <c r="D89" s="41">
        <v>0</v>
      </c>
      <c r="E89" s="41">
        <v>0</v>
      </c>
      <c r="F89" s="34">
        <v>0</v>
      </c>
      <c r="G89" s="34">
        <v>0</v>
      </c>
      <c r="H89" s="41">
        <v>0</v>
      </c>
      <c r="I89" s="41">
        <f>(I$37+I$38+I$39)/I$7</f>
        <v>1.9908502763822506</v>
      </c>
      <c r="J89" s="41">
        <v>0</v>
      </c>
      <c r="K89" s="41">
        <v>0</v>
      </c>
      <c r="L89" s="34">
        <v>0</v>
      </c>
      <c r="M89" s="41">
        <v>0</v>
      </c>
      <c r="N89" s="41">
        <v>0</v>
      </c>
      <c r="O89" s="29"/>
      <c r="U89"/>
    </row>
    <row r="90" spans="1:22" ht="18.75" customHeight="1">
      <c r="A90" s="17" t="s">
        <v>89</v>
      </c>
      <c r="B90" s="41">
        <v>0</v>
      </c>
      <c r="C90" s="41">
        <v>0</v>
      </c>
      <c r="D90" s="41">
        <v>0</v>
      </c>
      <c r="E90" s="41">
        <v>0</v>
      </c>
      <c r="F90" s="34">
        <v>0</v>
      </c>
      <c r="G90" s="34">
        <v>0</v>
      </c>
      <c r="H90" s="41">
        <v>0</v>
      </c>
      <c r="I90" s="41">
        <v>0</v>
      </c>
      <c r="J90" s="41">
        <f>(J$37+J$38+J$39)/J$7</f>
        <v>1.9761334250074296</v>
      </c>
      <c r="K90" s="41">
        <v>0</v>
      </c>
      <c r="L90" s="34">
        <v>0</v>
      </c>
      <c r="M90" s="41">
        <v>0</v>
      </c>
      <c r="N90" s="41">
        <v>0</v>
      </c>
      <c r="O90" s="26"/>
      <c r="V90"/>
    </row>
    <row r="91" spans="1:23" ht="18.75" customHeight="1">
      <c r="A91" s="17" t="s">
        <v>90</v>
      </c>
      <c r="B91" s="41">
        <v>0</v>
      </c>
      <c r="C91" s="41">
        <v>0</v>
      </c>
      <c r="D91" s="41">
        <v>0</v>
      </c>
      <c r="E91" s="41">
        <v>0</v>
      </c>
      <c r="F91" s="34">
        <v>0</v>
      </c>
      <c r="G91" s="34">
        <v>0</v>
      </c>
      <c r="H91" s="41">
        <v>0</v>
      </c>
      <c r="I91" s="41">
        <v>0</v>
      </c>
      <c r="J91" s="41">
        <v>0</v>
      </c>
      <c r="K91" s="41">
        <f>(K$37+K$38+K$39)/K$7</f>
        <v>2.225944482164176</v>
      </c>
      <c r="L91" s="34">
        <v>0</v>
      </c>
      <c r="M91" s="41">
        <v>0</v>
      </c>
      <c r="N91" s="41">
        <v>0</v>
      </c>
      <c r="O91" s="29"/>
      <c r="W91"/>
    </row>
    <row r="92" spans="1:24" ht="18.75" customHeight="1">
      <c r="A92" s="17" t="s">
        <v>91</v>
      </c>
      <c r="B92" s="41">
        <v>0</v>
      </c>
      <c r="C92" s="41">
        <v>0</v>
      </c>
      <c r="D92" s="41">
        <v>0</v>
      </c>
      <c r="E92" s="41">
        <v>0</v>
      </c>
      <c r="F92" s="34">
        <v>0</v>
      </c>
      <c r="G92" s="34">
        <v>0</v>
      </c>
      <c r="H92" s="41">
        <v>0</v>
      </c>
      <c r="I92" s="41">
        <v>0</v>
      </c>
      <c r="J92" s="41">
        <v>0</v>
      </c>
      <c r="K92" s="41">
        <v>0</v>
      </c>
      <c r="L92" s="41">
        <f>(L$37+L$38+L$39)/L$7</f>
        <v>2.1281812172183177</v>
      </c>
      <c r="M92" s="41">
        <v>0</v>
      </c>
      <c r="N92" s="41">
        <v>0</v>
      </c>
      <c r="O92" s="26"/>
      <c r="X92"/>
    </row>
    <row r="93" spans="1:25" ht="18.75" customHeight="1">
      <c r="A93" s="17" t="s">
        <v>92</v>
      </c>
      <c r="B93" s="41">
        <v>0</v>
      </c>
      <c r="C93" s="41">
        <v>0</v>
      </c>
      <c r="D93" s="41">
        <v>0</v>
      </c>
      <c r="E93" s="41">
        <v>0</v>
      </c>
      <c r="F93" s="34">
        <v>0</v>
      </c>
      <c r="G93" s="34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f>(M$37+M$38+M$39)/M$7</f>
        <v>2.526849534707844</v>
      </c>
      <c r="N93" s="41">
        <v>0</v>
      </c>
      <c r="O93" s="59"/>
      <c r="Y93"/>
    </row>
    <row r="94" spans="1:26" ht="18.75" customHeight="1">
      <c r="A94" s="33" t="s">
        <v>93</v>
      </c>
      <c r="B94" s="42">
        <v>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6">
        <f>(N$37+N$38+N$39)/N$7</f>
        <v>2.4753535594663023</v>
      </c>
      <c r="O94" s="47"/>
      <c r="P94"/>
      <c r="Z94"/>
    </row>
    <row r="95" spans="1:14" ht="21" customHeight="1">
      <c r="A95" s="64" t="s">
        <v>101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6.5" customHeight="1">
      <c r="A96" s="67" t="s">
        <v>107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ht="16.5" customHeight="1">
      <c r="A97" s="74" t="s">
        <v>113</v>
      </c>
    </row>
    <row r="98" spans="1:2" ht="16.5" customHeight="1">
      <c r="A98" s="74" t="s">
        <v>108</v>
      </c>
      <c r="B98" s="39"/>
    </row>
    <row r="99" spans="1:9" ht="16.5" customHeight="1">
      <c r="A99" s="74" t="s">
        <v>112</v>
      </c>
      <c r="H99" s="40"/>
      <c r="I99" s="40"/>
    </row>
    <row r="100" ht="16.5" customHeight="1">
      <c r="A100" s="74" t="s">
        <v>111</v>
      </c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2017-10-25T17:32:05Z</dcterms:modified>
  <cp:category/>
  <cp:version/>
  <cp:contentType/>
  <cp:contentStatus/>
</cp:coreProperties>
</file>