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<sst xmlns="http://schemas.openxmlformats.org/spreadsheetml/2006/main" count="112" uniqueCount="110">
  <si>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</si>
  <si>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</si>
  <si>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</si>
  <si>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</si>
  <si>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</si>
  <si>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</si>
  <si>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</si>
  <si>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</si>
  <si>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</si>
  <si>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</si>
  <si>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</si>
  <si>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</si>
  <si>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</si>
  <si>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</si>
  <si>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</si>
  <si>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</si>
  <si>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</si>
  <si>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</si>
  <si>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</si>
  <si>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</si>
  <si>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</si>
  <si>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</si>
  <si>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</si>
  <si>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</si>
  <si>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</si>
  <si>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</si>
  <si>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</si>
  <si>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</si>
  <si>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</si>
  <si>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</si>
  <si>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</si>
  <si>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</si>
  <si>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</si>
  <si>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</si>
  <si>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</si>
  <si>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</si>
  <si>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</si>
  <si>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</si>
  <si>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</si>
  <si>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</si>
  <si>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</si>
  <si>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</si>
  <si>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</si>
  <si>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</si>
  <si>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</si>
  <si>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</si>
  <si>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</si>
  <si>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</si>
  <si>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</si>
  <si>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</si>
  <si>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</si>
  <si>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</si>
  <si>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</si>
  <si>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</si>
  <si>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</si>
  <si>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</si>
  <si>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</si>
  <si>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</si>
  <si>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</si>
  <si>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</si>
  <si>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</si>
  <si>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</si>
  <si>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</si>
  <si>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</si>
  <si>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</si>
  <si>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</si>
  <si>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</si>
  <si>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</si>
  <si>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</si>
  <si>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</si>
  <si>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</si>
  <si>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</si>
  <si>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</si>
  <si>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</si>
  <si>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</si>
  <si>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</si>
  <si>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</si>
  <si>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</si>
  <si>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</si>
  <si>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</si>
  <si>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</si>
  <si>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</si>
  <si>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</si>
  <si>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</si>
  <si>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</si>
  <si>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</si>
  <si>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</si>
  <si>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</si>
  <si>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</si>
  <si>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</si>
  <si>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</si>
  <si>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</si>
  <si>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</si>
  <si>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</si>
  <si>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</si>
  <si>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</si>
  <si>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</si>
  <si>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</si>
  <si>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</si>
  <si>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</si>
  <si>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>Movebuss Soluções em Mobilidde Urbana Lda</t>
  </si>
  <si>
    <t xml:space="preserve">7.7. Movebuss 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</si>
  <si>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</si>
  <si>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</si>
  <si>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</si>
  <si>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</si>
  <si>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OPERAÇÃO 13/10/17 - VENCIMENTO 20/10/17</t>
  </si>
  <si>
    <t>8. Tarifa de Remuneração por Passageiro (2)</t>
  </si>
  <si>
    <t>(1) Ajuste de remuneração, previsto contratualmente, período de 25/08 a 24/09/17, parcela 13/20.
(2) Tarifa de remuneração de cada empresa considerando o  reequilibrio interno estabelecido e informado pelo consórcio. Não consideram os acertos financeiros previstos no item 7.</t>
  </si>
  <si>
    <t>5.2.8. Ajuste de Remuneração Previsto Contratualmente  (1)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</si>
</sst>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4600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4600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4600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7" width="9.00390625" style="1" customWidth="1"/>
    <col min="18" max="18" width="9.375" style="1" bestFit="1" customWidth="1"/>
    <col min="19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100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414402</v>
      </c>
      <c r="C7" s="10">
        <f>C8+C20+C24</f>
        <v>299378</v>
      </c>
      <c r="D7" s="10">
        <f>D8+D20+D24</f>
        <v>320944</v>
      </c>
      <c r="E7" s="10">
        <f>E8+E20+E24</f>
        <v>46212</v>
      </c>
      <c r="F7" s="10">
        <f aca="true" t="shared" si="0" ref="F7:N7">F8+F20+F24</f>
        <v>260114</v>
      </c>
      <c r="G7" s="10">
        <f t="shared" si="0"/>
        <v>412195</v>
      </c>
      <c r="H7" s="10">
        <f>H8+H20+H24</f>
        <v>286607</v>
      </c>
      <c r="I7" s="10">
        <f>I8+I20+I24</f>
        <v>83135</v>
      </c>
      <c r="J7" s="10">
        <f>J8+J20+J24</f>
        <v>350896</v>
      </c>
      <c r="K7" s="10">
        <f>K8+K20+K24</f>
        <v>240784</v>
      </c>
      <c r="L7" s="10">
        <f>L8+L20+L24</f>
        <v>318863</v>
      </c>
      <c r="M7" s="10">
        <f t="shared" si="0"/>
        <v>116766</v>
      </c>
      <c r="N7" s="10">
        <f t="shared" si="0"/>
        <v>72553</v>
      </c>
      <c r="O7" s="10">
        <f>+O8+O20+O24</f>
        <v>3222849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178866</v>
      </c>
      <c r="C8" s="12">
        <f>+C9+C12+C16</f>
        <v>139874</v>
      </c>
      <c r="D8" s="12">
        <f>+D9+D12+D16</f>
        <v>160810</v>
      </c>
      <c r="E8" s="12">
        <f>+E9+E12+E16</f>
        <v>20854</v>
      </c>
      <c r="F8" s="12">
        <f aca="true" t="shared" si="1" ref="F8:N8">+F9+F12+F16</f>
        <v>120972</v>
      </c>
      <c r="G8" s="12">
        <f t="shared" si="1"/>
        <v>195177</v>
      </c>
      <c r="H8" s="12">
        <f>+H9+H12+H16</f>
        <v>130747</v>
      </c>
      <c r="I8" s="12">
        <f>+I9+I12+I16</f>
        <v>39722</v>
      </c>
      <c r="J8" s="12">
        <f>+J9+J12+J16</f>
        <v>166538</v>
      </c>
      <c r="K8" s="12">
        <f>+K9+K12+K16</f>
        <v>115412</v>
      </c>
      <c r="L8" s="12">
        <f>+L9+L12+L16</f>
        <v>143737</v>
      </c>
      <c r="M8" s="12">
        <f t="shared" si="1"/>
        <v>59375</v>
      </c>
      <c r="N8" s="12">
        <f t="shared" si="1"/>
        <v>38716</v>
      </c>
      <c r="O8" s="12">
        <f>SUM(B8:N8)</f>
        <v>1510800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18603</v>
      </c>
      <c r="C9" s="14">
        <v>18726</v>
      </c>
      <c r="D9" s="14">
        <v>14309</v>
      </c>
      <c r="E9" s="14">
        <v>1623</v>
      </c>
      <c r="F9" s="14">
        <v>11263</v>
      </c>
      <c r="G9" s="14">
        <v>20271</v>
      </c>
      <c r="H9" s="14">
        <v>17597</v>
      </c>
      <c r="I9" s="14">
        <v>5331</v>
      </c>
      <c r="J9" s="14">
        <v>11764</v>
      </c>
      <c r="K9" s="14">
        <v>14429</v>
      </c>
      <c r="L9" s="14">
        <v>12307</v>
      </c>
      <c r="M9" s="14">
        <v>7107</v>
      </c>
      <c r="N9" s="14">
        <v>4811</v>
      </c>
      <c r="O9" s="12">
        <f aca="true" t="shared" si="2" ref="O9:O19">SUM(B9:N9)</f>
        <v>158141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18603</v>
      </c>
      <c r="C10" s="14">
        <f>+C9-C11</f>
        <v>18726</v>
      </c>
      <c r="D10" s="14">
        <f>+D9-D11</f>
        <v>14309</v>
      </c>
      <c r="E10" s="14">
        <f>+E9-E11</f>
        <v>1623</v>
      </c>
      <c r="F10" s="14">
        <f aca="true" t="shared" si="3" ref="F10:N10">+F9-F11</f>
        <v>11263</v>
      </c>
      <c r="G10" s="14">
        <f t="shared" si="3"/>
        <v>20271</v>
      </c>
      <c r="H10" s="14">
        <f>+H9-H11</f>
        <v>17597</v>
      </c>
      <c r="I10" s="14">
        <f>+I9-I11</f>
        <v>5331</v>
      </c>
      <c r="J10" s="14">
        <f>+J9-J11</f>
        <v>11764</v>
      </c>
      <c r="K10" s="14">
        <f>+K9-K11</f>
        <v>14429</v>
      </c>
      <c r="L10" s="14">
        <f>+L9-L11</f>
        <v>12307</v>
      </c>
      <c r="M10" s="14">
        <f t="shared" si="3"/>
        <v>7107</v>
      </c>
      <c r="N10" s="14">
        <f t="shared" si="3"/>
        <v>4811</v>
      </c>
      <c r="O10" s="12">
        <f t="shared" si="2"/>
        <v>158141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150364</v>
      </c>
      <c r="C12" s="14">
        <f>C13+C14+C15</f>
        <v>113832</v>
      </c>
      <c r="D12" s="14">
        <f>D13+D14+D15</f>
        <v>138614</v>
      </c>
      <c r="E12" s="14">
        <f>E13+E14+E15</f>
        <v>18206</v>
      </c>
      <c r="F12" s="14">
        <f aca="true" t="shared" si="4" ref="F12:N12">F13+F14+F15</f>
        <v>103106</v>
      </c>
      <c r="G12" s="14">
        <f t="shared" si="4"/>
        <v>163623</v>
      </c>
      <c r="H12" s="14">
        <f>H13+H14+H15</f>
        <v>106240</v>
      </c>
      <c r="I12" s="14">
        <f>I13+I14+I15</f>
        <v>32287</v>
      </c>
      <c r="J12" s="14">
        <f>J13+J14+J15</f>
        <v>145114</v>
      </c>
      <c r="K12" s="14">
        <f>K13+K14+K15</f>
        <v>94744</v>
      </c>
      <c r="L12" s="14">
        <f>L13+L14+L15</f>
        <v>122517</v>
      </c>
      <c r="M12" s="14">
        <f t="shared" si="4"/>
        <v>49263</v>
      </c>
      <c r="N12" s="14">
        <f t="shared" si="4"/>
        <v>32318</v>
      </c>
      <c r="O12" s="12">
        <f t="shared" si="2"/>
        <v>1270228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70065</v>
      </c>
      <c r="C13" s="14">
        <v>55257</v>
      </c>
      <c r="D13" s="14">
        <v>63552</v>
      </c>
      <c r="E13" s="14">
        <v>8622</v>
      </c>
      <c r="F13" s="14">
        <v>47070</v>
      </c>
      <c r="G13" s="14">
        <v>76746</v>
      </c>
      <c r="H13" s="14">
        <v>52701</v>
      </c>
      <c r="I13" s="14">
        <v>16041</v>
      </c>
      <c r="J13" s="14">
        <v>70319</v>
      </c>
      <c r="K13" s="14">
        <v>44534</v>
      </c>
      <c r="L13" s="14">
        <v>57467</v>
      </c>
      <c r="M13" s="14">
        <v>22668</v>
      </c>
      <c r="N13" s="14">
        <v>14415</v>
      </c>
      <c r="O13" s="12">
        <f t="shared" si="2"/>
        <v>599457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77717</v>
      </c>
      <c r="C14" s="14">
        <v>55633</v>
      </c>
      <c r="D14" s="14">
        <v>73277</v>
      </c>
      <c r="E14" s="14">
        <v>9159</v>
      </c>
      <c r="F14" s="14">
        <v>53929</v>
      </c>
      <c r="G14" s="14">
        <v>82500</v>
      </c>
      <c r="H14" s="14">
        <v>51485</v>
      </c>
      <c r="I14" s="14">
        <v>15640</v>
      </c>
      <c r="J14" s="14">
        <v>72926</v>
      </c>
      <c r="K14" s="14">
        <v>48331</v>
      </c>
      <c r="L14" s="14">
        <v>63162</v>
      </c>
      <c r="M14" s="14">
        <v>25689</v>
      </c>
      <c r="N14" s="14">
        <v>17447</v>
      </c>
      <c r="O14" s="12">
        <f t="shared" si="2"/>
        <v>646895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2582</v>
      </c>
      <c r="C15" s="14">
        <v>2942</v>
      </c>
      <c r="D15" s="14">
        <v>1785</v>
      </c>
      <c r="E15" s="14">
        <v>425</v>
      </c>
      <c r="F15" s="14">
        <v>2107</v>
      </c>
      <c r="G15" s="14">
        <v>4377</v>
      </c>
      <c r="H15" s="14">
        <v>2054</v>
      </c>
      <c r="I15" s="14">
        <v>606</v>
      </c>
      <c r="J15" s="14">
        <v>1869</v>
      </c>
      <c r="K15" s="14">
        <v>1879</v>
      </c>
      <c r="L15" s="14">
        <v>1888</v>
      </c>
      <c r="M15" s="14">
        <v>906</v>
      </c>
      <c r="N15" s="14">
        <v>456</v>
      </c>
      <c r="O15" s="12">
        <f t="shared" si="2"/>
        <v>23876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9899</v>
      </c>
      <c r="C16" s="14">
        <f>C17+C18+C19</f>
        <v>7316</v>
      </c>
      <c r="D16" s="14">
        <f>D17+D18+D19</f>
        <v>7887</v>
      </c>
      <c r="E16" s="14">
        <f>E17+E18+E19</f>
        <v>1025</v>
      </c>
      <c r="F16" s="14">
        <f aca="true" t="shared" si="5" ref="F16:N16">F17+F18+F19</f>
        <v>6603</v>
      </c>
      <c r="G16" s="14">
        <f t="shared" si="5"/>
        <v>11283</v>
      </c>
      <c r="H16" s="14">
        <f>H17+H18+H19</f>
        <v>6910</v>
      </c>
      <c r="I16" s="14">
        <f>I17+I18+I19</f>
        <v>2104</v>
      </c>
      <c r="J16" s="14">
        <f>J17+J18+J19</f>
        <v>9660</v>
      </c>
      <c r="K16" s="14">
        <f>K17+K18+K19</f>
        <v>6239</v>
      </c>
      <c r="L16" s="14">
        <f>L17+L18+L19</f>
        <v>8913</v>
      </c>
      <c r="M16" s="14">
        <f t="shared" si="5"/>
        <v>3005</v>
      </c>
      <c r="N16" s="14">
        <f t="shared" si="5"/>
        <v>1587</v>
      </c>
      <c r="O16" s="12">
        <f t="shared" si="2"/>
        <v>82431</v>
      </c>
    </row>
    <row r="17" spans="1:26" ht="18.75" customHeight="1">
      <c r="A17" s="15" t="s">
        <v>16</v>
      </c>
      <c r="B17" s="14">
        <v>9853</v>
      </c>
      <c r="C17" s="14">
        <v>7283</v>
      </c>
      <c r="D17" s="14">
        <v>7845</v>
      </c>
      <c r="E17" s="14">
        <v>1017</v>
      </c>
      <c r="F17" s="14">
        <v>6578</v>
      </c>
      <c r="G17" s="14">
        <v>11252</v>
      </c>
      <c r="H17" s="14">
        <v>6875</v>
      </c>
      <c r="I17" s="14">
        <v>2089</v>
      </c>
      <c r="J17" s="14">
        <v>9619</v>
      </c>
      <c r="K17" s="14">
        <v>6186</v>
      </c>
      <c r="L17" s="14">
        <v>8867</v>
      </c>
      <c r="M17" s="14">
        <v>2975</v>
      </c>
      <c r="N17" s="14">
        <v>1567</v>
      </c>
      <c r="O17" s="12">
        <f t="shared" si="2"/>
        <v>82006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45</v>
      </c>
      <c r="C18" s="14">
        <v>33</v>
      </c>
      <c r="D18" s="14">
        <v>37</v>
      </c>
      <c r="E18" s="14">
        <v>7</v>
      </c>
      <c r="F18" s="14">
        <v>18</v>
      </c>
      <c r="G18" s="14">
        <v>25</v>
      </c>
      <c r="H18" s="14">
        <v>31</v>
      </c>
      <c r="I18" s="14">
        <v>9</v>
      </c>
      <c r="J18" s="14">
        <v>37</v>
      </c>
      <c r="K18" s="14">
        <v>50</v>
      </c>
      <c r="L18" s="14">
        <v>40</v>
      </c>
      <c r="M18" s="14">
        <v>27</v>
      </c>
      <c r="N18" s="14">
        <v>20</v>
      </c>
      <c r="O18" s="12">
        <f t="shared" si="2"/>
        <v>379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</v>
      </c>
      <c r="C19" s="14">
        <v>0</v>
      </c>
      <c r="D19" s="14">
        <v>5</v>
      </c>
      <c r="E19" s="14">
        <v>1</v>
      </c>
      <c r="F19" s="14">
        <v>7</v>
      </c>
      <c r="G19" s="14">
        <v>6</v>
      </c>
      <c r="H19" s="14">
        <v>4</v>
      </c>
      <c r="I19" s="14">
        <v>6</v>
      </c>
      <c r="J19" s="14">
        <v>4</v>
      </c>
      <c r="K19" s="14">
        <v>3</v>
      </c>
      <c r="L19" s="14">
        <v>6</v>
      </c>
      <c r="M19" s="14">
        <v>3</v>
      </c>
      <c r="N19" s="14">
        <v>0</v>
      </c>
      <c r="O19" s="12">
        <f t="shared" si="2"/>
        <v>46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110025</v>
      </c>
      <c r="C20" s="18">
        <f>C21+C22+C23</f>
        <v>68931</v>
      </c>
      <c r="D20" s="18">
        <f>D21+D22+D23</f>
        <v>66004</v>
      </c>
      <c r="E20" s="18">
        <f>E21+E22+E23</f>
        <v>9892</v>
      </c>
      <c r="F20" s="18">
        <f aca="true" t="shared" si="6" ref="F20:N20">F21+F22+F23</f>
        <v>55134</v>
      </c>
      <c r="G20" s="18">
        <f t="shared" si="6"/>
        <v>88121</v>
      </c>
      <c r="H20" s="18">
        <f>H21+H22+H23</f>
        <v>71759</v>
      </c>
      <c r="I20" s="18">
        <f>I21+I22+I23</f>
        <v>20075</v>
      </c>
      <c r="J20" s="18">
        <f>J21+J22+J23</f>
        <v>89705</v>
      </c>
      <c r="K20" s="18">
        <f>K21+K22+K23</f>
        <v>56158</v>
      </c>
      <c r="L20" s="18">
        <f>L21+L22+L23</f>
        <v>95234</v>
      </c>
      <c r="M20" s="18">
        <f t="shared" si="6"/>
        <v>32984</v>
      </c>
      <c r="N20" s="18">
        <f t="shared" si="6"/>
        <v>19271</v>
      </c>
      <c r="O20" s="12">
        <f aca="true" t="shared" si="7" ref="O20:O26">SUM(B20:N20)</f>
        <v>783293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54834</v>
      </c>
      <c r="C21" s="14">
        <v>36928</v>
      </c>
      <c r="D21" s="14">
        <v>32743</v>
      </c>
      <c r="E21" s="14">
        <v>5227</v>
      </c>
      <c r="F21" s="14">
        <v>27354</v>
      </c>
      <c r="G21" s="14">
        <v>44650</v>
      </c>
      <c r="H21" s="14">
        <v>38538</v>
      </c>
      <c r="I21" s="14">
        <v>10965</v>
      </c>
      <c r="J21" s="14">
        <v>47241</v>
      </c>
      <c r="K21" s="14">
        <v>28935</v>
      </c>
      <c r="L21" s="14">
        <v>47974</v>
      </c>
      <c r="M21" s="14">
        <v>16591</v>
      </c>
      <c r="N21" s="14">
        <v>9644</v>
      </c>
      <c r="O21" s="12">
        <f t="shared" si="7"/>
        <v>401624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53729</v>
      </c>
      <c r="C22" s="14">
        <v>30746</v>
      </c>
      <c r="D22" s="14">
        <v>32559</v>
      </c>
      <c r="E22" s="14">
        <v>4520</v>
      </c>
      <c r="F22" s="14">
        <v>26966</v>
      </c>
      <c r="G22" s="14">
        <v>41876</v>
      </c>
      <c r="H22" s="14">
        <v>32291</v>
      </c>
      <c r="I22" s="14">
        <v>8830</v>
      </c>
      <c r="J22" s="14">
        <v>41546</v>
      </c>
      <c r="K22" s="14">
        <v>26458</v>
      </c>
      <c r="L22" s="14">
        <v>46141</v>
      </c>
      <c r="M22" s="14">
        <v>15931</v>
      </c>
      <c r="N22" s="14">
        <v>9411</v>
      </c>
      <c r="O22" s="12">
        <f t="shared" si="7"/>
        <v>371004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1462</v>
      </c>
      <c r="C23" s="14">
        <v>1257</v>
      </c>
      <c r="D23" s="14">
        <v>702</v>
      </c>
      <c r="E23" s="14">
        <v>145</v>
      </c>
      <c r="F23" s="14">
        <v>814</v>
      </c>
      <c r="G23" s="14">
        <v>1595</v>
      </c>
      <c r="H23" s="14">
        <v>930</v>
      </c>
      <c r="I23" s="14">
        <v>280</v>
      </c>
      <c r="J23" s="14">
        <v>918</v>
      </c>
      <c r="K23" s="14">
        <v>765</v>
      </c>
      <c r="L23" s="14">
        <v>1119</v>
      </c>
      <c r="M23" s="14">
        <v>462</v>
      </c>
      <c r="N23" s="14">
        <v>216</v>
      </c>
      <c r="O23" s="12">
        <f t="shared" si="7"/>
        <v>10665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125511</v>
      </c>
      <c r="C24" s="14">
        <f>C25+C26</f>
        <v>90573</v>
      </c>
      <c r="D24" s="14">
        <f>D25+D26</f>
        <v>94130</v>
      </c>
      <c r="E24" s="14">
        <f>E25+E26</f>
        <v>15466</v>
      </c>
      <c r="F24" s="14">
        <f aca="true" t="shared" si="8" ref="F24:N24">F25+F26</f>
        <v>84008</v>
      </c>
      <c r="G24" s="14">
        <f t="shared" si="8"/>
        <v>128897</v>
      </c>
      <c r="H24" s="14">
        <f>H25+H26</f>
        <v>84101</v>
      </c>
      <c r="I24" s="14">
        <f>I25+I26</f>
        <v>23338</v>
      </c>
      <c r="J24" s="14">
        <f>J25+J26</f>
        <v>94653</v>
      </c>
      <c r="K24" s="14">
        <f>K25+K26</f>
        <v>69214</v>
      </c>
      <c r="L24" s="14">
        <f>L25+L26</f>
        <v>79892</v>
      </c>
      <c r="M24" s="14">
        <f t="shared" si="8"/>
        <v>24407</v>
      </c>
      <c r="N24" s="14">
        <f t="shared" si="8"/>
        <v>14566</v>
      </c>
      <c r="O24" s="12">
        <f t="shared" si="7"/>
        <v>928756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58693</v>
      </c>
      <c r="C25" s="14">
        <v>48975</v>
      </c>
      <c r="D25" s="14">
        <v>48387</v>
      </c>
      <c r="E25" s="14">
        <v>9042</v>
      </c>
      <c r="F25" s="14">
        <v>45375</v>
      </c>
      <c r="G25" s="14">
        <v>71557</v>
      </c>
      <c r="H25" s="14">
        <v>47241</v>
      </c>
      <c r="I25" s="14">
        <v>14269</v>
      </c>
      <c r="J25" s="14">
        <v>45259</v>
      </c>
      <c r="K25" s="14">
        <v>37902</v>
      </c>
      <c r="L25" s="14">
        <v>39295</v>
      </c>
      <c r="M25" s="14">
        <v>12092</v>
      </c>
      <c r="N25" s="14">
        <v>6634</v>
      </c>
      <c r="O25" s="12">
        <f t="shared" si="7"/>
        <v>484721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66818</v>
      </c>
      <c r="C26" s="14">
        <v>41598</v>
      </c>
      <c r="D26" s="14">
        <v>45743</v>
      </c>
      <c r="E26" s="14">
        <v>6424</v>
      </c>
      <c r="F26" s="14">
        <v>38633</v>
      </c>
      <c r="G26" s="14">
        <v>57340</v>
      </c>
      <c r="H26" s="14">
        <v>36860</v>
      </c>
      <c r="I26" s="14">
        <v>9069</v>
      </c>
      <c r="J26" s="14">
        <v>49394</v>
      </c>
      <c r="K26" s="14">
        <v>31312</v>
      </c>
      <c r="L26" s="14">
        <v>40597</v>
      </c>
      <c r="M26" s="14">
        <v>12315</v>
      </c>
      <c r="N26" s="14">
        <v>7932</v>
      </c>
      <c r="O26" s="12">
        <f t="shared" si="7"/>
        <v>444035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2.08270546</v>
      </c>
      <c r="C28" s="23">
        <f aca="true" t="shared" si="9" ref="C28:N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>H29+H30</f>
        <v>2.0285</v>
      </c>
      <c r="I28" s="23">
        <f>I29+I30</f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 t="shared" si="9"/>
        <v>2.5186314299999997</v>
      </c>
      <c r="N28" s="23">
        <f t="shared" si="9"/>
        <v>2.46767856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870406.4380349201</v>
      </c>
      <c r="C36" s="60">
        <f aca="true" t="shared" si="11" ref="C36:N36">C37+C38+C39+C40</f>
        <v>607632.1448289999</v>
      </c>
      <c r="D36" s="60">
        <f t="shared" si="11"/>
        <v>610154.7276472</v>
      </c>
      <c r="E36" s="60">
        <f t="shared" si="11"/>
        <v>120239.16510079999</v>
      </c>
      <c r="F36" s="60">
        <f t="shared" si="11"/>
        <v>567894.2763936999</v>
      </c>
      <c r="G36" s="60">
        <f t="shared" si="11"/>
        <v>713616.096</v>
      </c>
      <c r="H36" s="60">
        <f t="shared" si="11"/>
        <v>587132.0595000001</v>
      </c>
      <c r="I36" s="60">
        <f>I37+I38+I39+I40</f>
        <v>165677.83162699998</v>
      </c>
      <c r="J36" s="60">
        <f>J37+J38+J39+J40</f>
        <v>697978.7193728</v>
      </c>
      <c r="K36" s="60">
        <f>K37+K38+K39+K40</f>
        <v>539957.4532911999</v>
      </c>
      <c r="L36" s="60">
        <f>L37+L38+L39+L40</f>
        <v>683112.21482288</v>
      </c>
      <c r="M36" s="60">
        <f t="shared" si="11"/>
        <v>297699.0975553799</v>
      </c>
      <c r="N36" s="60">
        <f t="shared" si="11"/>
        <v>179756.52256368002</v>
      </c>
      <c r="O36" s="60">
        <f>O37+O38+O39+O40</f>
        <v>6641256.7467385605</v>
      </c>
    </row>
    <row r="37" spans="1:15" ht="18.75" customHeight="1">
      <c r="A37" s="57" t="s">
        <v>50</v>
      </c>
      <c r="B37" s="54">
        <f aca="true" t="shared" si="12" ref="B37:N37">B29*B7</f>
        <v>865644.3378000001</v>
      </c>
      <c r="C37" s="54">
        <f t="shared" si="12"/>
        <v>604144.8039999999</v>
      </c>
      <c r="D37" s="54">
        <f t="shared" si="12"/>
        <v>599587.5808</v>
      </c>
      <c r="E37" s="54">
        <f t="shared" si="12"/>
        <v>119883.17039999999</v>
      </c>
      <c r="F37" s="54">
        <f t="shared" si="12"/>
        <v>567386.6682</v>
      </c>
      <c r="G37" s="54">
        <f t="shared" si="12"/>
        <v>713056.1305</v>
      </c>
      <c r="H37" s="54">
        <f t="shared" si="12"/>
        <v>582987.2987</v>
      </c>
      <c r="I37" s="54">
        <f>I29*I7</f>
        <v>165488.531</v>
      </c>
      <c r="J37" s="54">
        <f>J29*J7</f>
        <v>693370.496</v>
      </c>
      <c r="K37" s="54">
        <f>K29*K7</f>
        <v>535864.7919999999</v>
      </c>
      <c r="L37" s="54">
        <f>L29*L7</f>
        <v>678444.8051</v>
      </c>
      <c r="M37" s="54">
        <f t="shared" si="12"/>
        <v>294950.91599999997</v>
      </c>
      <c r="N37" s="54">
        <f t="shared" si="12"/>
        <v>179568.67500000002</v>
      </c>
      <c r="O37" s="56">
        <f>SUM(B37:N37)</f>
        <v>6600378.205500001</v>
      </c>
    </row>
    <row r="38" spans="1:15" ht="18.75" customHeight="1">
      <c r="A38" s="57" t="s">
        <v>51</v>
      </c>
      <c r="B38" s="54">
        <f aca="true" t="shared" si="13" ref="B38:N38">B30*B7</f>
        <v>-2567.02976508</v>
      </c>
      <c r="C38" s="54">
        <f t="shared" si="13"/>
        <v>-1757.199171</v>
      </c>
      <c r="D38" s="54">
        <f t="shared" si="13"/>
        <v>-1781.2231528</v>
      </c>
      <c r="E38" s="54">
        <f t="shared" si="13"/>
        <v>-290.2852992</v>
      </c>
      <c r="F38" s="54">
        <f t="shared" si="13"/>
        <v>-1653.7918063</v>
      </c>
      <c r="G38" s="54">
        <f t="shared" si="13"/>
        <v>-2102.1945</v>
      </c>
      <c r="H38" s="54">
        <f t="shared" si="13"/>
        <v>-1604.9992</v>
      </c>
      <c r="I38" s="54">
        <f>I30*I7</f>
        <v>-465.539373</v>
      </c>
      <c r="J38" s="54">
        <f>J30*J7</f>
        <v>-1995.9666272</v>
      </c>
      <c r="K38" s="54">
        <f>K30*K7</f>
        <v>-1532.7587088</v>
      </c>
      <c r="L38" s="54">
        <f>L30*L7</f>
        <v>-1992.97027712</v>
      </c>
      <c r="M38" s="54">
        <f t="shared" si="13"/>
        <v>-860.39844462</v>
      </c>
      <c r="N38" s="54">
        <f t="shared" si="13"/>
        <v>-531.1924363200001</v>
      </c>
      <c r="O38" s="25">
        <f>SUM(B38:N38)</f>
        <v>-19135.54876144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4072.05</v>
      </c>
      <c r="C40" s="54">
        <v>2852.02</v>
      </c>
      <c r="D40" s="54">
        <v>10186.97</v>
      </c>
      <c r="E40" s="54">
        <v>0</v>
      </c>
      <c r="F40" s="54">
        <v>0</v>
      </c>
      <c r="G40" s="54">
        <v>0</v>
      </c>
      <c r="H40" s="54">
        <v>3507.04</v>
      </c>
      <c r="I40" s="54">
        <v>0</v>
      </c>
      <c r="J40" s="54">
        <v>4057.59</v>
      </c>
      <c r="K40" s="54">
        <v>3506.82</v>
      </c>
      <c r="L40" s="54">
        <v>4058.14</v>
      </c>
      <c r="M40" s="54">
        <v>2337.42</v>
      </c>
      <c r="N40" s="54">
        <v>0</v>
      </c>
      <c r="O40" s="56">
        <f>SUM(B40:N40)</f>
        <v>34578.05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-137100.63999999998</v>
      </c>
      <c r="C42" s="25">
        <f aca="true" t="shared" si="15" ref="C42:N42">+C43+C46+C58+C59</f>
        <v>-113058.87</v>
      </c>
      <c r="D42" s="25">
        <f t="shared" si="15"/>
        <v>-115101.16</v>
      </c>
      <c r="E42" s="25">
        <f t="shared" si="15"/>
        <v>-79567.4</v>
      </c>
      <c r="F42" s="25">
        <f t="shared" si="15"/>
        <v>-89378.54000000001</v>
      </c>
      <c r="G42" s="25">
        <f t="shared" si="15"/>
        <v>-169414.74</v>
      </c>
      <c r="H42" s="25">
        <f t="shared" si="15"/>
        <v>-119837.08</v>
      </c>
      <c r="I42" s="25">
        <f>+I43+I46+I58+I59</f>
        <v>-47959.13</v>
      </c>
      <c r="J42" s="25">
        <f>+J43+J46+J58+J59</f>
        <v>-113849.31</v>
      </c>
      <c r="K42" s="25">
        <f>+K43+K46+K58+K59</f>
        <v>-146210.68</v>
      </c>
      <c r="L42" s="25">
        <f>+L43+L46+L58+L59</f>
        <v>-141329.94</v>
      </c>
      <c r="M42" s="25">
        <f t="shared" si="15"/>
        <v>-63697.549999999996</v>
      </c>
      <c r="N42" s="25">
        <f t="shared" si="15"/>
        <v>-24721.079999999998</v>
      </c>
      <c r="O42" s="25">
        <f>+O43+O46+O58+O59</f>
        <v>-1361226.12</v>
      </c>
    </row>
    <row r="43" spans="1:15" ht="18.75" customHeight="1">
      <c r="A43" s="17" t="s">
        <v>55</v>
      </c>
      <c r="B43" s="26">
        <f>B44+B45</f>
        <v>-70691.4</v>
      </c>
      <c r="C43" s="26">
        <f>C44+C45</f>
        <v>-71158.8</v>
      </c>
      <c r="D43" s="26">
        <f>D44+D45</f>
        <v>-54374.2</v>
      </c>
      <c r="E43" s="26">
        <f>E44+E45</f>
        <v>-6167.4</v>
      </c>
      <c r="F43" s="26">
        <f aca="true" t="shared" si="16" ref="F43:N43">F44+F45</f>
        <v>-42799.4</v>
      </c>
      <c r="G43" s="26">
        <f t="shared" si="16"/>
        <v>-77029.8</v>
      </c>
      <c r="H43" s="26">
        <f t="shared" si="16"/>
        <v>-66868.6</v>
      </c>
      <c r="I43" s="26">
        <f>I44+I45</f>
        <v>-20257.8</v>
      </c>
      <c r="J43" s="26">
        <f>J44+J45</f>
        <v>-44703.2</v>
      </c>
      <c r="K43" s="26">
        <f>K44+K45</f>
        <v>-54830.2</v>
      </c>
      <c r="L43" s="26">
        <f>L44+L45</f>
        <v>-46766.6</v>
      </c>
      <c r="M43" s="26">
        <f t="shared" si="16"/>
        <v>-27006.6</v>
      </c>
      <c r="N43" s="26">
        <f t="shared" si="16"/>
        <v>-18281.8</v>
      </c>
      <c r="O43" s="25">
        <f aca="true" t="shared" si="17" ref="O43:O59">SUM(B43:N43)</f>
        <v>-600935.8</v>
      </c>
    </row>
    <row r="44" spans="1:26" ht="18.75" customHeight="1">
      <c r="A44" s="13" t="s">
        <v>56</v>
      </c>
      <c r="B44" s="20">
        <f>ROUND(-B9*$D$3,2)</f>
        <v>-70691.4</v>
      </c>
      <c r="C44" s="20">
        <f>ROUND(-C9*$D$3,2)</f>
        <v>-71158.8</v>
      </c>
      <c r="D44" s="20">
        <f>ROUND(-D9*$D$3,2)</f>
        <v>-54374.2</v>
      </c>
      <c r="E44" s="20">
        <f>ROUND(-E9*$D$3,2)</f>
        <v>-6167.4</v>
      </c>
      <c r="F44" s="20">
        <f aca="true" t="shared" si="18" ref="F44:N44">ROUND(-F9*$D$3,2)</f>
        <v>-42799.4</v>
      </c>
      <c r="G44" s="20">
        <f t="shared" si="18"/>
        <v>-77029.8</v>
      </c>
      <c r="H44" s="20">
        <f t="shared" si="18"/>
        <v>-66868.6</v>
      </c>
      <c r="I44" s="20">
        <f>ROUND(-I9*$D$3,2)</f>
        <v>-20257.8</v>
      </c>
      <c r="J44" s="20">
        <f>ROUND(-J9*$D$3,2)</f>
        <v>-44703.2</v>
      </c>
      <c r="K44" s="20">
        <f>ROUND(-K9*$D$3,2)</f>
        <v>-54830.2</v>
      </c>
      <c r="L44" s="20">
        <f>ROUND(-L9*$D$3,2)</f>
        <v>-46766.6</v>
      </c>
      <c r="M44" s="20">
        <f t="shared" si="18"/>
        <v>-27006.6</v>
      </c>
      <c r="N44" s="20">
        <f t="shared" si="18"/>
        <v>-18281.8</v>
      </c>
      <c r="O44" s="46">
        <f t="shared" si="17"/>
        <v>-600935.8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-66409.23999999999</v>
      </c>
      <c r="C46" s="26">
        <f aca="true" t="shared" si="20" ref="C46:O46">SUM(C47:C57)</f>
        <v>-41900.07</v>
      </c>
      <c r="D46" s="26">
        <f t="shared" si="20"/>
        <v>-60726.96</v>
      </c>
      <c r="E46" s="26">
        <f t="shared" si="20"/>
        <v>-73400</v>
      </c>
      <c r="F46" s="26">
        <f t="shared" si="20"/>
        <v>-46579.14</v>
      </c>
      <c r="G46" s="26">
        <f t="shared" si="20"/>
        <v>-92384.94</v>
      </c>
      <c r="H46" s="26">
        <f t="shared" si="20"/>
        <v>-52968.479999999996</v>
      </c>
      <c r="I46" s="26">
        <f t="shared" si="20"/>
        <v>-27701.329999999998</v>
      </c>
      <c r="J46" s="26">
        <f t="shared" si="20"/>
        <v>-69146.11</v>
      </c>
      <c r="K46" s="26">
        <f t="shared" si="20"/>
        <v>-91380.48</v>
      </c>
      <c r="L46" s="26">
        <f t="shared" si="20"/>
        <v>-94563.34</v>
      </c>
      <c r="M46" s="26">
        <f t="shared" si="20"/>
        <v>-36690.95</v>
      </c>
      <c r="N46" s="26">
        <f t="shared" si="20"/>
        <v>-6439.28</v>
      </c>
      <c r="O46" s="26">
        <f t="shared" si="20"/>
        <v>-760290.3200000001</v>
      </c>
    </row>
    <row r="47" spans="1:26" ht="18.75" customHeight="1">
      <c r="A47" s="13" t="s">
        <v>59</v>
      </c>
      <c r="B47" s="24">
        <v>-36642.14</v>
      </c>
      <c r="C47" s="24">
        <v>-20793</v>
      </c>
      <c r="D47" s="24">
        <v>-36273.07</v>
      </c>
      <c r="E47" s="24">
        <v>-68958.93</v>
      </c>
      <c r="F47" s="24">
        <v>-21872.53</v>
      </c>
      <c r="G47" s="24">
        <v>-62983.83</v>
      </c>
      <c r="H47" s="24">
        <v>-28106.12</v>
      </c>
      <c r="I47" s="24">
        <v>-14899.3</v>
      </c>
      <c r="J47" s="24">
        <v>-45404.81</v>
      </c>
      <c r="K47" s="24">
        <v>-72411.53</v>
      </c>
      <c r="L47" s="24">
        <v>-71393.73</v>
      </c>
      <c r="M47" s="24">
        <v>-26238.29</v>
      </c>
      <c r="N47" s="24">
        <v>-360</v>
      </c>
      <c r="O47" s="24">
        <f t="shared" si="17"/>
        <v>-506337.27999999997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-4000</v>
      </c>
      <c r="E49" s="24">
        <v>-500</v>
      </c>
      <c r="F49" s="24">
        <v>-4000</v>
      </c>
      <c r="G49" s="24">
        <v>-4000</v>
      </c>
      <c r="H49" s="24">
        <v>-4000</v>
      </c>
      <c r="I49" s="24">
        <v>-7000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-23500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109</v>
      </c>
      <c r="B54" s="24">
        <v>-29767.1</v>
      </c>
      <c r="C54" s="24">
        <v>-21107.07</v>
      </c>
      <c r="D54" s="24">
        <v>-20453.89</v>
      </c>
      <c r="E54" s="24">
        <v>-3941.07</v>
      </c>
      <c r="F54" s="24">
        <v>-20706.61</v>
      </c>
      <c r="G54" s="24">
        <v>-25401.11</v>
      </c>
      <c r="H54" s="24">
        <v>-20862.36</v>
      </c>
      <c r="I54" s="24">
        <v>-5802.03</v>
      </c>
      <c r="J54" s="24">
        <v>-23741.3</v>
      </c>
      <c r="K54" s="24">
        <v>-18968.95</v>
      </c>
      <c r="L54" s="24">
        <v>-23169.61</v>
      </c>
      <c r="M54" s="24">
        <v>-10452.66</v>
      </c>
      <c r="N54" s="24">
        <v>-6079.28</v>
      </c>
      <c r="O54" s="24">
        <f t="shared" si="17"/>
        <v>-230453.04000000004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733305.7980349201</v>
      </c>
      <c r="C61" s="29">
        <f t="shared" si="21"/>
        <v>494573.2748289999</v>
      </c>
      <c r="D61" s="29">
        <f t="shared" si="21"/>
        <v>495053.56764719996</v>
      </c>
      <c r="E61" s="29">
        <f t="shared" si="21"/>
        <v>40671.765100799996</v>
      </c>
      <c r="F61" s="29">
        <f t="shared" si="21"/>
        <v>478515.7363936999</v>
      </c>
      <c r="G61" s="29">
        <f t="shared" si="21"/>
        <v>544201.356</v>
      </c>
      <c r="H61" s="29">
        <f t="shared" si="21"/>
        <v>467294.9795000001</v>
      </c>
      <c r="I61" s="29">
        <f t="shared" si="21"/>
        <v>117718.70162699997</v>
      </c>
      <c r="J61" s="29">
        <f>+J36+J42</f>
        <v>584129.4093728</v>
      </c>
      <c r="K61" s="29">
        <f>+K36+K42</f>
        <v>393746.7732911999</v>
      </c>
      <c r="L61" s="29">
        <f>+L36+L42</f>
        <v>541782.27482288</v>
      </c>
      <c r="M61" s="29">
        <f t="shared" si="21"/>
        <v>234001.54755537992</v>
      </c>
      <c r="N61" s="29">
        <f t="shared" si="21"/>
        <v>155035.44256368003</v>
      </c>
      <c r="O61" s="29">
        <f>SUM(B61:N61)</f>
        <v>5280030.6267385585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8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  <c r="R63" s="77"/>
    </row>
    <row r="64" spans="1:15" ht="18.75" customHeight="1">
      <c r="A64" s="2" t="s">
        <v>69</v>
      </c>
      <c r="B64" s="36">
        <f>SUM(B65:B78)</f>
        <v>733305.8</v>
      </c>
      <c r="C64" s="36">
        <f aca="true" t="shared" si="22" ref="C64:N64">SUM(C65:C78)</f>
        <v>494573.27</v>
      </c>
      <c r="D64" s="36">
        <f t="shared" si="22"/>
        <v>495053.57</v>
      </c>
      <c r="E64" s="36">
        <f t="shared" si="22"/>
        <v>40671.76</v>
      </c>
      <c r="F64" s="36">
        <f t="shared" si="22"/>
        <v>478515.74</v>
      </c>
      <c r="G64" s="36">
        <f t="shared" si="22"/>
        <v>544201.36</v>
      </c>
      <c r="H64" s="36">
        <f t="shared" si="22"/>
        <v>467294.98</v>
      </c>
      <c r="I64" s="36">
        <f t="shared" si="22"/>
        <v>117718.7</v>
      </c>
      <c r="J64" s="36">
        <f t="shared" si="22"/>
        <v>584129.4</v>
      </c>
      <c r="K64" s="36">
        <f t="shared" si="22"/>
        <v>393746.77</v>
      </c>
      <c r="L64" s="36">
        <f t="shared" si="22"/>
        <v>541782.28</v>
      </c>
      <c r="M64" s="36">
        <f t="shared" si="22"/>
        <v>234001.55</v>
      </c>
      <c r="N64" s="36">
        <f t="shared" si="22"/>
        <v>155035.45</v>
      </c>
      <c r="O64" s="29">
        <f>SUM(O65:O78)</f>
        <v>5280030.63</v>
      </c>
    </row>
    <row r="65" spans="1:16" ht="18.75" customHeight="1">
      <c r="A65" s="17" t="s">
        <v>70</v>
      </c>
      <c r="B65" s="36">
        <f>126736.33+567.32</f>
        <v>127303.65000000001</v>
      </c>
      <c r="C65" s="36">
        <v>141673.07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268976.72000000003</v>
      </c>
      <c r="P65"/>
    </row>
    <row r="66" spans="1:16" ht="18.75" customHeight="1">
      <c r="A66" s="17" t="s">
        <v>71</v>
      </c>
      <c r="B66" s="36">
        <f>602497.42+3504.73</f>
        <v>606002.15</v>
      </c>
      <c r="C66" s="36">
        <f>350048.18+2852.02</f>
        <v>352900.2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958902.3500000001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495053.57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495053.57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40671.76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40671.76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478515.74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478515.74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544201.36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544201.36</v>
      </c>
      <c r="T70"/>
    </row>
    <row r="71" spans="1:21" ht="18.75" customHeight="1">
      <c r="A71" s="17" t="s">
        <v>101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467294.98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467294.98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117718.7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117718.7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584129.4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584129.4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393746.77</v>
      </c>
      <c r="L74" s="35">
        <v>0</v>
      </c>
      <c r="M74" s="35">
        <v>0</v>
      </c>
      <c r="N74" s="35">
        <v>0</v>
      </c>
      <c r="O74" s="29">
        <f t="shared" si="23"/>
        <v>393746.77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541782.28</v>
      </c>
      <c r="M75" s="35">
        <v>0</v>
      </c>
      <c r="N75" s="61">
        <v>0</v>
      </c>
      <c r="O75" s="26">
        <f t="shared" si="23"/>
        <v>541782.28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234001.55</v>
      </c>
      <c r="N76" s="35">
        <v>0</v>
      </c>
      <c r="O76" s="29">
        <f t="shared" si="23"/>
        <v>234001.55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155035.45</v>
      </c>
      <c r="O77" s="26">
        <f t="shared" si="23"/>
        <v>155035.45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107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2.3508669444773997</v>
      </c>
      <c r="C82" s="44">
        <v>2.2881550711823575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2.0399767357408427</v>
      </c>
      <c r="C83" s="44">
        <v>1.925619933224601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1.8693845582008077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2.6019035120920972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2.183251483556056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1.7312584965853541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2.0363250705670137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1.9928770268478977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1.9775692210022342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2.2279330573925176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2.129610757042617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2.5295178181609366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2.4775891081510073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36" customHeight="1">
      <c r="A96" s="70" t="s">
        <v>108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2017-10-19T17:49:19Z</dcterms:modified>
  <cp:category/>
  <cp:version/>
  <cp:contentType/>
  <cp:contentStatus/>
</cp:coreProperties>
</file>