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<sst xmlns="http://schemas.openxmlformats.org/spreadsheetml/2006/main" count="116" uniqueCount="114">
  <si>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</si>
  <si>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</si>
  <si>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</si>
  <si>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</si>
  <si>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</si>
  <si>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</si>
  <si>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</si>
  <si>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</si>
  <si>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</si>
  <si>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</si>
  <si>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</si>
  <si>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</si>
  <si>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</si>
  <si>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</si>
  <si>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</si>
  <si>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</si>
  <si>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</si>
  <si>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</si>
  <si>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</si>
  <si>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</si>
  <si>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</si>
  <si>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</si>
  <si>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</si>
  <si>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</si>
  <si>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</si>
  <si>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</si>
  <si>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</si>
  <si>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</si>
  <si>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</si>
  <si>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</si>
  <si>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</si>
  <si>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</si>
  <si>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</si>
  <si>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</si>
  <si>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</si>
  <si>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</si>
  <si>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</si>
  <si>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</si>
  <si>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</si>
  <si>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</si>
  <si>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</si>
  <si>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</si>
  <si>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</si>
  <si>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</si>
  <si>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</si>
  <si>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</si>
  <si>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</si>
  <si>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</si>
  <si>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</si>
  <si>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</si>
  <si>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</si>
  <si>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</si>
  <si>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</si>
  <si>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</si>
  <si>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</si>
  <si>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</si>
  <si>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</si>
  <si>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</si>
  <si>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</si>
  <si>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</si>
  <si>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</si>
  <si>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</si>
  <si>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</si>
  <si>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</si>
  <si>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</si>
  <si>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</si>
  <si>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</si>
  <si>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</si>
  <si>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</si>
  <si>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</si>
  <si>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</si>
  <si>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</si>
  <si>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</si>
  <si>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</si>
  <si>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</si>
  <si>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</si>
  <si>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</si>
  <si>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</si>
  <si>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</si>
  <si>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</si>
  <si>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</si>
  <si>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</si>
  <si>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</si>
  <si>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</si>
  <si>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</si>
  <si>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</si>
  <si>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</si>
  <si>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</si>
  <si>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</si>
  <si>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</si>
  <si>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</si>
  <si>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</si>
  <si>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</si>
  <si>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</si>
  <si>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</si>
  <si>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</si>
  <si>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</si>
  <si>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</si>
  <si>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</si>
  <si>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</si>
  <si>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>Nota:</t>
  </si>
  <si>
    <t>Movebuss Soluções em Mobilidde Urbana Ltda</t>
  </si>
  <si>
    <t>OPERAÇÃO 23/11/17 - VENCIMENTO 30/11/17</t>
  </si>
  <si>
    <r>
      <t>5.2.8. Ajuste de Remuneração Previsto Contratualmente</t>
    </r>
    <r>
      <rPr>
        <vertAlign val="superscript"/>
        <sz val="12"/>
        <rFont val="Calibri"/>
        <family val="2"/>
      </rPr>
      <t>(1)</t>
    </r>
  </si>
  <si>
    <r>
      <t>5.2.9. Ajuste de Remuneração Previsto Contratualmente  Ar-condicionado  (+)</t>
    </r>
    <r>
      <rPr>
        <vertAlign val="superscript"/>
        <sz val="12"/>
        <rFont val="Calibri"/>
        <family val="2"/>
      </rPr>
      <t>(2)</t>
    </r>
  </si>
  <si>
    <r>
      <t>5.2.9. Ajuste de Remuneração Previsto Contratualmente  Ar-condicionado (-)</t>
    </r>
    <r>
      <rPr>
        <vertAlign val="superscript"/>
        <sz val="12"/>
        <rFont val="Calibri"/>
        <family val="2"/>
      </rPr>
      <t>(2)</t>
    </r>
  </si>
  <si>
    <r>
      <t>5.2.10. Revisão do Ajuste de Remuneração Previsto Contratualmente</t>
    </r>
    <r>
      <rPr>
        <vertAlign val="superscript"/>
        <sz val="12"/>
        <rFont val="Calibri"/>
        <family val="2"/>
      </rPr>
      <t>(3)</t>
    </r>
  </si>
  <si>
    <r>
      <t>5.3. Revisão de Remuneração pelo Transporte Coletivo</t>
    </r>
    <r>
      <rPr>
        <vertAlign val="superscript"/>
        <sz val="12"/>
        <color indexed="8"/>
        <rFont val="Calibri"/>
        <family val="2"/>
      </rPr>
      <t>(4)</t>
    </r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</si>
  <si>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(5)</t>
    </r>
  </si>
  <si>
    <t>(5) Tarifa de remuneração de cada empresa considerando o  reequilibrio interno estabelecido e informado pelo consórcio. Não consideram os acertos financeiros previstos no item 7.</t>
  </si>
  <si>
    <t xml:space="preserve">(1) Ajuste de remuneração, previsto contratualmente, período de 25/09 a 24/10/17, parcela 19 e 20/20.
</t>
  </si>
  <si>
    <t>(2) Revisãi remuneração ar-condicionado, período de 25/09 a 24/10/17</t>
  </si>
  <si>
    <t>(3) Revisão ajuste de remunerção, período de 25/09 a 24/10/17.</t>
  </si>
  <si>
    <t>(4) Remuneração rede da madrugada (linhas noturnas), mês de outubro/17.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</si>
</sst>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left" vertical="center" indent="1"/>
    </xf>
    <xf numFmtId="0" fontId="4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4" fillId="0" borderId="12" xfId="0" applyFont="1" applyFill="1" applyBorder="1" applyAlignment="1">
      <alignment horizontal="left" vertical="center" indent="1"/>
    </xf>
    <xf numFmtId="172" fontId="44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4" fillId="0" borderId="10" xfId="52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indent="3"/>
    </xf>
    <xf numFmtId="172" fontId="44" fillId="0" borderId="10" xfId="52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4" fillId="0" borderId="10" xfId="0" applyFont="1" applyFill="1" applyBorder="1" applyAlignment="1">
      <alignment horizontal="left" vertical="center" indent="2"/>
    </xf>
    <xf numFmtId="172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52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horizontal="center" vertical="center"/>
    </xf>
    <xf numFmtId="173" fontId="44" fillId="0" borderId="10" xfId="52" applyNumberFormat="1" applyFont="1" applyFill="1" applyBorder="1" applyAlignment="1">
      <alignment vertical="center"/>
    </xf>
    <xf numFmtId="174" fontId="44" fillId="0" borderId="10" xfId="45" applyNumberFormat="1" applyFont="1" applyFill="1" applyBorder="1" applyAlignment="1">
      <alignment horizontal="center" vertical="center"/>
    </xf>
    <xf numFmtId="171" fontId="44" fillId="0" borderId="10" xfId="45" applyNumberFormat="1" applyFont="1" applyFill="1" applyBorder="1" applyAlignment="1">
      <alignment vertical="center"/>
    </xf>
    <xf numFmtId="170" fontId="44" fillId="0" borderId="10" xfId="45" applyNumberFormat="1" applyFont="1" applyFill="1" applyBorder="1" applyAlignment="1">
      <alignment horizontal="center" vertical="center"/>
    </xf>
    <xf numFmtId="170" fontId="44" fillId="0" borderId="10" xfId="45" applyNumberFormat="1" applyFont="1" applyFill="1" applyBorder="1" applyAlignment="1">
      <alignment vertical="center"/>
    </xf>
    <xf numFmtId="171" fontId="44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4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4" fillId="0" borderId="14" xfId="45" applyFont="1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 indent="2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Border="1" applyAlignment="1">
      <alignment vertical="center"/>
    </xf>
    <xf numFmtId="0" fontId="44" fillId="0" borderId="12" xfId="0" applyFont="1" applyFill="1" applyBorder="1" applyAlignment="1">
      <alignment horizontal="left" vertical="center" indent="2"/>
    </xf>
    <xf numFmtId="171" fontId="44" fillId="0" borderId="12" xfId="45" applyNumberFormat="1" applyFont="1" applyBorder="1" applyAlignment="1">
      <alignment vertical="center"/>
    </xf>
    <xf numFmtId="171" fontId="44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4" fillId="0" borderId="10" xfId="52" applyNumberFormat="1" applyFont="1" applyBorder="1" applyAlignment="1">
      <alignment vertical="center"/>
    </xf>
    <xf numFmtId="173" fontId="44" fillId="0" borderId="14" xfId="52" applyNumberFormat="1" applyFont="1" applyBorder="1" applyAlignment="1">
      <alignment vertical="center"/>
    </xf>
    <xf numFmtId="171" fontId="44" fillId="0" borderId="10" xfId="52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171" fontId="44" fillId="0" borderId="14" xfId="52" applyFont="1" applyFill="1" applyBorder="1" applyAlignment="1">
      <alignment vertical="center"/>
    </xf>
    <xf numFmtId="173" fontId="44" fillId="0" borderId="14" xfId="52" applyNumberFormat="1" applyFont="1" applyFill="1" applyBorder="1" applyAlignment="1">
      <alignment vertical="center"/>
    </xf>
    <xf numFmtId="170" fontId="44" fillId="0" borderId="14" xfId="45" applyNumberFormat="1" applyFont="1" applyFill="1" applyBorder="1" applyAlignment="1">
      <alignment vertical="center"/>
    </xf>
    <xf numFmtId="44" fontId="44" fillId="0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2"/>
    </xf>
    <xf numFmtId="0" fontId="44" fillId="34" borderId="10" xfId="0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44" fillId="34" borderId="10" xfId="0" applyFont="1" applyFill="1" applyBorder="1" applyAlignment="1">
      <alignment horizontal="left" vertical="center" indent="1"/>
    </xf>
    <xf numFmtId="44" fontId="44" fillId="34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3"/>
    </xf>
    <xf numFmtId="172" fontId="44" fillId="34" borderId="10" xfId="52" applyNumberFormat="1" applyFont="1" applyFill="1" applyBorder="1" applyAlignment="1">
      <alignment vertical="center"/>
    </xf>
    <xf numFmtId="0" fontId="44" fillId="35" borderId="10" xfId="0" applyFont="1" applyFill="1" applyBorder="1" applyAlignment="1">
      <alignment horizontal="left" vertical="center" indent="1"/>
    </xf>
    <xf numFmtId="44" fontId="44" fillId="35" borderId="10" xfId="45" applyFont="1" applyFill="1" applyBorder="1" applyAlignment="1">
      <alignment horizontal="center" vertical="center"/>
    </xf>
    <xf numFmtId="171" fontId="45" fillId="0" borderId="10" xfId="45" applyNumberFormat="1" applyFont="1" applyBorder="1" applyAlignment="1">
      <alignment vertical="center"/>
    </xf>
    <xf numFmtId="44" fontId="45" fillId="0" borderId="10" xfId="45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171" fontId="45" fillId="0" borderId="10" xfId="45" applyNumberFormat="1" applyFont="1" applyFill="1" applyBorder="1" applyAlignment="1">
      <alignment vertical="center"/>
    </xf>
    <xf numFmtId="171" fontId="45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173" fontId="44" fillId="0" borderId="0" xfId="52" applyNumberFormat="1" applyFont="1" applyBorder="1" applyAlignment="1">
      <alignment vertical="center"/>
    </xf>
    <xf numFmtId="173" fontId="44" fillId="0" borderId="0" xfId="52" applyNumberFormat="1" applyFont="1" applyFill="1" applyBorder="1" applyAlignment="1">
      <alignment vertical="center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101</xdr:row>
      <xdr:rowOff>0</xdr:rowOff>
    </xdr:from>
    <xdr:to>
      <xdr:col>2</xdr:col>
      <xdr:colOff>638175</xdr:colOff>
      <xdr:row>101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8220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638175</xdr:colOff>
      <xdr:row>101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8220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638175</xdr:colOff>
      <xdr:row>101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8220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21">
      <c r="A2" s="75" t="s">
        <v>102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6" t="s">
        <v>1</v>
      </c>
      <c r="B4" s="76" t="s">
        <v>38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 t="s">
        <v>2</v>
      </c>
    </row>
    <row r="5" spans="1:15" ht="42" customHeight="1">
      <c r="A5" s="76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101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6"/>
    </row>
    <row r="6" spans="1:15" ht="20.25" customHeight="1">
      <c r="A6" s="76"/>
      <c r="B6" s="3" t="s">
        <v>21</v>
      </c>
      <c r="C6" s="3" t="s">
        <v>22</v>
      </c>
      <c r="D6" s="3" t="s">
        <v>23</v>
      </c>
      <c r="E6" s="3" t="s">
        <v>94</v>
      </c>
      <c r="F6" s="3" t="s">
        <v>95</v>
      </c>
      <c r="G6" s="3" t="s">
        <v>96</v>
      </c>
      <c r="H6" s="66" t="s">
        <v>29</v>
      </c>
      <c r="I6" s="66" t="s">
        <v>97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6"/>
    </row>
    <row r="7" spans="1:26" ht="18.75" customHeight="1">
      <c r="A7" s="9" t="s">
        <v>3</v>
      </c>
      <c r="B7" s="10">
        <f>B8+B20+B24</f>
        <v>534865</v>
      </c>
      <c r="C7" s="10">
        <f>C8+C20+C24</f>
        <v>394182</v>
      </c>
      <c r="D7" s="10">
        <f>D8+D20+D24</f>
        <v>394480</v>
      </c>
      <c r="E7" s="10">
        <f>E8+E20+E24</f>
        <v>55971</v>
      </c>
      <c r="F7" s="10">
        <f aca="true" t="shared" si="0" ref="F7:N7">F8+F20+F24</f>
        <v>335939</v>
      </c>
      <c r="G7" s="10">
        <f t="shared" si="0"/>
        <v>542643</v>
      </c>
      <c r="H7" s="10">
        <f>H8+H20+H24</f>
        <v>382902</v>
      </c>
      <c r="I7" s="10">
        <f>I8+I20+I24</f>
        <v>108106</v>
      </c>
      <c r="J7" s="10">
        <f>J8+J20+J24</f>
        <v>435367</v>
      </c>
      <c r="K7" s="10">
        <f>K8+K20+K24</f>
        <v>316927</v>
      </c>
      <c r="L7" s="10">
        <f>L8+L20+L24</f>
        <v>388009</v>
      </c>
      <c r="M7" s="10">
        <f t="shared" si="0"/>
        <v>161043</v>
      </c>
      <c r="N7" s="10">
        <f t="shared" si="0"/>
        <v>97559</v>
      </c>
      <c r="O7" s="10">
        <f>+O8+O20+O24</f>
        <v>4147993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216250</v>
      </c>
      <c r="C8" s="12">
        <f>+C9+C12+C16</f>
        <v>172821</v>
      </c>
      <c r="D8" s="12">
        <f>+D9+D12+D16</f>
        <v>187472</v>
      </c>
      <c r="E8" s="12">
        <f>+E9+E12+E16</f>
        <v>23863</v>
      </c>
      <c r="F8" s="12">
        <f aca="true" t="shared" si="1" ref="F8:N8">+F9+F12+F16</f>
        <v>147354</v>
      </c>
      <c r="G8" s="12">
        <f t="shared" si="1"/>
        <v>243075</v>
      </c>
      <c r="H8" s="12">
        <f>+H9+H12+H16</f>
        <v>165590</v>
      </c>
      <c r="I8" s="12">
        <f>+I9+I12+I16</f>
        <v>49372</v>
      </c>
      <c r="J8" s="12">
        <f>+J9+J12+J16</f>
        <v>194458</v>
      </c>
      <c r="K8" s="12">
        <f>+K9+K12+K16</f>
        <v>142376</v>
      </c>
      <c r="L8" s="12">
        <f>+L9+L12+L16</f>
        <v>161530</v>
      </c>
      <c r="M8" s="12">
        <f t="shared" si="1"/>
        <v>78175</v>
      </c>
      <c r="N8" s="12">
        <f t="shared" si="1"/>
        <v>48752</v>
      </c>
      <c r="O8" s="12">
        <f>SUM(B8:N8)</f>
        <v>1831088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19382</v>
      </c>
      <c r="C9" s="14">
        <v>19607</v>
      </c>
      <c r="D9" s="14">
        <v>13603</v>
      </c>
      <c r="E9" s="14">
        <v>1513</v>
      </c>
      <c r="F9" s="14">
        <v>11327</v>
      </c>
      <c r="G9" s="14">
        <v>21352</v>
      </c>
      <c r="H9" s="14">
        <v>19506</v>
      </c>
      <c r="I9" s="14">
        <v>5901</v>
      </c>
      <c r="J9" s="14">
        <v>11571</v>
      </c>
      <c r="K9" s="14">
        <v>15422</v>
      </c>
      <c r="L9" s="14">
        <v>11559</v>
      </c>
      <c r="M9" s="14">
        <v>8734</v>
      </c>
      <c r="N9" s="14">
        <v>5751</v>
      </c>
      <c r="O9" s="12">
        <f aca="true" t="shared" si="2" ref="O9:O19">SUM(B9:N9)</f>
        <v>165228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19382</v>
      </c>
      <c r="C10" s="14">
        <f>+C9-C11</f>
        <v>19607</v>
      </c>
      <c r="D10" s="14">
        <f>+D9-D11</f>
        <v>13603</v>
      </c>
      <c r="E10" s="14">
        <f>+E9-E11</f>
        <v>1513</v>
      </c>
      <c r="F10" s="14">
        <f aca="true" t="shared" si="3" ref="F10:N10">+F9-F11</f>
        <v>11327</v>
      </c>
      <c r="G10" s="14">
        <f t="shared" si="3"/>
        <v>21352</v>
      </c>
      <c r="H10" s="14">
        <f>+H9-H11</f>
        <v>19506</v>
      </c>
      <c r="I10" s="14">
        <f>+I9-I11</f>
        <v>5901</v>
      </c>
      <c r="J10" s="14">
        <f>+J9-J11</f>
        <v>11571</v>
      </c>
      <c r="K10" s="14">
        <f>+K9-K11</f>
        <v>15422</v>
      </c>
      <c r="L10" s="14">
        <f>+L9-L11</f>
        <v>11559</v>
      </c>
      <c r="M10" s="14">
        <f t="shared" si="3"/>
        <v>8734</v>
      </c>
      <c r="N10" s="14">
        <f t="shared" si="3"/>
        <v>5751</v>
      </c>
      <c r="O10" s="12">
        <f t="shared" si="2"/>
        <v>165228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185540</v>
      </c>
      <c r="C12" s="14">
        <f>C13+C14+C15</f>
        <v>144902</v>
      </c>
      <c r="D12" s="14">
        <f>D13+D14+D15</f>
        <v>164880</v>
      </c>
      <c r="E12" s="14">
        <f>E13+E14+E15</f>
        <v>21224</v>
      </c>
      <c r="F12" s="14">
        <f aca="true" t="shared" si="4" ref="F12:N12">F13+F14+F15</f>
        <v>128420</v>
      </c>
      <c r="G12" s="14">
        <f t="shared" si="4"/>
        <v>208290</v>
      </c>
      <c r="H12" s="14">
        <f>H13+H14+H15</f>
        <v>138008</v>
      </c>
      <c r="I12" s="14">
        <f>I13+I14+I15</f>
        <v>41006</v>
      </c>
      <c r="J12" s="14">
        <f>J13+J14+J15</f>
        <v>172024</v>
      </c>
      <c r="K12" s="14">
        <f>K13+K14+K15</f>
        <v>119900</v>
      </c>
      <c r="L12" s="14">
        <f>L13+L14+L15</f>
        <v>140515</v>
      </c>
      <c r="M12" s="14">
        <f t="shared" si="4"/>
        <v>65955</v>
      </c>
      <c r="N12" s="14">
        <f t="shared" si="4"/>
        <v>41116</v>
      </c>
      <c r="O12" s="12">
        <f t="shared" si="2"/>
        <v>1571780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92233</v>
      </c>
      <c r="C13" s="14">
        <v>73172</v>
      </c>
      <c r="D13" s="14">
        <v>79562</v>
      </c>
      <c r="E13" s="14">
        <v>10598</v>
      </c>
      <c r="F13" s="14">
        <v>61467</v>
      </c>
      <c r="G13" s="14">
        <v>102231</v>
      </c>
      <c r="H13" s="14">
        <v>71365</v>
      </c>
      <c r="I13" s="14">
        <v>21520</v>
      </c>
      <c r="J13" s="14">
        <v>88039</v>
      </c>
      <c r="K13" s="14">
        <v>59461</v>
      </c>
      <c r="L13" s="14">
        <v>69376</v>
      </c>
      <c r="M13" s="14">
        <v>31833</v>
      </c>
      <c r="N13" s="14">
        <v>19290</v>
      </c>
      <c r="O13" s="12">
        <f t="shared" si="2"/>
        <v>780147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87784</v>
      </c>
      <c r="C14" s="14">
        <v>65330</v>
      </c>
      <c r="D14" s="14">
        <v>81790</v>
      </c>
      <c r="E14" s="14">
        <v>9831</v>
      </c>
      <c r="F14" s="14">
        <v>62440</v>
      </c>
      <c r="G14" s="14">
        <v>97031</v>
      </c>
      <c r="H14" s="14">
        <v>61758</v>
      </c>
      <c r="I14" s="14">
        <v>18066</v>
      </c>
      <c r="J14" s="14">
        <v>80684</v>
      </c>
      <c r="K14" s="14">
        <v>56507</v>
      </c>
      <c r="L14" s="14">
        <v>67393</v>
      </c>
      <c r="M14" s="14">
        <v>31785</v>
      </c>
      <c r="N14" s="14">
        <v>20772</v>
      </c>
      <c r="O14" s="12">
        <f t="shared" si="2"/>
        <v>741171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5523</v>
      </c>
      <c r="C15" s="14">
        <v>6400</v>
      </c>
      <c r="D15" s="14">
        <v>3528</v>
      </c>
      <c r="E15" s="14">
        <v>795</v>
      </c>
      <c r="F15" s="14">
        <v>4513</v>
      </c>
      <c r="G15" s="14">
        <v>9028</v>
      </c>
      <c r="H15" s="14">
        <v>4885</v>
      </c>
      <c r="I15" s="14">
        <v>1420</v>
      </c>
      <c r="J15" s="14">
        <v>3301</v>
      </c>
      <c r="K15" s="14">
        <v>3932</v>
      </c>
      <c r="L15" s="14">
        <v>3746</v>
      </c>
      <c r="M15" s="14">
        <v>2337</v>
      </c>
      <c r="N15" s="14">
        <v>1054</v>
      </c>
      <c r="O15" s="12">
        <f t="shared" si="2"/>
        <v>50462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11328</v>
      </c>
      <c r="C16" s="14">
        <f>C17+C18+C19</f>
        <v>8312</v>
      </c>
      <c r="D16" s="14">
        <f>D17+D18+D19</f>
        <v>8989</v>
      </c>
      <c r="E16" s="14">
        <f>E17+E18+E19</f>
        <v>1126</v>
      </c>
      <c r="F16" s="14">
        <f aca="true" t="shared" si="5" ref="F16:N16">F17+F18+F19</f>
        <v>7607</v>
      </c>
      <c r="G16" s="14">
        <f t="shared" si="5"/>
        <v>13433</v>
      </c>
      <c r="H16" s="14">
        <f>H17+H18+H19</f>
        <v>8076</v>
      </c>
      <c r="I16" s="14">
        <f>I17+I18+I19</f>
        <v>2465</v>
      </c>
      <c r="J16" s="14">
        <f>J17+J18+J19</f>
        <v>10863</v>
      </c>
      <c r="K16" s="14">
        <f>K17+K18+K19</f>
        <v>7054</v>
      </c>
      <c r="L16" s="14">
        <f>L17+L18+L19</f>
        <v>9456</v>
      </c>
      <c r="M16" s="14">
        <f t="shared" si="5"/>
        <v>3486</v>
      </c>
      <c r="N16" s="14">
        <f t="shared" si="5"/>
        <v>1885</v>
      </c>
      <c r="O16" s="12">
        <f t="shared" si="2"/>
        <v>94080</v>
      </c>
    </row>
    <row r="17" spans="1:26" ht="18.75" customHeight="1">
      <c r="A17" s="15" t="s">
        <v>16</v>
      </c>
      <c r="B17" s="14">
        <v>11256</v>
      </c>
      <c r="C17" s="14">
        <v>8260</v>
      </c>
      <c r="D17" s="14">
        <v>8927</v>
      </c>
      <c r="E17" s="14">
        <v>1119</v>
      </c>
      <c r="F17" s="14">
        <v>7572</v>
      </c>
      <c r="G17" s="14">
        <v>13393</v>
      </c>
      <c r="H17" s="14">
        <v>8030</v>
      </c>
      <c r="I17" s="14">
        <v>2459</v>
      </c>
      <c r="J17" s="14">
        <v>10822</v>
      </c>
      <c r="K17" s="14">
        <v>7005</v>
      </c>
      <c r="L17" s="14">
        <v>9393</v>
      </c>
      <c r="M17" s="14">
        <v>3466</v>
      </c>
      <c r="N17" s="14">
        <v>1872</v>
      </c>
      <c r="O17" s="12">
        <f t="shared" si="2"/>
        <v>93574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61</v>
      </c>
      <c r="C18" s="14">
        <v>39</v>
      </c>
      <c r="D18" s="14">
        <v>48</v>
      </c>
      <c r="E18" s="14">
        <v>7</v>
      </c>
      <c r="F18" s="14">
        <v>29</v>
      </c>
      <c r="G18" s="14">
        <v>37</v>
      </c>
      <c r="H18" s="14">
        <v>36</v>
      </c>
      <c r="I18" s="14">
        <v>6</v>
      </c>
      <c r="J18" s="14">
        <v>26</v>
      </c>
      <c r="K18" s="14">
        <v>44</v>
      </c>
      <c r="L18" s="14">
        <v>60</v>
      </c>
      <c r="M18" s="14">
        <v>18</v>
      </c>
      <c r="N18" s="14">
        <v>13</v>
      </c>
      <c r="O18" s="12">
        <f t="shared" si="2"/>
        <v>424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11</v>
      </c>
      <c r="C19" s="14">
        <v>13</v>
      </c>
      <c r="D19" s="14">
        <v>14</v>
      </c>
      <c r="E19" s="14">
        <v>0</v>
      </c>
      <c r="F19" s="14">
        <v>6</v>
      </c>
      <c r="G19" s="14">
        <v>3</v>
      </c>
      <c r="H19" s="14">
        <v>10</v>
      </c>
      <c r="I19" s="14">
        <v>0</v>
      </c>
      <c r="J19" s="14">
        <v>15</v>
      </c>
      <c r="K19" s="14">
        <v>5</v>
      </c>
      <c r="L19" s="14">
        <v>3</v>
      </c>
      <c r="M19" s="14">
        <v>2</v>
      </c>
      <c r="N19" s="14">
        <v>0</v>
      </c>
      <c r="O19" s="12">
        <f t="shared" si="2"/>
        <v>82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136557</v>
      </c>
      <c r="C20" s="18">
        <f>C21+C22+C23</f>
        <v>86527</v>
      </c>
      <c r="D20" s="18">
        <f>D21+D22+D23</f>
        <v>79105</v>
      </c>
      <c r="E20" s="18">
        <f>E21+E22+E23</f>
        <v>11131</v>
      </c>
      <c r="F20" s="18">
        <f aca="true" t="shared" si="6" ref="F20:N20">F21+F22+F23</f>
        <v>67947</v>
      </c>
      <c r="G20" s="18">
        <f t="shared" si="6"/>
        <v>111137</v>
      </c>
      <c r="H20" s="18">
        <f>H21+H22+H23</f>
        <v>91858</v>
      </c>
      <c r="I20" s="18">
        <f>I21+I22+I23</f>
        <v>25622</v>
      </c>
      <c r="J20" s="18">
        <f>J21+J22+J23</f>
        <v>110162</v>
      </c>
      <c r="K20" s="18">
        <f>K21+K22+K23</f>
        <v>73378</v>
      </c>
      <c r="L20" s="18">
        <f>L21+L22+L23</f>
        <v>113810</v>
      </c>
      <c r="M20" s="18">
        <f t="shared" si="6"/>
        <v>43490</v>
      </c>
      <c r="N20" s="18">
        <f t="shared" si="6"/>
        <v>25413</v>
      </c>
      <c r="O20" s="12">
        <f aca="true" t="shared" si="7" ref="O20:O26">SUM(B20:N20)</f>
        <v>976137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73966</v>
      </c>
      <c r="C21" s="14">
        <v>49917</v>
      </c>
      <c r="D21" s="14">
        <v>43568</v>
      </c>
      <c r="E21" s="14">
        <v>6462</v>
      </c>
      <c r="F21" s="14">
        <v>37122</v>
      </c>
      <c r="G21" s="14">
        <v>62275</v>
      </c>
      <c r="H21" s="14">
        <v>53557</v>
      </c>
      <c r="I21" s="14">
        <v>15093</v>
      </c>
      <c r="J21" s="14">
        <v>62554</v>
      </c>
      <c r="K21" s="14">
        <v>40953</v>
      </c>
      <c r="L21" s="14">
        <v>61384</v>
      </c>
      <c r="M21" s="14">
        <v>23628</v>
      </c>
      <c r="N21" s="14">
        <v>13262</v>
      </c>
      <c r="O21" s="12">
        <f t="shared" si="7"/>
        <v>543741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59747</v>
      </c>
      <c r="C22" s="14">
        <v>34144</v>
      </c>
      <c r="D22" s="14">
        <v>34190</v>
      </c>
      <c r="E22" s="14">
        <v>4382</v>
      </c>
      <c r="F22" s="14">
        <v>29164</v>
      </c>
      <c r="G22" s="14">
        <v>45558</v>
      </c>
      <c r="H22" s="14">
        <v>36450</v>
      </c>
      <c r="I22" s="14">
        <v>10012</v>
      </c>
      <c r="J22" s="14">
        <v>45801</v>
      </c>
      <c r="K22" s="14">
        <v>30916</v>
      </c>
      <c r="L22" s="14">
        <v>50343</v>
      </c>
      <c r="M22" s="14">
        <v>18887</v>
      </c>
      <c r="N22" s="14">
        <v>11683</v>
      </c>
      <c r="O22" s="12">
        <f t="shared" si="7"/>
        <v>411277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2844</v>
      </c>
      <c r="C23" s="14">
        <v>2466</v>
      </c>
      <c r="D23" s="14">
        <v>1347</v>
      </c>
      <c r="E23" s="14">
        <v>287</v>
      </c>
      <c r="F23" s="14">
        <v>1661</v>
      </c>
      <c r="G23" s="14">
        <v>3304</v>
      </c>
      <c r="H23" s="14">
        <v>1851</v>
      </c>
      <c r="I23" s="14">
        <v>517</v>
      </c>
      <c r="J23" s="14">
        <v>1807</v>
      </c>
      <c r="K23" s="14">
        <v>1509</v>
      </c>
      <c r="L23" s="14">
        <v>2083</v>
      </c>
      <c r="M23" s="14">
        <v>975</v>
      </c>
      <c r="N23" s="14">
        <v>468</v>
      </c>
      <c r="O23" s="12">
        <f t="shared" si="7"/>
        <v>21119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182058</v>
      </c>
      <c r="C24" s="14">
        <f>C25+C26</f>
        <v>134834</v>
      </c>
      <c r="D24" s="14">
        <f>D25+D26</f>
        <v>127903</v>
      </c>
      <c r="E24" s="14">
        <f>E25+E26</f>
        <v>20977</v>
      </c>
      <c r="F24" s="14">
        <f aca="true" t="shared" si="8" ref="F24:N24">F25+F26</f>
        <v>120638</v>
      </c>
      <c r="G24" s="14">
        <f t="shared" si="8"/>
        <v>188431</v>
      </c>
      <c r="H24" s="14">
        <f>H25+H26</f>
        <v>125454</v>
      </c>
      <c r="I24" s="14">
        <f>I25+I26</f>
        <v>33112</v>
      </c>
      <c r="J24" s="14">
        <f>J25+J26</f>
        <v>130747</v>
      </c>
      <c r="K24" s="14">
        <f>K25+K26</f>
        <v>101173</v>
      </c>
      <c r="L24" s="14">
        <f>L25+L26</f>
        <v>112669</v>
      </c>
      <c r="M24" s="14">
        <f t="shared" si="8"/>
        <v>39378</v>
      </c>
      <c r="N24" s="14">
        <f t="shared" si="8"/>
        <v>23394</v>
      </c>
      <c r="O24" s="12">
        <f t="shared" si="7"/>
        <v>1340768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73903</v>
      </c>
      <c r="C25" s="14">
        <v>62429</v>
      </c>
      <c r="D25" s="14">
        <v>57491</v>
      </c>
      <c r="E25" s="14">
        <v>10874</v>
      </c>
      <c r="F25" s="14">
        <v>55670</v>
      </c>
      <c r="G25" s="14">
        <v>91517</v>
      </c>
      <c r="H25" s="14">
        <v>62037</v>
      </c>
      <c r="I25" s="14">
        <v>18087</v>
      </c>
      <c r="J25" s="14">
        <v>54006</v>
      </c>
      <c r="K25" s="14">
        <v>48135</v>
      </c>
      <c r="L25" s="14">
        <v>47468</v>
      </c>
      <c r="M25" s="14">
        <v>16500</v>
      </c>
      <c r="N25" s="14">
        <v>8476</v>
      </c>
      <c r="O25" s="12">
        <f t="shared" si="7"/>
        <v>606593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108155</v>
      </c>
      <c r="C26" s="14">
        <v>72405</v>
      </c>
      <c r="D26" s="14">
        <v>70412</v>
      </c>
      <c r="E26" s="14">
        <v>10103</v>
      </c>
      <c r="F26" s="14">
        <v>64968</v>
      </c>
      <c r="G26" s="14">
        <v>96914</v>
      </c>
      <c r="H26" s="14">
        <v>63417</v>
      </c>
      <c r="I26" s="14">
        <v>15025</v>
      </c>
      <c r="J26" s="14">
        <v>76741</v>
      </c>
      <c r="K26" s="14">
        <v>53038</v>
      </c>
      <c r="L26" s="14">
        <v>65201</v>
      </c>
      <c r="M26" s="14">
        <v>22878</v>
      </c>
      <c r="N26" s="14">
        <v>14918</v>
      </c>
      <c r="O26" s="12">
        <f t="shared" si="7"/>
        <v>734175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1121880.8258629004</v>
      </c>
      <c r="C36" s="60">
        <f aca="true" t="shared" si="11" ref="C36:N36">C37+C38+C39+C40</f>
        <v>799559.644751</v>
      </c>
      <c r="D36" s="60">
        <f t="shared" si="11"/>
        <v>747127.8617240001</v>
      </c>
      <c r="E36" s="60">
        <f t="shared" si="11"/>
        <v>145494.6607664</v>
      </c>
      <c r="F36" s="60">
        <f t="shared" si="11"/>
        <v>732809.25733495</v>
      </c>
      <c r="G36" s="60">
        <f t="shared" si="11"/>
        <v>942698.8964</v>
      </c>
      <c r="H36" s="60">
        <f t="shared" si="11"/>
        <v>782466.717</v>
      </c>
      <c r="I36" s="60">
        <f>I37+I38+I39+I40</f>
        <v>215245.2716212</v>
      </c>
      <c r="J36" s="60">
        <f>J37+J38+J39+J40</f>
        <v>864413.5374305999</v>
      </c>
      <c r="K36" s="60">
        <f>K37+K38+K39+K40</f>
        <v>708929.4362960999</v>
      </c>
      <c r="L36" s="60">
        <f>L37+L38+L39+L40</f>
        <v>829802.46992784</v>
      </c>
      <c r="M36" s="60">
        <f t="shared" si="11"/>
        <v>409217.3013814899</v>
      </c>
      <c r="N36" s="60">
        <f t="shared" si="11"/>
        <v>241463.29263504</v>
      </c>
      <c r="O36" s="60">
        <f>O37+O38+O39+O40</f>
        <v>8541109.17313152</v>
      </c>
    </row>
    <row r="37" spans="1:15" ht="18.75" customHeight="1">
      <c r="A37" s="57" t="s">
        <v>50</v>
      </c>
      <c r="B37" s="54">
        <f aca="true" t="shared" si="12" ref="B37:N37">B29*B7</f>
        <v>1117279.4985000002</v>
      </c>
      <c r="C37" s="54">
        <f t="shared" si="12"/>
        <v>795459.276</v>
      </c>
      <c r="D37" s="54">
        <f t="shared" si="12"/>
        <v>736967.5360000001</v>
      </c>
      <c r="E37" s="54">
        <f t="shared" si="12"/>
        <v>145199.9682</v>
      </c>
      <c r="F37" s="54">
        <f t="shared" si="12"/>
        <v>732783.7407</v>
      </c>
      <c r="G37" s="54">
        <f t="shared" si="12"/>
        <v>938718.1257</v>
      </c>
      <c r="H37" s="54">
        <f t="shared" si="12"/>
        <v>778860.9582</v>
      </c>
      <c r="I37" s="54">
        <f>I29*I7</f>
        <v>215195.80359999998</v>
      </c>
      <c r="J37" s="54">
        <f>J29*J7</f>
        <v>860285.192</v>
      </c>
      <c r="K37" s="54">
        <f>K29*K7</f>
        <v>705321.0384999999</v>
      </c>
      <c r="L37" s="54">
        <f>L29*L7</f>
        <v>825566.7493</v>
      </c>
      <c r="M37" s="54">
        <f t="shared" si="12"/>
        <v>406794.61799999996</v>
      </c>
      <c r="N37" s="54">
        <f t="shared" si="12"/>
        <v>241458.525</v>
      </c>
      <c r="O37" s="56">
        <f>SUM(B37:N37)</f>
        <v>8499891.0297</v>
      </c>
    </row>
    <row r="38" spans="1:15" ht="18.75" customHeight="1">
      <c r="A38" s="57" t="s">
        <v>51</v>
      </c>
      <c r="B38" s="54">
        <f aca="true" t="shared" si="13" ref="B38:N38">B30*B7</f>
        <v>-3313.2426371</v>
      </c>
      <c r="C38" s="54">
        <f t="shared" si="13"/>
        <v>-2313.651249</v>
      </c>
      <c r="D38" s="54">
        <f t="shared" si="13"/>
        <v>-2189.344276</v>
      </c>
      <c r="E38" s="54">
        <f t="shared" si="13"/>
        <v>-351.5874336</v>
      </c>
      <c r="F38" s="54">
        <f t="shared" si="13"/>
        <v>-2135.88336505</v>
      </c>
      <c r="G38" s="54">
        <f t="shared" si="13"/>
        <v>-2767.4793000000004</v>
      </c>
      <c r="H38" s="54">
        <f t="shared" si="13"/>
        <v>-2144.2512</v>
      </c>
      <c r="I38" s="54">
        <f>I30*I7</f>
        <v>-605.3719788000001</v>
      </c>
      <c r="J38" s="54">
        <f>J30*J7</f>
        <v>-2476.4545694</v>
      </c>
      <c r="K38" s="54">
        <f>K30*K7</f>
        <v>-2017.4622039</v>
      </c>
      <c r="L38" s="54">
        <f>L30*L7</f>
        <v>-2425.14937216</v>
      </c>
      <c r="M38" s="54">
        <f t="shared" si="13"/>
        <v>-1186.65661851</v>
      </c>
      <c r="N38" s="54">
        <f t="shared" si="13"/>
        <v>-714.27236496</v>
      </c>
      <c r="O38" s="25">
        <f>SUM(B38:N38)</f>
        <v>-24640.806568480002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4657.49</v>
      </c>
      <c r="C40" s="54">
        <v>4021.5</v>
      </c>
      <c r="D40" s="54">
        <v>10188.27</v>
      </c>
      <c r="E40" s="54">
        <v>0</v>
      </c>
      <c r="F40" s="54">
        <v>0</v>
      </c>
      <c r="G40" s="54">
        <v>4086.09</v>
      </c>
      <c r="H40" s="54">
        <v>3507.29</v>
      </c>
      <c r="I40" s="54">
        <v>0</v>
      </c>
      <c r="J40" s="54">
        <v>4058.2</v>
      </c>
      <c r="K40" s="54">
        <v>3507.26</v>
      </c>
      <c r="L40" s="54">
        <v>4058.63</v>
      </c>
      <c r="M40" s="54">
        <v>2338.18</v>
      </c>
      <c r="N40" s="54">
        <v>0</v>
      </c>
      <c r="O40" s="56">
        <f>SUM(B40:N40)</f>
        <v>40422.91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-19096.25</v>
      </c>
      <c r="C42" s="25">
        <f aca="true" t="shared" si="15" ref="C42:N42">+C43+C46+C58+C59</f>
        <v>10956.819999999992</v>
      </c>
      <c r="D42" s="25">
        <f t="shared" si="15"/>
        <v>-51435.630000000005</v>
      </c>
      <c r="E42" s="25">
        <f t="shared" si="15"/>
        <v>12651.080000000002</v>
      </c>
      <c r="F42" s="25">
        <f t="shared" si="15"/>
        <v>-6959.790000000001</v>
      </c>
      <c r="G42" s="25">
        <f t="shared" si="15"/>
        <v>-28403.87000000001</v>
      </c>
      <c r="H42" s="25">
        <f t="shared" si="15"/>
        <v>-96339.48000000001</v>
      </c>
      <c r="I42" s="25">
        <f>+I43+I46+I58+I59</f>
        <v>-32584.42</v>
      </c>
      <c r="J42" s="25">
        <f>+J43+J46+J58+J59</f>
        <v>-96801.09</v>
      </c>
      <c r="K42" s="25">
        <f>+K43+K46+K58+K59</f>
        <v>-49266.06</v>
      </c>
      <c r="L42" s="25">
        <f>+L43+L46+L58+L59</f>
        <v>-81756.59</v>
      </c>
      <c r="M42" s="25">
        <f t="shared" si="15"/>
        <v>-29940.350000000002</v>
      </c>
      <c r="N42" s="25">
        <f t="shared" si="15"/>
        <v>-7187.169999999998</v>
      </c>
      <c r="O42" s="25">
        <f>+O43+O46+O58+O59</f>
        <v>-476162.8</v>
      </c>
    </row>
    <row r="43" spans="1:15" ht="18.75" customHeight="1">
      <c r="A43" s="17" t="s">
        <v>55</v>
      </c>
      <c r="B43" s="26">
        <f>B44+B45</f>
        <v>-73651.6</v>
      </c>
      <c r="C43" s="26">
        <f>C44+C45</f>
        <v>-74506.6</v>
      </c>
      <c r="D43" s="26">
        <f>D44+D45</f>
        <v>-51691.4</v>
      </c>
      <c r="E43" s="26">
        <f>E44+E45</f>
        <v>-5749.4</v>
      </c>
      <c r="F43" s="26">
        <f aca="true" t="shared" si="16" ref="F43:N43">F44+F45</f>
        <v>-43042.6</v>
      </c>
      <c r="G43" s="26">
        <f t="shared" si="16"/>
        <v>-81137.6</v>
      </c>
      <c r="H43" s="26">
        <f t="shared" si="16"/>
        <v>-74122.8</v>
      </c>
      <c r="I43" s="26">
        <f>I44+I45</f>
        <v>-22423.8</v>
      </c>
      <c r="J43" s="26">
        <f>J44+J45</f>
        <v>-43969.8</v>
      </c>
      <c r="K43" s="26">
        <f>K44+K45</f>
        <v>-58603.6</v>
      </c>
      <c r="L43" s="26">
        <f>L44+L45</f>
        <v>-43924.2</v>
      </c>
      <c r="M43" s="26">
        <f t="shared" si="16"/>
        <v>-33189.2</v>
      </c>
      <c r="N43" s="26">
        <f t="shared" si="16"/>
        <v>-21853.8</v>
      </c>
      <c r="O43" s="25">
        <f aca="true" t="shared" si="17" ref="O43:O59">SUM(B43:N43)</f>
        <v>-627866.3999999999</v>
      </c>
    </row>
    <row r="44" spans="1:26" ht="18.75" customHeight="1">
      <c r="A44" s="13" t="s">
        <v>56</v>
      </c>
      <c r="B44" s="20">
        <f>ROUND(-B9*$D$3,2)</f>
        <v>-73651.6</v>
      </c>
      <c r="C44" s="20">
        <f>ROUND(-C9*$D$3,2)</f>
        <v>-74506.6</v>
      </c>
      <c r="D44" s="20">
        <f>ROUND(-D9*$D$3,2)</f>
        <v>-51691.4</v>
      </c>
      <c r="E44" s="20">
        <f>ROUND(-E9*$D$3,2)</f>
        <v>-5749.4</v>
      </c>
      <c r="F44" s="20">
        <f aca="true" t="shared" si="18" ref="F44:N44">ROUND(-F9*$D$3,2)</f>
        <v>-43042.6</v>
      </c>
      <c r="G44" s="20">
        <f t="shared" si="18"/>
        <v>-81137.6</v>
      </c>
      <c r="H44" s="20">
        <f t="shared" si="18"/>
        <v>-74122.8</v>
      </c>
      <c r="I44" s="20">
        <f>ROUND(-I9*$D$3,2)</f>
        <v>-22423.8</v>
      </c>
      <c r="J44" s="20">
        <f>ROUND(-J9*$D$3,2)</f>
        <v>-43969.8</v>
      </c>
      <c r="K44" s="20">
        <f>ROUND(-K9*$D$3,2)</f>
        <v>-58603.6</v>
      </c>
      <c r="L44" s="20">
        <f>ROUND(-L9*$D$3,2)</f>
        <v>-43924.2</v>
      </c>
      <c r="M44" s="20">
        <f t="shared" si="18"/>
        <v>-33189.2</v>
      </c>
      <c r="N44" s="20">
        <f t="shared" si="18"/>
        <v>-21853.8</v>
      </c>
      <c r="O44" s="46">
        <f t="shared" si="17"/>
        <v>-627866.3999999999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-29200.62</v>
      </c>
      <c r="C46" s="26">
        <f aca="true" t="shared" si="20" ref="C46:O46">SUM(C47:C57)</f>
        <v>-21315.29</v>
      </c>
      <c r="D46" s="26">
        <f t="shared" si="20"/>
        <v>-13546.050000000001</v>
      </c>
      <c r="E46" s="26">
        <f t="shared" si="20"/>
        <v>-5291.04</v>
      </c>
      <c r="F46" s="26">
        <f t="shared" si="20"/>
        <v>-20763.95</v>
      </c>
      <c r="G46" s="26">
        <f t="shared" si="20"/>
        <v>-25723.78</v>
      </c>
      <c r="H46" s="26">
        <f t="shared" si="20"/>
        <v>-20876.020000000004</v>
      </c>
      <c r="I46" s="26">
        <f t="shared" si="20"/>
        <v>-10160.619999999999</v>
      </c>
      <c r="J46" s="26">
        <f t="shared" si="20"/>
        <v>-22920.23</v>
      </c>
      <c r="K46" s="26">
        <f t="shared" si="20"/>
        <v>-18676.79</v>
      </c>
      <c r="L46" s="26">
        <f t="shared" si="20"/>
        <v>-22307.75</v>
      </c>
      <c r="M46" s="26">
        <f t="shared" si="20"/>
        <v>-10305.380000000001</v>
      </c>
      <c r="N46" s="26">
        <f t="shared" si="20"/>
        <v>-6136.55</v>
      </c>
      <c r="O46" s="26">
        <f t="shared" si="20"/>
        <v>-227224.07000000007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6500</v>
      </c>
      <c r="E49" s="24">
        <v>-1000</v>
      </c>
      <c r="F49" s="24">
        <v>-500</v>
      </c>
      <c r="G49" s="24">
        <v>-500</v>
      </c>
      <c r="H49" s="24">
        <v>-500</v>
      </c>
      <c r="I49" s="24">
        <v>-4500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103</v>
      </c>
      <c r="B54" s="24">
        <v>8089.94</v>
      </c>
      <c r="C54" s="24">
        <v>5822.04</v>
      </c>
      <c r="D54" s="24">
        <v>5629.8</v>
      </c>
      <c r="E54" s="24">
        <v>1111.6</v>
      </c>
      <c r="F54" s="24">
        <v>5615.96</v>
      </c>
      <c r="G54" s="24">
        <v>6975.43</v>
      </c>
      <c r="H54" s="24">
        <v>5749.83</v>
      </c>
      <c r="I54" s="24">
        <v>1596.58</v>
      </c>
      <c r="J54" s="24">
        <v>6520.79</v>
      </c>
      <c r="K54" s="24">
        <v>5218.41</v>
      </c>
      <c r="L54" s="24">
        <v>6318.83</v>
      </c>
      <c r="M54" s="24">
        <v>2883.63</v>
      </c>
      <c r="N54" s="24">
        <v>1694.53</v>
      </c>
      <c r="O54" s="24">
        <f t="shared" si="17"/>
        <v>63227.37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105</v>
      </c>
      <c r="B55" s="24">
        <v>34.72</v>
      </c>
      <c r="C55" s="24">
        <v>0</v>
      </c>
      <c r="D55" s="24">
        <v>137.01</v>
      </c>
      <c r="E55" s="24">
        <v>0</v>
      </c>
      <c r="F55" s="24">
        <v>0</v>
      </c>
      <c r="G55" s="24">
        <v>0</v>
      </c>
      <c r="H55" s="24">
        <v>247.98</v>
      </c>
      <c r="I55" s="24">
        <v>65.91</v>
      </c>
      <c r="J55" s="24">
        <v>490.16</v>
      </c>
      <c r="K55" s="24">
        <v>20.73</v>
      </c>
      <c r="L55" s="24">
        <v>366.51</v>
      </c>
      <c r="M55" s="24">
        <v>28.49</v>
      </c>
      <c r="N55" s="24">
        <v>0</v>
      </c>
      <c r="O55" s="24">
        <f t="shared" si="17"/>
        <v>1391.51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104</v>
      </c>
      <c r="B56" s="24">
        <v>-275.86</v>
      </c>
      <c r="C56" s="24">
        <v>-507.45</v>
      </c>
      <c r="D56" s="24">
        <v>0</v>
      </c>
      <c r="E56" s="24">
        <v>-116.52</v>
      </c>
      <c r="F56" s="24">
        <v>-159.87</v>
      </c>
      <c r="G56" s="24">
        <v>-259.07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-72.74</v>
      </c>
      <c r="O56" s="24">
        <f t="shared" si="17"/>
        <v>-1391.5099999999998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106</v>
      </c>
      <c r="B57" s="24">
        <v>-37049.42</v>
      </c>
      <c r="C57" s="24">
        <v>-26629.88</v>
      </c>
      <c r="D57" s="24">
        <v>-25812.86</v>
      </c>
      <c r="E57" s="24">
        <v>-5286.12</v>
      </c>
      <c r="F57" s="24">
        <v>-25720.04</v>
      </c>
      <c r="G57" s="24">
        <v>-31940.14</v>
      </c>
      <c r="H57" s="24">
        <v>-26373.83</v>
      </c>
      <c r="I57" s="24">
        <v>-7323.11</v>
      </c>
      <c r="J57" s="24">
        <v>-29931.18</v>
      </c>
      <c r="K57" s="24">
        <v>-23915.93</v>
      </c>
      <c r="L57" s="24">
        <v>-28993.09</v>
      </c>
      <c r="M57" s="24">
        <v>-13217.5</v>
      </c>
      <c r="N57" s="24">
        <v>-7758.34</v>
      </c>
      <c r="O57" s="24">
        <f t="shared" si="17"/>
        <v>-289951.44000000006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107</v>
      </c>
      <c r="B58" s="27">
        <f>4483.36+79272.61</f>
        <v>83755.97</v>
      </c>
      <c r="C58" s="27">
        <v>106778.71</v>
      </c>
      <c r="D58" s="27">
        <v>13801.82</v>
      </c>
      <c r="E58" s="27">
        <v>23691.52</v>
      </c>
      <c r="F58" s="27">
        <v>56846.76</v>
      </c>
      <c r="G58" s="27">
        <v>78457.51</v>
      </c>
      <c r="H58" s="27">
        <v>-1340.66</v>
      </c>
      <c r="I58" s="27">
        <v>0</v>
      </c>
      <c r="J58" s="27">
        <v>-29911.06</v>
      </c>
      <c r="K58" s="27">
        <v>28014.33</v>
      </c>
      <c r="L58" s="27">
        <v>-15524.64</v>
      </c>
      <c r="M58" s="27">
        <v>13554.23</v>
      </c>
      <c r="N58" s="27">
        <v>20803.18</v>
      </c>
      <c r="O58" s="24">
        <f t="shared" si="17"/>
        <v>378927.67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67</v>
      </c>
      <c r="B61" s="29">
        <f aca="true" t="shared" si="21" ref="B61:N61">+B36+B42</f>
        <v>1102784.5758629004</v>
      </c>
      <c r="C61" s="29">
        <f t="shared" si="21"/>
        <v>810516.4647509999</v>
      </c>
      <c r="D61" s="29">
        <f t="shared" si="21"/>
        <v>695692.2317240001</v>
      </c>
      <c r="E61" s="29">
        <f t="shared" si="21"/>
        <v>158145.7407664</v>
      </c>
      <c r="F61" s="29">
        <f t="shared" si="21"/>
        <v>725849.46733495</v>
      </c>
      <c r="G61" s="29">
        <f t="shared" si="21"/>
        <v>914295.0264</v>
      </c>
      <c r="H61" s="29">
        <f t="shared" si="21"/>
        <v>686127.237</v>
      </c>
      <c r="I61" s="29">
        <f t="shared" si="21"/>
        <v>182660.85162119998</v>
      </c>
      <c r="J61" s="29">
        <f>+J36+J42</f>
        <v>767612.4474306</v>
      </c>
      <c r="K61" s="29">
        <f>+K36+K42</f>
        <v>659663.3762961</v>
      </c>
      <c r="L61" s="29">
        <f>+L36+L42</f>
        <v>748045.8799278401</v>
      </c>
      <c r="M61" s="29">
        <f t="shared" si="21"/>
        <v>379276.9513814899</v>
      </c>
      <c r="N61" s="29">
        <f t="shared" si="21"/>
        <v>234276.12263504002</v>
      </c>
      <c r="O61" s="29">
        <f>SUM(B61:N61)</f>
        <v>8064946.37313152</v>
      </c>
      <c r="P61"/>
      <c r="Q61"/>
      <c r="R61"/>
      <c r="S61"/>
      <c r="T61"/>
      <c r="U61"/>
      <c r="V61"/>
      <c r="W61"/>
      <c r="X61"/>
      <c r="Y61"/>
      <c r="Z61"/>
    </row>
    <row r="62" spans="1:17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Q62" s="7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1102784.58</v>
      </c>
      <c r="C64" s="36">
        <f aca="true" t="shared" si="22" ref="C64:N64">SUM(C65:C78)</f>
        <v>810516.47</v>
      </c>
      <c r="D64" s="36">
        <f t="shared" si="22"/>
        <v>695692.24</v>
      </c>
      <c r="E64" s="36">
        <f t="shared" si="22"/>
        <v>158145.74</v>
      </c>
      <c r="F64" s="36">
        <f t="shared" si="22"/>
        <v>725849.47</v>
      </c>
      <c r="G64" s="36">
        <f t="shared" si="22"/>
        <v>914295.03</v>
      </c>
      <c r="H64" s="36">
        <f t="shared" si="22"/>
        <v>686127.24</v>
      </c>
      <c r="I64" s="36">
        <f t="shared" si="22"/>
        <v>182660.85</v>
      </c>
      <c r="J64" s="36">
        <f t="shared" si="22"/>
        <v>767612.45</v>
      </c>
      <c r="K64" s="36">
        <f t="shared" si="22"/>
        <v>659663.38</v>
      </c>
      <c r="L64" s="36">
        <f t="shared" si="22"/>
        <v>748045.88</v>
      </c>
      <c r="M64" s="36">
        <f t="shared" si="22"/>
        <v>379276.94999999995</v>
      </c>
      <c r="N64" s="36">
        <f t="shared" si="22"/>
        <v>234276.13</v>
      </c>
      <c r="O64" s="29">
        <f>SUM(O65:O78)</f>
        <v>8064946.41</v>
      </c>
    </row>
    <row r="65" spans="1:16" ht="18.75" customHeight="1">
      <c r="A65" s="17" t="s">
        <v>69</v>
      </c>
      <c r="B65" s="36">
        <f>196687.08+1150.08+4483.36</f>
        <v>202320.51999999996</v>
      </c>
      <c r="C65" s="36">
        <f>201437.76+1167.17+22154.53</f>
        <v>224759.46000000002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427079.98</v>
      </c>
      <c r="P65"/>
    </row>
    <row r="66" spans="1:16" ht="18.75" customHeight="1">
      <c r="A66" s="17" t="s">
        <v>70</v>
      </c>
      <c r="B66" s="36">
        <f>817684.04+3507.41+79272.61</f>
        <v>900464.06</v>
      </c>
      <c r="C66" s="36">
        <f>498278.5+2854.33+84624.18</f>
        <v>585757.01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1486221.07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f>671702.15+10188.27+13801.82</f>
        <v>695692.24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695692.24</v>
      </c>
      <c r="Q67"/>
    </row>
    <row r="68" spans="1:18" ht="18.75" customHeight="1">
      <c r="A68" s="17" t="s">
        <v>72</v>
      </c>
      <c r="B68" s="35">
        <v>0</v>
      </c>
      <c r="C68" s="35">
        <v>0</v>
      </c>
      <c r="D68" s="35">
        <v>0</v>
      </c>
      <c r="E68" s="26">
        <f>134454.22+23691.52</f>
        <v>158145.74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158145.74</v>
      </c>
      <c r="R68"/>
    </row>
    <row r="69" spans="1:19" ht="18.75" customHeight="1">
      <c r="A69" s="17" t="s">
        <v>73</v>
      </c>
      <c r="B69" s="35">
        <v>0</v>
      </c>
      <c r="C69" s="35">
        <v>0</v>
      </c>
      <c r="D69" s="35">
        <v>0</v>
      </c>
      <c r="E69" s="35">
        <v>0</v>
      </c>
      <c r="F69" s="26">
        <f>669002.71+56846.76</f>
        <v>725849.47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725849.47</v>
      </c>
      <c r="S69"/>
    </row>
    <row r="70" spans="1:20" ht="18.75" customHeight="1">
      <c r="A70" s="17" t="s">
        <v>74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f>831751.43+4086.09+78457.51</f>
        <v>914295.03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914295.03</v>
      </c>
      <c r="T70"/>
    </row>
    <row r="71" spans="1:21" ht="18.75" customHeight="1">
      <c r="A71" s="17" t="s">
        <v>99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f>682619.95+3507.29</f>
        <v>686127.24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686127.24</v>
      </c>
      <c r="U71"/>
    </row>
    <row r="72" spans="1:21" ht="18.75" customHeight="1">
      <c r="A72" s="17" t="s">
        <v>75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f>182660.85</f>
        <v>182660.85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182660.85</v>
      </c>
      <c r="U72"/>
    </row>
    <row r="73" spans="1:22" ht="18.75" customHeight="1">
      <c r="A73" s="17" t="s">
        <v>76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f>763554.25+4058.2</f>
        <v>767612.45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767612.45</v>
      </c>
      <c r="V73"/>
    </row>
    <row r="74" spans="1:23" ht="18.75" customHeight="1">
      <c r="A74" s="17" t="s">
        <v>77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f>628141.79+3507.26+28014.33</f>
        <v>659663.38</v>
      </c>
      <c r="L74" s="35">
        <v>0</v>
      </c>
      <c r="M74" s="35">
        <v>0</v>
      </c>
      <c r="N74" s="35">
        <v>0</v>
      </c>
      <c r="O74" s="29">
        <f t="shared" si="23"/>
        <v>659663.38</v>
      </c>
      <c r="W74"/>
    </row>
    <row r="75" spans="1:24" ht="18.75" customHeight="1">
      <c r="A75" s="17" t="s">
        <v>78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f>743987.25+4058.63</f>
        <v>748045.88</v>
      </c>
      <c r="M75" s="35">
        <v>0</v>
      </c>
      <c r="N75" s="61">
        <v>0</v>
      </c>
      <c r="O75" s="26">
        <f t="shared" si="23"/>
        <v>748045.88</v>
      </c>
      <c r="X75"/>
    </row>
    <row r="76" spans="1:25" ht="18.75" customHeight="1">
      <c r="A76" s="17" t="s">
        <v>79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f>363384.54+2338.18+13554.23</f>
        <v>379276.94999999995</v>
      </c>
      <c r="N76" s="35">
        <v>0</v>
      </c>
      <c r="O76" s="29">
        <f t="shared" si="23"/>
        <v>379276.94999999995</v>
      </c>
      <c r="Y76"/>
    </row>
    <row r="77" spans="1:26" ht="18.75" customHeight="1">
      <c r="A77" s="17" t="s">
        <v>80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f>213472.95+20803.18</f>
        <v>234276.13</v>
      </c>
      <c r="O77" s="26">
        <f t="shared" si="23"/>
        <v>234276.13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81</v>
      </c>
      <c r="B82" s="44">
        <v>2.3318941576086956</v>
      </c>
      <c r="C82" s="44">
        <v>2.2974440786768175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82</v>
      </c>
      <c r="B83" s="44">
        <v>2.0382940083321106</v>
      </c>
      <c r="C83" s="44">
        <v>1.9236603430418733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83</v>
      </c>
      <c r="B84" s="44">
        <v>0</v>
      </c>
      <c r="C84" s="44">
        <v>0</v>
      </c>
      <c r="D84" s="22">
        <f>(D$37+D$38+D$39)/D$7</f>
        <v>1.8681291617420404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84</v>
      </c>
      <c r="B85" s="44">
        <v>0</v>
      </c>
      <c r="C85" s="44">
        <v>0</v>
      </c>
      <c r="D85" s="44">
        <v>0</v>
      </c>
      <c r="E85" s="22">
        <f>(E$37+E$38+E$39)/E$7</f>
        <v>2.599465093823587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85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2.181375956155582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86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1.729705914201418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87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2.0343571644963983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88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1.9910575881190682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89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1.9761611179317677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90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2.2258191201636337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91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2.128156408557121</v>
      </c>
      <c r="M92" s="44">
        <v>0</v>
      </c>
      <c r="N92" s="44">
        <v>0</v>
      </c>
      <c r="O92" s="26"/>
      <c r="X92"/>
    </row>
    <row r="93" spans="1:25" ht="18.75" customHeight="1">
      <c r="A93" s="17" t="s">
        <v>92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2.5265247255794407</v>
      </c>
      <c r="N93" s="44">
        <v>0</v>
      </c>
      <c r="O93" s="62"/>
      <c r="Y93"/>
    </row>
    <row r="94" spans="1:26" ht="18.75" customHeight="1">
      <c r="A94" s="34" t="s">
        <v>93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2.4750488692487624</v>
      </c>
      <c r="O94" s="50"/>
      <c r="P94"/>
      <c r="Z94"/>
    </row>
    <row r="95" spans="1:14" ht="21" customHeight="1">
      <c r="A95" s="67" t="s">
        <v>100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1" t="s">
        <v>110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</row>
    <row r="97" spans="1:14" ht="15.75">
      <c r="A97" s="70" t="s">
        <v>111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</row>
    <row r="98" spans="1:14" ht="15.75">
      <c r="A98" s="70" t="s">
        <v>112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</row>
    <row r="99" spans="1:14" ht="15.75">
      <c r="A99" s="70" t="s">
        <v>113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</row>
    <row r="100" spans="1:14" ht="15.75">
      <c r="A100" s="71" t="s">
        <v>109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</row>
    <row r="101" ht="14.25">
      <c r="B101" s="40"/>
    </row>
    <row r="102" spans="8:9" ht="14.25">
      <c r="H102" s="41"/>
      <c r="I102" s="41"/>
    </row>
    <row r="104" spans="8:12" ht="14.25">
      <c r="H104" s="42"/>
      <c r="I104" s="42"/>
      <c r="J104" s="43"/>
      <c r="K104" s="43"/>
      <c r="L104" s="43"/>
    </row>
  </sheetData>
  <sheetProtection/>
  <mergeCells count="8">
    <mergeCell ref="A100:N100"/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2017-11-30T12:45:31Z</dcterms:modified>
  <cp:category/>
  <cp:version/>
  <cp:contentType/>
  <cp:contentStatus/>
</cp:coreProperties>
</file>