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1075" windowHeight="10050"/>
  </bookViews>
  <sheets>
    <sheet name="gestao" sheetId="1" r:id="rId1"/>
  </sheets>
  <externalReferences>
    <externalReference r:id="rId2"/>
  </externalReferences>
  <definedNames>
    <definedName name="_xlnm._FilterDatabase" localSheetId="0" hidden="1">gestao!$A$1:$A$254</definedName>
    <definedName name="_Key1" hidden="1">'[1]NUMERAÇÃO BORDEROS'!$A$6:$A$11</definedName>
    <definedName name="_Order1" hidden="1">255</definedName>
    <definedName name="_Sort" hidden="1">'[1]NUMERAÇÃO BORDEROS'!$A$6:$G$11</definedName>
    <definedName name="_xlnm.Print_Area" localSheetId="0">gestao!$B$1:$Y$108</definedName>
    <definedName name="BENEFICIOS">gestao!$C$34</definedName>
    <definedName name="DESPGER">gestao!$C$55</definedName>
    <definedName name="ENCARGOS">gestao!$C$39</definedName>
    <definedName name="FOLHA_PAGTO_P.ALIM._C.APOSENT.">1001</definedName>
    <definedName name="FORNECEDOR">gestao!$C$47</definedName>
    <definedName name="INVESTIMENTO">gestao!$C$55</definedName>
    <definedName name="LANÇAMENTO">gestao!$A$110</definedName>
    <definedName name="OUTPESS">gestao!$C$44</definedName>
    <definedName name="TERCEIRIZACAO">gestao!$C$82</definedName>
    <definedName name="_xlnm.Print_Titles" localSheetId="0">gestao!$C:$D,gestao!$1:$3</definedName>
  </definedNames>
  <calcPr calcId="125725"/>
</workbook>
</file>

<file path=xl/calcChain.xml><?xml version="1.0" encoding="utf-8"?>
<calcChain xmlns="http://schemas.openxmlformats.org/spreadsheetml/2006/main">
  <c r="X233" i="1"/>
  <c r="Y233" s="1"/>
  <c r="Y232" s="1"/>
  <c r="W232"/>
  <c r="V232"/>
  <c r="U232"/>
  <c r="T232"/>
  <c r="S232"/>
  <c r="R232"/>
  <c r="Q232"/>
  <c r="P232"/>
  <c r="O232"/>
  <c r="N232"/>
  <c r="M232"/>
  <c r="L232"/>
  <c r="K232"/>
  <c r="J232"/>
  <c r="I232"/>
  <c r="H232"/>
  <c r="G232"/>
  <c r="F232"/>
  <c r="Y231"/>
  <c r="Y230"/>
  <c r="Y229"/>
  <c r="Y228" s="1"/>
  <c r="X228"/>
  <c r="W228"/>
  <c r="V228"/>
  <c r="U228"/>
  <c r="T228"/>
  <c r="S228"/>
  <c r="R228"/>
  <c r="Q228"/>
  <c r="P228"/>
  <c r="O228"/>
  <c r="N228"/>
  <c r="M228"/>
  <c r="L228"/>
  <c r="K228"/>
  <c r="J228"/>
  <c r="I228"/>
  <c r="H228"/>
  <c r="G228"/>
  <c r="F228"/>
  <c r="E228"/>
  <c r="Y226"/>
  <c r="Y225" s="1"/>
  <c r="Y224" s="1"/>
  <c r="X225"/>
  <c r="W225"/>
  <c r="V225"/>
  <c r="U225"/>
  <c r="T225"/>
  <c r="S225"/>
  <c r="R225"/>
  <c r="Q225"/>
  <c r="P225"/>
  <c r="O225"/>
  <c r="N225"/>
  <c r="M225"/>
  <c r="L225"/>
  <c r="K225"/>
  <c r="J225"/>
  <c r="I225"/>
  <c r="H225"/>
  <c r="G225"/>
  <c r="F225"/>
  <c r="E225"/>
  <c r="W224"/>
  <c r="V224"/>
  <c r="U224"/>
  <c r="T224"/>
  <c r="S224"/>
  <c r="R224"/>
  <c r="Q224"/>
  <c r="P224"/>
  <c r="O224"/>
  <c r="N224"/>
  <c r="M224"/>
  <c r="L224"/>
  <c r="K224"/>
  <c r="J224"/>
  <c r="I224"/>
  <c r="H224"/>
  <c r="G224"/>
  <c r="F224"/>
  <c r="E224"/>
  <c r="Y223"/>
  <c r="Y222"/>
  <c r="Y221"/>
  <c r="X220"/>
  <c r="W220"/>
  <c r="V220"/>
  <c r="U220"/>
  <c r="T220"/>
  <c r="S220"/>
  <c r="R220"/>
  <c r="Q220"/>
  <c r="P220"/>
  <c r="O220"/>
  <c r="N220"/>
  <c r="M220"/>
  <c r="L220"/>
  <c r="K220"/>
  <c r="J220"/>
  <c r="I220"/>
  <c r="H220"/>
  <c r="G220"/>
  <c r="F220"/>
  <c r="E220"/>
  <c r="Y220" s="1"/>
  <c r="Y219" s="1"/>
  <c r="X219"/>
  <c r="W219"/>
  <c r="V219"/>
  <c r="U219"/>
  <c r="T219"/>
  <c r="S219"/>
  <c r="R219"/>
  <c r="Q219"/>
  <c r="P219"/>
  <c r="O219"/>
  <c r="N219"/>
  <c r="M219"/>
  <c r="L219"/>
  <c r="K219"/>
  <c r="J219"/>
  <c r="I219"/>
  <c r="H219"/>
  <c r="G219"/>
  <c r="F219"/>
  <c r="E219"/>
  <c r="Y218"/>
  <c r="Y217"/>
  <c r="Y216" s="1"/>
  <c r="Y215" s="1"/>
  <c r="X216"/>
  <c r="W216"/>
  <c r="V216"/>
  <c r="U216"/>
  <c r="T216"/>
  <c r="S216"/>
  <c r="R216"/>
  <c r="Q216"/>
  <c r="P216"/>
  <c r="O216"/>
  <c r="N216"/>
  <c r="M216"/>
  <c r="L216"/>
  <c r="K216"/>
  <c r="J216"/>
  <c r="I216"/>
  <c r="H216"/>
  <c r="G216"/>
  <c r="F216"/>
  <c r="E216"/>
  <c r="X215"/>
  <c r="W215"/>
  <c r="V215"/>
  <c r="U215"/>
  <c r="T215"/>
  <c r="S215"/>
  <c r="R215"/>
  <c r="Q215"/>
  <c r="P215"/>
  <c r="O215"/>
  <c r="N215"/>
  <c r="M215"/>
  <c r="L215"/>
  <c r="K215"/>
  <c r="J215"/>
  <c r="I215"/>
  <c r="H215"/>
  <c r="G215"/>
  <c r="F215"/>
  <c r="E215"/>
  <c r="Y214"/>
  <c r="Y213"/>
  <c r="Y212"/>
  <c r="Y211"/>
  <c r="Y209"/>
  <c r="Y206" s="1"/>
  <c r="Y208"/>
  <c r="Y207"/>
  <c r="X206"/>
  <c r="W206"/>
  <c r="V206"/>
  <c r="U206"/>
  <c r="T206"/>
  <c r="S206"/>
  <c r="R206"/>
  <c r="Q206"/>
  <c r="P206"/>
  <c r="O206"/>
  <c r="N206"/>
  <c r="M206"/>
  <c r="L206"/>
  <c r="K206"/>
  <c r="J206"/>
  <c r="I206"/>
  <c r="H206"/>
  <c r="G206"/>
  <c r="F206"/>
  <c r="E206"/>
  <c r="Y205"/>
  <c r="Y204"/>
  <c r="Y203"/>
  <c r="Y202"/>
  <c r="AB202" s="1"/>
  <c r="X201"/>
  <c r="W201"/>
  <c r="V201"/>
  <c r="U201"/>
  <c r="T201"/>
  <c r="S201"/>
  <c r="R201"/>
  <c r="Q201"/>
  <c r="P201"/>
  <c r="O201"/>
  <c r="N201"/>
  <c r="M201"/>
  <c r="L201"/>
  <c r="K201"/>
  <c r="J201"/>
  <c r="I201"/>
  <c r="H201"/>
  <c r="G201"/>
  <c r="F201"/>
  <c r="E201"/>
  <c r="Y200"/>
  <c r="Y199"/>
  <c r="Y198"/>
  <c r="Y197"/>
  <c r="Y196" s="1"/>
  <c r="X196"/>
  <c r="W196"/>
  <c r="V196"/>
  <c r="U196"/>
  <c r="T196"/>
  <c r="S196"/>
  <c r="R196"/>
  <c r="Q196"/>
  <c r="P196"/>
  <c r="O196"/>
  <c r="N196"/>
  <c r="M196"/>
  <c r="L196"/>
  <c r="K196"/>
  <c r="J196"/>
  <c r="I196"/>
  <c r="H196"/>
  <c r="G196"/>
  <c r="F196"/>
  <c r="E196"/>
  <c r="Y195"/>
  <c r="Y194" s="1"/>
  <c r="X194"/>
  <c r="W194"/>
  <c r="V194"/>
  <c r="U194"/>
  <c r="T194"/>
  <c r="S194"/>
  <c r="R194"/>
  <c r="Q194"/>
  <c r="P194"/>
  <c r="O194"/>
  <c r="N194"/>
  <c r="M194"/>
  <c r="L194"/>
  <c r="K194"/>
  <c r="J194"/>
  <c r="I194"/>
  <c r="H194"/>
  <c r="G194"/>
  <c r="F194"/>
  <c r="E194"/>
  <c r="Y193"/>
  <c r="Y192"/>
  <c r="Y191"/>
  <c r="Y190"/>
  <c r="Y189" s="1"/>
  <c r="X189"/>
  <c r="W189"/>
  <c r="V189"/>
  <c r="U189"/>
  <c r="T189"/>
  <c r="S189"/>
  <c r="R189"/>
  <c r="Q189"/>
  <c r="P189"/>
  <c r="O189"/>
  <c r="N189"/>
  <c r="M189"/>
  <c r="L189"/>
  <c r="K189"/>
  <c r="J189"/>
  <c r="I189"/>
  <c r="H189"/>
  <c r="G189"/>
  <c r="F189"/>
  <c r="E189"/>
  <c r="Y188"/>
  <c r="Y187"/>
  <c r="Y186" s="1"/>
  <c r="X186"/>
  <c r="W186"/>
  <c r="V186"/>
  <c r="U186"/>
  <c r="T186"/>
  <c r="S186"/>
  <c r="R186"/>
  <c r="Q186"/>
  <c r="P186"/>
  <c r="O186"/>
  <c r="N186"/>
  <c r="M186"/>
  <c r="L186"/>
  <c r="K186"/>
  <c r="J186"/>
  <c r="I186"/>
  <c r="H186"/>
  <c r="G186"/>
  <c r="F186"/>
  <c r="E186"/>
  <c r="N185"/>
  <c r="Y185" s="1"/>
  <c r="AB185" s="1"/>
  <c r="M185"/>
  <c r="Y184"/>
  <c r="Y183"/>
  <c r="AB183" s="1"/>
  <c r="Y182"/>
  <c r="N181"/>
  <c r="M181"/>
  <c r="Y181" s="1"/>
  <c r="X180"/>
  <c r="W180"/>
  <c r="V180"/>
  <c r="U180"/>
  <c r="T180"/>
  <c r="S180"/>
  <c r="R180"/>
  <c r="Q180"/>
  <c r="P180"/>
  <c r="O180"/>
  <c r="N180"/>
  <c r="M180"/>
  <c r="L180"/>
  <c r="K180"/>
  <c r="J180"/>
  <c r="I180"/>
  <c r="H180"/>
  <c r="G180"/>
  <c r="F180"/>
  <c r="E180"/>
  <c r="X179"/>
  <c r="W179"/>
  <c r="V179"/>
  <c r="U179"/>
  <c r="T179"/>
  <c r="S179"/>
  <c r="R179"/>
  <c r="Q179"/>
  <c r="P179"/>
  <c r="O179"/>
  <c r="N179"/>
  <c r="M179"/>
  <c r="L179"/>
  <c r="K179"/>
  <c r="J179"/>
  <c r="I179"/>
  <c r="H179"/>
  <c r="G179"/>
  <c r="F179"/>
  <c r="E179"/>
  <c r="X178"/>
  <c r="W178"/>
  <c r="V178"/>
  <c r="U178"/>
  <c r="T178"/>
  <c r="S178"/>
  <c r="R178"/>
  <c r="Q178"/>
  <c r="P178"/>
  <c r="O178"/>
  <c r="N178"/>
  <c r="M178"/>
  <c r="L178"/>
  <c r="K178"/>
  <c r="J178"/>
  <c r="I178"/>
  <c r="H178"/>
  <c r="G178"/>
  <c r="F178"/>
  <c r="E178"/>
  <c r="Y177"/>
  <c r="Y176"/>
  <c r="Y175"/>
  <c r="Y174"/>
  <c r="Y173"/>
  <c r="Y172"/>
  <c r="Y171"/>
  <c r="Y170"/>
  <c r="Y169"/>
  <c r="Y168"/>
  <c r="Y167" s="1"/>
  <c r="X167"/>
  <c r="W167"/>
  <c r="V167"/>
  <c r="U167"/>
  <c r="T167"/>
  <c r="S167"/>
  <c r="R167"/>
  <c r="Q167"/>
  <c r="P167"/>
  <c r="O167"/>
  <c r="N167"/>
  <c r="M167"/>
  <c r="L167"/>
  <c r="K167"/>
  <c r="J167"/>
  <c r="I167"/>
  <c r="H167"/>
  <c r="G167"/>
  <c r="F167"/>
  <c r="E167"/>
  <c r="Y166"/>
  <c r="AB166" s="1"/>
  <c r="W166"/>
  <c r="Y165"/>
  <c r="Y164"/>
  <c r="Y163"/>
  <c r="AB162"/>
  <c r="AA162"/>
  <c r="Y162"/>
  <c r="Y161"/>
  <c r="AB161" s="1"/>
  <c r="Y160"/>
  <c r="AB160" s="1"/>
  <c r="Y159"/>
  <c r="J159"/>
  <c r="Y158"/>
  <c r="Y157"/>
  <c r="U156"/>
  <c r="T156"/>
  <c r="S156"/>
  <c r="R156"/>
  <c r="O156"/>
  <c r="M156"/>
  <c r="I156"/>
  <c r="Y156" s="1"/>
  <c r="AB156" s="1"/>
  <c r="W155"/>
  <c r="U155"/>
  <c r="O155"/>
  <c r="N155"/>
  <c r="Y155" s="1"/>
  <c r="M155"/>
  <c r="Y154"/>
  <c r="Y153"/>
  <c r="AB153" s="1"/>
  <c r="Y152"/>
  <c r="Y151"/>
  <c r="AB151" s="1"/>
  <c r="H150"/>
  <c r="F150"/>
  <c r="Y150" s="1"/>
  <c r="AB150" s="1"/>
  <c r="Y149"/>
  <c r="Y148"/>
  <c r="X148"/>
  <c r="X147"/>
  <c r="Y147" s="1"/>
  <c r="AB147" s="1"/>
  <c r="Y146"/>
  <c r="Y145"/>
  <c r="Y144"/>
  <c r="Y143"/>
  <c r="AB143" s="1"/>
  <c r="Y142"/>
  <c r="Y141"/>
  <c r="AB141" s="1"/>
  <c r="X140"/>
  <c r="W140"/>
  <c r="V140"/>
  <c r="U140"/>
  <c r="T140"/>
  <c r="S140"/>
  <c r="R140"/>
  <c r="Q140"/>
  <c r="P140"/>
  <c r="O140"/>
  <c r="N140"/>
  <c r="M140"/>
  <c r="L140"/>
  <c r="K140"/>
  <c r="J140"/>
  <c r="I140"/>
  <c r="H140"/>
  <c r="G140"/>
  <c r="F140"/>
  <c r="E140"/>
  <c r="Y139"/>
  <c r="L138"/>
  <c r="K138"/>
  <c r="J138"/>
  <c r="Y138" s="1"/>
  <c r="Y137"/>
  <c r="Y136"/>
  <c r="Y135"/>
  <c r="Y134"/>
  <c r="Y133" s="1"/>
  <c r="AB133" s="1"/>
  <c r="X133"/>
  <c r="W133"/>
  <c r="V133"/>
  <c r="U133"/>
  <c r="T133"/>
  <c r="S133"/>
  <c r="R133"/>
  <c r="Q133"/>
  <c r="P133"/>
  <c r="O133"/>
  <c r="N133"/>
  <c r="M133"/>
  <c r="L133"/>
  <c r="K133"/>
  <c r="J133"/>
  <c r="I133"/>
  <c r="H133"/>
  <c r="G133"/>
  <c r="F133"/>
  <c r="E133"/>
  <c r="Y132"/>
  <c r="AB132" s="1"/>
  <c r="Y131"/>
  <c r="AB131" s="1"/>
  <c r="X130"/>
  <c r="W130"/>
  <c r="V130"/>
  <c r="U130"/>
  <c r="T130"/>
  <c r="S130"/>
  <c r="R130"/>
  <c r="Q130"/>
  <c r="P130"/>
  <c r="O130"/>
  <c r="N130"/>
  <c r="M130"/>
  <c r="L130"/>
  <c r="K130"/>
  <c r="J130"/>
  <c r="I130"/>
  <c r="H130"/>
  <c r="G130"/>
  <c r="F130"/>
  <c r="E130"/>
  <c r="AA129"/>
  <c r="Y129"/>
  <c r="P128"/>
  <c r="Y128" s="1"/>
  <c r="AB128" s="1"/>
  <c r="Y127"/>
  <c r="AB127" s="1"/>
  <c r="Y126"/>
  <c r="X125"/>
  <c r="W125"/>
  <c r="V125"/>
  <c r="U125"/>
  <c r="T125"/>
  <c r="S125"/>
  <c r="R125"/>
  <c r="Q125"/>
  <c r="P125"/>
  <c r="O125"/>
  <c r="N125"/>
  <c r="M125"/>
  <c r="L125"/>
  <c r="K125"/>
  <c r="J125"/>
  <c r="I125"/>
  <c r="H125"/>
  <c r="G125"/>
  <c r="F125"/>
  <c r="E125"/>
  <c r="Y124"/>
  <c r="AB124" s="1"/>
  <c r="Y123"/>
  <c r="AB123" s="1"/>
  <c r="Y122"/>
  <c r="AB122" s="1"/>
  <c r="Y121"/>
  <c r="Y120" s="1"/>
  <c r="X120"/>
  <c r="W120"/>
  <c r="V120"/>
  <c r="U120"/>
  <c r="T120"/>
  <c r="S120"/>
  <c r="R120"/>
  <c r="Q120"/>
  <c r="P120"/>
  <c r="O120"/>
  <c r="N120"/>
  <c r="M120"/>
  <c r="L120"/>
  <c r="K120"/>
  <c r="J120"/>
  <c r="I120"/>
  <c r="H120"/>
  <c r="G120"/>
  <c r="F120"/>
  <c r="E120"/>
  <c r="AB119"/>
  <c r="Y119"/>
  <c r="N118"/>
  <c r="M118"/>
  <c r="Y118" s="1"/>
  <c r="Y117"/>
  <c r="AB117" s="1"/>
  <c r="Y116"/>
  <c r="X115"/>
  <c r="Y115" s="1"/>
  <c r="AB115" s="1"/>
  <c r="AG114"/>
  <c r="AA114"/>
  <c r="X114"/>
  <c r="W114"/>
  <c r="W113" s="1"/>
  <c r="W112" s="1"/>
  <c r="W111" s="1"/>
  <c r="W110" s="1"/>
  <c r="N114"/>
  <c r="M114"/>
  <c r="Y114" s="1"/>
  <c r="AB114" s="1"/>
  <c r="X113"/>
  <c r="V113"/>
  <c r="U113"/>
  <c r="T113"/>
  <c r="S113"/>
  <c r="R113"/>
  <c r="Q113"/>
  <c r="P113"/>
  <c r="O113"/>
  <c r="N113"/>
  <c r="M113"/>
  <c r="L113"/>
  <c r="K113"/>
  <c r="J113"/>
  <c r="I113"/>
  <c r="H113"/>
  <c r="G113"/>
  <c r="F113"/>
  <c r="E113"/>
  <c r="X112"/>
  <c r="V112"/>
  <c r="U112"/>
  <c r="T112"/>
  <c r="S112"/>
  <c r="R112"/>
  <c r="Q112"/>
  <c r="P112"/>
  <c r="O112"/>
  <c r="N112"/>
  <c r="M112"/>
  <c r="L112"/>
  <c r="K112"/>
  <c r="J112"/>
  <c r="I112"/>
  <c r="H112"/>
  <c r="G112"/>
  <c r="F112"/>
  <c r="E112"/>
  <c r="X111"/>
  <c r="V111"/>
  <c r="U111"/>
  <c r="T111"/>
  <c r="S111"/>
  <c r="R111"/>
  <c r="Q111"/>
  <c r="P111"/>
  <c r="O111"/>
  <c r="N111"/>
  <c r="M111"/>
  <c r="L111"/>
  <c r="K111"/>
  <c r="J111"/>
  <c r="I111"/>
  <c r="H111"/>
  <c r="G111"/>
  <c r="F111"/>
  <c r="E111"/>
  <c r="V110"/>
  <c r="U110"/>
  <c r="T110"/>
  <c r="S110"/>
  <c r="R110"/>
  <c r="Q110"/>
  <c r="P110"/>
  <c r="O110"/>
  <c r="N110"/>
  <c r="M110"/>
  <c r="L110"/>
  <c r="K110"/>
  <c r="J110"/>
  <c r="I110"/>
  <c r="H110"/>
  <c r="G110"/>
  <c r="F110"/>
  <c r="E110"/>
  <c r="Y107"/>
  <c r="Y106"/>
  <c r="Y105"/>
  <c r="AB105" s="1"/>
  <c r="H104"/>
  <c r="Y104" s="1"/>
  <c r="X103"/>
  <c r="W103"/>
  <c r="V103"/>
  <c r="U103"/>
  <c r="T103"/>
  <c r="S103"/>
  <c r="R103"/>
  <c r="Q103"/>
  <c r="P103"/>
  <c r="O103"/>
  <c r="N103"/>
  <c r="M103"/>
  <c r="L103"/>
  <c r="K103"/>
  <c r="J103"/>
  <c r="I103"/>
  <c r="H103"/>
  <c r="G103"/>
  <c r="F103"/>
  <c r="E103"/>
  <c r="X101"/>
  <c r="W101"/>
  <c r="V101"/>
  <c r="U101"/>
  <c r="T101"/>
  <c r="S101"/>
  <c r="R101"/>
  <c r="Q101"/>
  <c r="P101"/>
  <c r="O101"/>
  <c r="N101"/>
  <c r="M101"/>
  <c r="L101"/>
  <c r="K101"/>
  <c r="J101"/>
  <c r="I101"/>
  <c r="H101"/>
  <c r="G101"/>
  <c r="F101"/>
  <c r="E101"/>
  <c r="Y101" s="1"/>
  <c r="X100"/>
  <c r="W100"/>
  <c r="V100"/>
  <c r="U100"/>
  <c r="T100"/>
  <c r="S100"/>
  <c r="R100"/>
  <c r="Q100"/>
  <c r="P100"/>
  <c r="O100"/>
  <c r="N100"/>
  <c r="M100"/>
  <c r="L100"/>
  <c r="K100"/>
  <c r="J100"/>
  <c r="I100"/>
  <c r="H100"/>
  <c r="G100"/>
  <c r="F100"/>
  <c r="E100"/>
  <c r="X99"/>
  <c r="W99"/>
  <c r="V99"/>
  <c r="U99"/>
  <c r="T99"/>
  <c r="S99"/>
  <c r="R99"/>
  <c r="Q99"/>
  <c r="P99"/>
  <c r="O99"/>
  <c r="N99"/>
  <c r="M99"/>
  <c r="L99"/>
  <c r="K99"/>
  <c r="J99"/>
  <c r="I99"/>
  <c r="H99"/>
  <c r="G99"/>
  <c r="F99"/>
  <c r="E99"/>
  <c r="Y99" s="1"/>
  <c r="X98"/>
  <c r="W98"/>
  <c r="V98"/>
  <c r="U98"/>
  <c r="T98"/>
  <c r="S98"/>
  <c r="R98"/>
  <c r="Q98"/>
  <c r="P98"/>
  <c r="O98"/>
  <c r="N98"/>
  <c r="M98"/>
  <c r="L98"/>
  <c r="K98"/>
  <c r="J98"/>
  <c r="I98"/>
  <c r="H98"/>
  <c r="G98"/>
  <c r="F98"/>
  <c r="E98"/>
  <c r="Y98" s="1"/>
  <c r="X97"/>
  <c r="W97"/>
  <c r="V97"/>
  <c r="U97"/>
  <c r="T97"/>
  <c r="S97"/>
  <c r="R97"/>
  <c r="Q97"/>
  <c r="P97"/>
  <c r="O97"/>
  <c r="N97"/>
  <c r="M97"/>
  <c r="L97"/>
  <c r="K97"/>
  <c r="J97"/>
  <c r="I97"/>
  <c r="H97"/>
  <c r="G97"/>
  <c r="F97"/>
  <c r="E97"/>
  <c r="Y97" s="1"/>
  <c r="Y96" s="1"/>
  <c r="X96"/>
  <c r="W96"/>
  <c r="V96"/>
  <c r="U96"/>
  <c r="T96"/>
  <c r="S96"/>
  <c r="R96"/>
  <c r="Q96"/>
  <c r="P96"/>
  <c r="O96"/>
  <c r="N96"/>
  <c r="M96"/>
  <c r="L96"/>
  <c r="K96"/>
  <c r="J96"/>
  <c r="I96"/>
  <c r="H96"/>
  <c r="G96"/>
  <c r="F96"/>
  <c r="E96"/>
  <c r="X95"/>
  <c r="W95"/>
  <c r="V95"/>
  <c r="U95"/>
  <c r="T95"/>
  <c r="S95"/>
  <c r="R95"/>
  <c r="Q95"/>
  <c r="P95"/>
  <c r="O95"/>
  <c r="N95"/>
  <c r="M95"/>
  <c r="L95"/>
  <c r="K95"/>
  <c r="J95"/>
  <c r="I95"/>
  <c r="H95"/>
  <c r="G95"/>
  <c r="F95"/>
  <c r="E95"/>
  <c r="Y95" s="1"/>
  <c r="X94"/>
  <c r="W94"/>
  <c r="V94"/>
  <c r="U94"/>
  <c r="T94"/>
  <c r="S94"/>
  <c r="R94"/>
  <c r="Q94"/>
  <c r="P94"/>
  <c r="O94"/>
  <c r="N94"/>
  <c r="M94"/>
  <c r="L94"/>
  <c r="K94"/>
  <c r="J94"/>
  <c r="I94"/>
  <c r="H94"/>
  <c r="G94"/>
  <c r="F94"/>
  <c r="E94"/>
  <c r="Y94" s="1"/>
  <c r="X93"/>
  <c r="W93"/>
  <c r="V93"/>
  <c r="U93"/>
  <c r="T93"/>
  <c r="S93"/>
  <c r="R93"/>
  <c r="Q93"/>
  <c r="P93"/>
  <c r="O93"/>
  <c r="N93"/>
  <c r="M93"/>
  <c r="L93"/>
  <c r="K93"/>
  <c r="J93"/>
  <c r="I93"/>
  <c r="H93"/>
  <c r="G93"/>
  <c r="F93"/>
  <c r="E93"/>
  <c r="Y93" s="1"/>
  <c r="X92"/>
  <c r="W92"/>
  <c r="V92"/>
  <c r="U92"/>
  <c r="T92"/>
  <c r="S92"/>
  <c r="R92"/>
  <c r="Q92"/>
  <c r="P92"/>
  <c r="O92"/>
  <c r="N92"/>
  <c r="M92"/>
  <c r="L92"/>
  <c r="K92"/>
  <c r="J92"/>
  <c r="I92"/>
  <c r="H92"/>
  <c r="G92"/>
  <c r="F92"/>
  <c r="E92"/>
  <c r="Y92" s="1"/>
  <c r="X91"/>
  <c r="W91"/>
  <c r="V91"/>
  <c r="U91"/>
  <c r="T91"/>
  <c r="S91"/>
  <c r="R91"/>
  <c r="Q91"/>
  <c r="P91"/>
  <c r="O91"/>
  <c r="N91"/>
  <c r="M91"/>
  <c r="L91"/>
  <c r="K91"/>
  <c r="J91"/>
  <c r="I91"/>
  <c r="H91"/>
  <c r="G91"/>
  <c r="F91"/>
  <c r="E91"/>
  <c r="Y91" s="1"/>
  <c r="X90"/>
  <c r="W90"/>
  <c r="V90"/>
  <c r="U90"/>
  <c r="T90"/>
  <c r="S90"/>
  <c r="R90"/>
  <c r="Q90"/>
  <c r="P90"/>
  <c r="O90"/>
  <c r="N90"/>
  <c r="M90"/>
  <c r="L90"/>
  <c r="K90"/>
  <c r="J90"/>
  <c r="I90"/>
  <c r="H90"/>
  <c r="G90"/>
  <c r="F90"/>
  <c r="E90"/>
  <c r="Y90" s="1"/>
  <c r="X89"/>
  <c r="W89"/>
  <c r="V89"/>
  <c r="U89"/>
  <c r="T89"/>
  <c r="S89"/>
  <c r="R89"/>
  <c r="Q89"/>
  <c r="P89"/>
  <c r="O89"/>
  <c r="N89"/>
  <c r="M89"/>
  <c r="L89"/>
  <c r="K89"/>
  <c r="J89"/>
  <c r="I89"/>
  <c r="H89"/>
  <c r="G89"/>
  <c r="F89"/>
  <c r="E89"/>
  <c r="Y89" s="1"/>
  <c r="X88"/>
  <c r="W88"/>
  <c r="V88"/>
  <c r="U88"/>
  <c r="T88"/>
  <c r="S88"/>
  <c r="R88"/>
  <c r="Q88"/>
  <c r="P88"/>
  <c r="O88"/>
  <c r="N88"/>
  <c r="M88"/>
  <c r="L88"/>
  <c r="K88"/>
  <c r="J88"/>
  <c r="I88"/>
  <c r="H88"/>
  <c r="G88"/>
  <c r="F88"/>
  <c r="E88"/>
  <c r="Y88" s="1"/>
  <c r="X87"/>
  <c r="W87"/>
  <c r="V87"/>
  <c r="U87"/>
  <c r="T87"/>
  <c r="S87"/>
  <c r="R87"/>
  <c r="Q87"/>
  <c r="P87"/>
  <c r="O87"/>
  <c r="N87"/>
  <c r="M87"/>
  <c r="L87"/>
  <c r="K87"/>
  <c r="J87"/>
  <c r="I87"/>
  <c r="H87"/>
  <c r="G87"/>
  <c r="F87"/>
  <c r="E87"/>
  <c r="Y87" s="1"/>
  <c r="X86"/>
  <c r="W86"/>
  <c r="V86"/>
  <c r="U86"/>
  <c r="T86"/>
  <c r="S86"/>
  <c r="R86"/>
  <c r="Q86"/>
  <c r="P86"/>
  <c r="O86"/>
  <c r="N86"/>
  <c r="M86"/>
  <c r="L86"/>
  <c r="K86"/>
  <c r="J86"/>
  <c r="I86"/>
  <c r="H86"/>
  <c r="G86"/>
  <c r="F86"/>
  <c r="E86"/>
  <c r="Y86" s="1"/>
  <c r="X85"/>
  <c r="W85"/>
  <c r="V85"/>
  <c r="U85"/>
  <c r="T85"/>
  <c r="S85"/>
  <c r="R85"/>
  <c r="Q85"/>
  <c r="P85"/>
  <c r="O85"/>
  <c r="N85"/>
  <c r="M85"/>
  <c r="L85"/>
  <c r="K85"/>
  <c r="J85"/>
  <c r="I85"/>
  <c r="H85"/>
  <c r="G85"/>
  <c r="F85"/>
  <c r="E85"/>
  <c r="Y85" s="1"/>
  <c r="X84"/>
  <c r="W84"/>
  <c r="V84"/>
  <c r="U84"/>
  <c r="T84"/>
  <c r="S84"/>
  <c r="R84"/>
  <c r="Q84"/>
  <c r="P84"/>
  <c r="O84"/>
  <c r="N84"/>
  <c r="M84"/>
  <c r="L84"/>
  <c r="K84"/>
  <c r="J84"/>
  <c r="I84"/>
  <c r="H84"/>
  <c r="G84"/>
  <c r="F84"/>
  <c r="E84"/>
  <c r="Y84" s="1"/>
  <c r="X83"/>
  <c r="W83"/>
  <c r="W82" s="1"/>
  <c r="V83"/>
  <c r="U83"/>
  <c r="T83"/>
  <c r="S83"/>
  <c r="S82" s="1"/>
  <c r="R83"/>
  <c r="Q83"/>
  <c r="P83"/>
  <c r="O83"/>
  <c r="O82" s="1"/>
  <c r="N83"/>
  <c r="M83"/>
  <c r="L83"/>
  <c r="K83"/>
  <c r="K82" s="1"/>
  <c r="J83"/>
  <c r="I83"/>
  <c r="H83"/>
  <c r="G83"/>
  <c r="G82" s="1"/>
  <c r="F83"/>
  <c r="E83"/>
  <c r="Y83" s="1"/>
  <c r="Y82" s="1"/>
  <c r="X82"/>
  <c r="V82"/>
  <c r="U82"/>
  <c r="T82"/>
  <c r="R82"/>
  <c r="Q82"/>
  <c r="P82"/>
  <c r="N82"/>
  <c r="M82"/>
  <c r="L82"/>
  <c r="J82"/>
  <c r="I82"/>
  <c r="H82"/>
  <c r="F82"/>
  <c r="E82"/>
  <c r="X81"/>
  <c r="W81"/>
  <c r="V81"/>
  <c r="U81"/>
  <c r="T81"/>
  <c r="S81"/>
  <c r="R81"/>
  <c r="Q81"/>
  <c r="P81"/>
  <c r="O81"/>
  <c r="N81"/>
  <c r="M81"/>
  <c r="L81"/>
  <c r="K81"/>
  <c r="J81"/>
  <c r="I81"/>
  <c r="H81"/>
  <c r="G81"/>
  <c r="F81"/>
  <c r="E81"/>
  <c r="Y81" s="1"/>
  <c r="X80"/>
  <c r="W80"/>
  <c r="V80"/>
  <c r="U80"/>
  <c r="T80"/>
  <c r="S80"/>
  <c r="R80"/>
  <c r="Q80"/>
  <c r="P80"/>
  <c r="O80"/>
  <c r="N80"/>
  <c r="M80"/>
  <c r="L80"/>
  <c r="K80"/>
  <c r="J80"/>
  <c r="I80"/>
  <c r="H80"/>
  <c r="G80"/>
  <c r="F80"/>
  <c r="E80"/>
  <c r="Y80" s="1"/>
  <c r="X79"/>
  <c r="W79"/>
  <c r="V79"/>
  <c r="U79"/>
  <c r="T79"/>
  <c r="S79"/>
  <c r="R79"/>
  <c r="Q79"/>
  <c r="P79"/>
  <c r="O79"/>
  <c r="N79"/>
  <c r="M79"/>
  <c r="L79"/>
  <c r="K79"/>
  <c r="J79"/>
  <c r="I79"/>
  <c r="H79"/>
  <c r="G79"/>
  <c r="F79"/>
  <c r="E79"/>
  <c r="Y79" s="1"/>
  <c r="X78"/>
  <c r="W78"/>
  <c r="V78"/>
  <c r="U78"/>
  <c r="T78"/>
  <c r="S78"/>
  <c r="R78"/>
  <c r="Q78"/>
  <c r="P78"/>
  <c r="O78"/>
  <c r="N78"/>
  <c r="M78"/>
  <c r="L78"/>
  <c r="K78"/>
  <c r="J78"/>
  <c r="I78"/>
  <c r="H78"/>
  <c r="G78"/>
  <c r="F78"/>
  <c r="E78"/>
  <c r="Y78" s="1"/>
  <c r="X77"/>
  <c r="W77"/>
  <c r="V77"/>
  <c r="U77"/>
  <c r="T77"/>
  <c r="S77"/>
  <c r="R77"/>
  <c r="Q77"/>
  <c r="P77"/>
  <c r="O77"/>
  <c r="N77"/>
  <c r="M77"/>
  <c r="L77"/>
  <c r="K77"/>
  <c r="J77"/>
  <c r="I77"/>
  <c r="H77"/>
  <c r="G77"/>
  <c r="F77"/>
  <c r="E77"/>
  <c r="Y77" s="1"/>
  <c r="X76"/>
  <c r="W76"/>
  <c r="V76"/>
  <c r="U76"/>
  <c r="T76"/>
  <c r="S76"/>
  <c r="R76"/>
  <c r="Q76"/>
  <c r="P76"/>
  <c r="O76"/>
  <c r="N76"/>
  <c r="M76"/>
  <c r="L76"/>
  <c r="K76"/>
  <c r="J76"/>
  <c r="I76"/>
  <c r="H76"/>
  <c r="G76"/>
  <c r="F76"/>
  <c r="E76"/>
  <c r="Y76" s="1"/>
  <c r="X75"/>
  <c r="W75"/>
  <c r="V75"/>
  <c r="U75"/>
  <c r="T75"/>
  <c r="S75"/>
  <c r="R75"/>
  <c r="Q75"/>
  <c r="P75"/>
  <c r="O75"/>
  <c r="N75"/>
  <c r="M75"/>
  <c r="L75"/>
  <c r="K75"/>
  <c r="J75"/>
  <c r="I75"/>
  <c r="H75"/>
  <c r="G75"/>
  <c r="F75"/>
  <c r="E75"/>
  <c r="Y75" s="1"/>
  <c r="X74"/>
  <c r="W74"/>
  <c r="V74"/>
  <c r="U74"/>
  <c r="T74"/>
  <c r="S74"/>
  <c r="R74"/>
  <c r="Q74"/>
  <c r="P74"/>
  <c r="O74"/>
  <c r="N74"/>
  <c r="M74"/>
  <c r="L74"/>
  <c r="K74"/>
  <c r="J74"/>
  <c r="I74"/>
  <c r="H74"/>
  <c r="G74"/>
  <c r="F74"/>
  <c r="E74"/>
  <c r="Y74" s="1"/>
  <c r="Y73"/>
  <c r="X73"/>
  <c r="W73"/>
  <c r="V73"/>
  <c r="U73"/>
  <c r="T73"/>
  <c r="S73"/>
  <c r="R73"/>
  <c r="Q73"/>
  <c r="P73"/>
  <c r="O73"/>
  <c r="N73"/>
  <c r="M73"/>
  <c r="L73"/>
  <c r="K73"/>
  <c r="J73"/>
  <c r="I73"/>
  <c r="H73"/>
  <c r="G73"/>
  <c r="F73"/>
  <c r="E73"/>
  <c r="X72"/>
  <c r="W72"/>
  <c r="V72"/>
  <c r="U72"/>
  <c r="T72"/>
  <c r="S72"/>
  <c r="R72"/>
  <c r="Q72"/>
  <c r="P72"/>
  <c r="O72"/>
  <c r="N72"/>
  <c r="M72"/>
  <c r="L72"/>
  <c r="K72"/>
  <c r="J72"/>
  <c r="I72"/>
  <c r="H72"/>
  <c r="G72"/>
  <c r="F72"/>
  <c r="E72"/>
  <c r="Y72" s="1"/>
  <c r="X71"/>
  <c r="W71"/>
  <c r="V71"/>
  <c r="U71"/>
  <c r="T71"/>
  <c r="S71"/>
  <c r="R71"/>
  <c r="Q71"/>
  <c r="P71"/>
  <c r="O71"/>
  <c r="N71"/>
  <c r="M71"/>
  <c r="L71"/>
  <c r="K71"/>
  <c r="J71"/>
  <c r="I71"/>
  <c r="H71"/>
  <c r="G71"/>
  <c r="F71"/>
  <c r="E71"/>
  <c r="Y71" s="1"/>
  <c r="X70"/>
  <c r="W70"/>
  <c r="V70"/>
  <c r="U70"/>
  <c r="T70"/>
  <c r="S70"/>
  <c r="R70"/>
  <c r="Q70"/>
  <c r="P70"/>
  <c r="O70"/>
  <c r="N70"/>
  <c r="M70"/>
  <c r="L70"/>
  <c r="K70"/>
  <c r="J70"/>
  <c r="I70"/>
  <c r="H70"/>
  <c r="G70"/>
  <c r="F70"/>
  <c r="E70"/>
  <c r="Y70" s="1"/>
  <c r="X69"/>
  <c r="W69"/>
  <c r="V69"/>
  <c r="U69"/>
  <c r="T69"/>
  <c r="S69"/>
  <c r="R69"/>
  <c r="Q69"/>
  <c r="P69"/>
  <c r="O69"/>
  <c r="N69"/>
  <c r="M69"/>
  <c r="L69"/>
  <c r="K69"/>
  <c r="J69"/>
  <c r="I69"/>
  <c r="H69"/>
  <c r="G69"/>
  <c r="F69"/>
  <c r="E69"/>
  <c r="Y69" s="1"/>
  <c r="X68"/>
  <c r="W68"/>
  <c r="V68"/>
  <c r="U68"/>
  <c r="T68"/>
  <c r="S68"/>
  <c r="R68"/>
  <c r="Q68"/>
  <c r="P68"/>
  <c r="O68"/>
  <c r="N68"/>
  <c r="M68"/>
  <c r="L68"/>
  <c r="K68"/>
  <c r="J68"/>
  <c r="I68"/>
  <c r="H68"/>
  <c r="G68"/>
  <c r="F68"/>
  <c r="E68"/>
  <c r="Y68" s="1"/>
  <c r="X67"/>
  <c r="W67"/>
  <c r="V67"/>
  <c r="U67"/>
  <c r="T67"/>
  <c r="S67"/>
  <c r="R67"/>
  <c r="Q67"/>
  <c r="P67"/>
  <c r="O67"/>
  <c r="N67"/>
  <c r="M67"/>
  <c r="L67"/>
  <c r="K67"/>
  <c r="J67"/>
  <c r="I67"/>
  <c r="H67"/>
  <c r="G67"/>
  <c r="F67"/>
  <c r="E67"/>
  <c r="Y67" s="1"/>
  <c r="X66"/>
  <c r="W66"/>
  <c r="V66"/>
  <c r="U66"/>
  <c r="T66"/>
  <c r="S66"/>
  <c r="R66"/>
  <c r="Q66"/>
  <c r="P66"/>
  <c r="O66"/>
  <c r="N66"/>
  <c r="M66"/>
  <c r="L66"/>
  <c r="K66"/>
  <c r="J66"/>
  <c r="I66"/>
  <c r="H66"/>
  <c r="G66"/>
  <c r="F66"/>
  <c r="E66"/>
  <c r="Y66" s="1"/>
  <c r="X65"/>
  <c r="W65"/>
  <c r="V65"/>
  <c r="U65"/>
  <c r="T65"/>
  <c r="S65"/>
  <c r="R65"/>
  <c r="Q65"/>
  <c r="P65"/>
  <c r="O65"/>
  <c r="N65"/>
  <c r="M65"/>
  <c r="L65"/>
  <c r="K65"/>
  <c r="J65"/>
  <c r="I65"/>
  <c r="H65"/>
  <c r="G65"/>
  <c r="F65"/>
  <c r="E65"/>
  <c r="Y65" s="1"/>
  <c r="X64"/>
  <c r="W64"/>
  <c r="V64"/>
  <c r="U64"/>
  <c r="T64"/>
  <c r="S64"/>
  <c r="R64"/>
  <c r="Q64"/>
  <c r="P64"/>
  <c r="O64"/>
  <c r="N64"/>
  <c r="M64"/>
  <c r="L64"/>
  <c r="K64"/>
  <c r="J64"/>
  <c r="I64"/>
  <c r="H64"/>
  <c r="G64"/>
  <c r="F64"/>
  <c r="E64"/>
  <c r="Y64" s="1"/>
  <c r="X63"/>
  <c r="Y63" s="1"/>
  <c r="X62"/>
  <c r="W62"/>
  <c r="V62"/>
  <c r="U62"/>
  <c r="T62"/>
  <c r="S62"/>
  <c r="R62"/>
  <c r="Q62"/>
  <c r="P62"/>
  <c r="O62"/>
  <c r="N62"/>
  <c r="M62"/>
  <c r="L62"/>
  <c r="K62"/>
  <c r="J62"/>
  <c r="I62"/>
  <c r="H62"/>
  <c r="G62"/>
  <c r="F62"/>
  <c r="E62"/>
  <c r="Y62" s="1"/>
  <c r="X61"/>
  <c r="W61"/>
  <c r="V61"/>
  <c r="U61"/>
  <c r="T61"/>
  <c r="S61"/>
  <c r="R61"/>
  <c r="Q61"/>
  <c r="P61"/>
  <c r="O61"/>
  <c r="N61"/>
  <c r="M61"/>
  <c r="L61"/>
  <c r="K61"/>
  <c r="J61"/>
  <c r="I61"/>
  <c r="H61"/>
  <c r="G61"/>
  <c r="F61"/>
  <c r="E61"/>
  <c r="Y61" s="1"/>
  <c r="X60"/>
  <c r="W60"/>
  <c r="V60"/>
  <c r="U60"/>
  <c r="T60"/>
  <c r="S60"/>
  <c r="R60"/>
  <c r="Q60"/>
  <c r="P60"/>
  <c r="O60"/>
  <c r="N60"/>
  <c r="M60"/>
  <c r="L60"/>
  <c r="K60"/>
  <c r="J60"/>
  <c r="I60"/>
  <c r="H60"/>
  <c r="G60"/>
  <c r="F60"/>
  <c r="E60"/>
  <c r="Y60" s="1"/>
  <c r="X59"/>
  <c r="W59"/>
  <c r="V59"/>
  <c r="U59"/>
  <c r="T59"/>
  <c r="S59"/>
  <c r="R59"/>
  <c r="Q59"/>
  <c r="P59"/>
  <c r="O59"/>
  <c r="N59"/>
  <c r="M59"/>
  <c r="L59"/>
  <c r="K59"/>
  <c r="J59"/>
  <c r="I59"/>
  <c r="H59"/>
  <c r="G59"/>
  <c r="F59"/>
  <c r="E59"/>
  <c r="Y59" s="1"/>
  <c r="X58"/>
  <c r="W58"/>
  <c r="V58"/>
  <c r="U58"/>
  <c r="T58"/>
  <c r="S58"/>
  <c r="R58"/>
  <c r="Q58"/>
  <c r="P58"/>
  <c r="O58"/>
  <c r="N58"/>
  <c r="M58"/>
  <c r="L58"/>
  <c r="K58"/>
  <c r="J58"/>
  <c r="I58"/>
  <c r="H58"/>
  <c r="G58"/>
  <c r="F58"/>
  <c r="E58"/>
  <c r="Y58" s="1"/>
  <c r="X57"/>
  <c r="W57"/>
  <c r="V57"/>
  <c r="V55" s="1"/>
  <c r="U57"/>
  <c r="T57"/>
  <c r="S57"/>
  <c r="R57"/>
  <c r="R55" s="1"/>
  <c r="Q57"/>
  <c r="P57"/>
  <c r="O57"/>
  <c r="N57"/>
  <c r="N55" s="1"/>
  <c r="M57"/>
  <c r="L57"/>
  <c r="K57"/>
  <c r="J57"/>
  <c r="J55" s="1"/>
  <c r="I57"/>
  <c r="H57"/>
  <c r="G57"/>
  <c r="F57"/>
  <c r="F55" s="1"/>
  <c r="E57"/>
  <c r="Y57" s="1"/>
  <c r="X56"/>
  <c r="W56"/>
  <c r="W55" s="1"/>
  <c r="V56"/>
  <c r="U56"/>
  <c r="T56"/>
  <c r="S56"/>
  <c r="S55" s="1"/>
  <c r="R56"/>
  <c r="Q56"/>
  <c r="P56"/>
  <c r="O56"/>
  <c r="O55" s="1"/>
  <c r="N56"/>
  <c r="M56"/>
  <c r="L56"/>
  <c r="K56"/>
  <c r="K55" s="1"/>
  <c r="J56"/>
  <c r="I56"/>
  <c r="H56"/>
  <c r="G56"/>
  <c r="G55" s="1"/>
  <c r="F56"/>
  <c r="E56"/>
  <c r="Y56" s="1"/>
  <c r="X55"/>
  <c r="U55"/>
  <c r="T55"/>
  <c r="Q55"/>
  <c r="P55"/>
  <c r="M55"/>
  <c r="L55"/>
  <c r="I55"/>
  <c r="H55"/>
  <c r="E55"/>
  <c r="X54"/>
  <c r="W54"/>
  <c r="V54"/>
  <c r="U54"/>
  <c r="T54"/>
  <c r="S54"/>
  <c r="R54"/>
  <c r="Q54"/>
  <c r="P54"/>
  <c r="O54"/>
  <c r="N54"/>
  <c r="M54"/>
  <c r="L54"/>
  <c r="K54"/>
  <c r="J54"/>
  <c r="I54"/>
  <c r="H54"/>
  <c r="G54"/>
  <c r="F54"/>
  <c r="E54"/>
  <c r="Y54" s="1"/>
  <c r="X53"/>
  <c r="W53"/>
  <c r="V53"/>
  <c r="U53"/>
  <c r="T53"/>
  <c r="S53"/>
  <c r="R53"/>
  <c r="Q53"/>
  <c r="P53"/>
  <c r="O53"/>
  <c r="N53"/>
  <c r="M53"/>
  <c r="L53"/>
  <c r="K53"/>
  <c r="J53"/>
  <c r="I53"/>
  <c r="H53"/>
  <c r="G53"/>
  <c r="F53"/>
  <c r="E53"/>
  <c r="Y53" s="1"/>
  <c r="X52"/>
  <c r="W52"/>
  <c r="V52"/>
  <c r="U52"/>
  <c r="T52"/>
  <c r="S52"/>
  <c r="R52"/>
  <c r="Q52"/>
  <c r="P52"/>
  <c r="O52"/>
  <c r="N52"/>
  <c r="M52"/>
  <c r="L52"/>
  <c r="K52"/>
  <c r="J52"/>
  <c r="I52"/>
  <c r="H52"/>
  <c r="G52"/>
  <c r="F52"/>
  <c r="E52"/>
  <c r="Y52" s="1"/>
  <c r="X51"/>
  <c r="W51"/>
  <c r="V51"/>
  <c r="U51"/>
  <c r="T51"/>
  <c r="S51"/>
  <c r="R51"/>
  <c r="Q51"/>
  <c r="P51"/>
  <c r="O51"/>
  <c r="N51"/>
  <c r="M51"/>
  <c r="L51"/>
  <c r="K51"/>
  <c r="J51"/>
  <c r="I51"/>
  <c r="H51"/>
  <c r="G51"/>
  <c r="F51"/>
  <c r="E51"/>
  <c r="Y51" s="1"/>
  <c r="X50"/>
  <c r="W50"/>
  <c r="V50"/>
  <c r="U50"/>
  <c r="T50"/>
  <c r="S50"/>
  <c r="R50"/>
  <c r="Q50"/>
  <c r="P50"/>
  <c r="O50"/>
  <c r="N50"/>
  <c r="M50"/>
  <c r="L50"/>
  <c r="K50"/>
  <c r="J50"/>
  <c r="I50"/>
  <c r="H50"/>
  <c r="G50"/>
  <c r="F50"/>
  <c r="E50"/>
  <c r="Y50" s="1"/>
  <c r="X49"/>
  <c r="W49"/>
  <c r="V49"/>
  <c r="V47" s="1"/>
  <c r="U49"/>
  <c r="T49"/>
  <c r="S49"/>
  <c r="R49"/>
  <c r="R47" s="1"/>
  <c r="Q49"/>
  <c r="P49"/>
  <c r="O49"/>
  <c r="N49"/>
  <c r="N47" s="1"/>
  <c r="M49"/>
  <c r="L49"/>
  <c r="K49"/>
  <c r="J49"/>
  <c r="J47" s="1"/>
  <c r="I49"/>
  <c r="H49"/>
  <c r="G49"/>
  <c r="F49"/>
  <c r="F47" s="1"/>
  <c r="E49"/>
  <c r="Y49" s="1"/>
  <c r="X48"/>
  <c r="W48"/>
  <c r="W47" s="1"/>
  <c r="V48"/>
  <c r="U48"/>
  <c r="T48"/>
  <c r="S48"/>
  <c r="S47" s="1"/>
  <c r="R48"/>
  <c r="Q48"/>
  <c r="P48"/>
  <c r="O48"/>
  <c r="O47" s="1"/>
  <c r="N48"/>
  <c r="M48"/>
  <c r="L48"/>
  <c r="K48"/>
  <c r="K47" s="1"/>
  <c r="J48"/>
  <c r="I48"/>
  <c r="H48"/>
  <c r="G48"/>
  <c r="G47" s="1"/>
  <c r="F48"/>
  <c r="E48"/>
  <c r="Y48" s="1"/>
  <c r="Y47" s="1"/>
  <c r="X47"/>
  <c r="U47"/>
  <c r="T47"/>
  <c r="Q47"/>
  <c r="P47"/>
  <c r="M47"/>
  <c r="L47"/>
  <c r="I47"/>
  <c r="H47"/>
  <c r="E47"/>
  <c r="X46"/>
  <c r="W46"/>
  <c r="V46"/>
  <c r="U46"/>
  <c r="U44" s="1"/>
  <c r="T46"/>
  <c r="S46"/>
  <c r="R46"/>
  <c r="Q46"/>
  <c r="Q44" s="1"/>
  <c r="P46"/>
  <c r="O46"/>
  <c r="N46"/>
  <c r="M46"/>
  <c r="M44" s="1"/>
  <c r="L46"/>
  <c r="K46"/>
  <c r="J46"/>
  <c r="I46"/>
  <c r="I44" s="1"/>
  <c r="H46"/>
  <c r="G46"/>
  <c r="F46"/>
  <c r="E46"/>
  <c r="E44" s="1"/>
  <c r="X45"/>
  <c r="W45"/>
  <c r="V45"/>
  <c r="V44" s="1"/>
  <c r="U45"/>
  <c r="T45"/>
  <c r="S45"/>
  <c r="R45"/>
  <c r="R44" s="1"/>
  <c r="Q45"/>
  <c r="P45"/>
  <c r="O45"/>
  <c r="N45"/>
  <c r="N44" s="1"/>
  <c r="M45"/>
  <c r="L45"/>
  <c r="K45"/>
  <c r="J45"/>
  <c r="J44" s="1"/>
  <c r="I45"/>
  <c r="H45"/>
  <c r="G45"/>
  <c r="F45"/>
  <c r="F44" s="1"/>
  <c r="E45"/>
  <c r="Y45" s="1"/>
  <c r="X44"/>
  <c r="W44"/>
  <c r="T44"/>
  <c r="S44"/>
  <c r="P44"/>
  <c r="O44"/>
  <c r="L44"/>
  <c r="K44"/>
  <c r="H44"/>
  <c r="G44"/>
  <c r="X43"/>
  <c r="W43"/>
  <c r="V43"/>
  <c r="U43"/>
  <c r="T43"/>
  <c r="S43"/>
  <c r="R43"/>
  <c r="Q43"/>
  <c r="P43"/>
  <c r="O43"/>
  <c r="N43"/>
  <c r="M43"/>
  <c r="L43"/>
  <c r="K43"/>
  <c r="J43"/>
  <c r="I43"/>
  <c r="H43"/>
  <c r="G43"/>
  <c r="F43"/>
  <c r="E43"/>
  <c r="Y43" s="1"/>
  <c r="X42"/>
  <c r="W42"/>
  <c r="V42"/>
  <c r="U42"/>
  <c r="T42"/>
  <c r="S42"/>
  <c r="R42"/>
  <c r="Q42"/>
  <c r="P42"/>
  <c r="O42"/>
  <c r="N42"/>
  <c r="M42"/>
  <c r="L42"/>
  <c r="K42"/>
  <c r="J42"/>
  <c r="I42"/>
  <c r="H42"/>
  <c r="G42"/>
  <c r="F42"/>
  <c r="E42"/>
  <c r="Y42" s="1"/>
  <c r="X41"/>
  <c r="W41"/>
  <c r="V41"/>
  <c r="V39" s="1"/>
  <c r="U41"/>
  <c r="T41"/>
  <c r="S41"/>
  <c r="R41"/>
  <c r="R39" s="1"/>
  <c r="Q41"/>
  <c r="P41"/>
  <c r="O41"/>
  <c r="N41"/>
  <c r="N39" s="1"/>
  <c r="M41"/>
  <c r="L41"/>
  <c r="K41"/>
  <c r="J41"/>
  <c r="J39" s="1"/>
  <c r="I41"/>
  <c r="H41"/>
  <c r="G41"/>
  <c r="F41"/>
  <c r="F39" s="1"/>
  <c r="E41"/>
  <c r="Y41" s="1"/>
  <c r="X40"/>
  <c r="W40"/>
  <c r="W39" s="1"/>
  <c r="V40"/>
  <c r="U40"/>
  <c r="T40"/>
  <c r="S40"/>
  <c r="S39" s="1"/>
  <c r="R40"/>
  <c r="Q40"/>
  <c r="P40"/>
  <c r="O40"/>
  <c r="O39" s="1"/>
  <c r="N40"/>
  <c r="M40"/>
  <c r="L40"/>
  <c r="K40"/>
  <c r="K39" s="1"/>
  <c r="J40"/>
  <c r="I40"/>
  <c r="H40"/>
  <c r="G40"/>
  <c r="G39" s="1"/>
  <c r="F40"/>
  <c r="E40"/>
  <c r="Y40" s="1"/>
  <c r="Y39" s="1"/>
  <c r="X39"/>
  <c r="U39"/>
  <c r="T39"/>
  <c r="Q39"/>
  <c r="P39"/>
  <c r="M39"/>
  <c r="L39"/>
  <c r="I39"/>
  <c r="H39"/>
  <c r="E39"/>
  <c r="X38"/>
  <c r="W38"/>
  <c r="V38"/>
  <c r="U38"/>
  <c r="T38"/>
  <c r="S38"/>
  <c r="R38"/>
  <c r="Q38"/>
  <c r="P38"/>
  <c r="O38"/>
  <c r="N38"/>
  <c r="M38"/>
  <c r="L38"/>
  <c r="K38"/>
  <c r="J38"/>
  <c r="I38"/>
  <c r="H38"/>
  <c r="G38"/>
  <c r="F38"/>
  <c r="E38"/>
  <c r="Y38" s="1"/>
  <c r="X37"/>
  <c r="W37"/>
  <c r="V37"/>
  <c r="U37"/>
  <c r="T37"/>
  <c r="S37"/>
  <c r="R37"/>
  <c r="Q37"/>
  <c r="P37"/>
  <c r="O37"/>
  <c r="N37"/>
  <c r="M37"/>
  <c r="L37"/>
  <c r="K37"/>
  <c r="J37"/>
  <c r="I37"/>
  <c r="H37"/>
  <c r="G37"/>
  <c r="F37"/>
  <c r="E37"/>
  <c r="Y37" s="1"/>
  <c r="X36"/>
  <c r="W36"/>
  <c r="W34" s="1"/>
  <c r="V36"/>
  <c r="U36"/>
  <c r="T36"/>
  <c r="S36"/>
  <c r="S34" s="1"/>
  <c r="R36"/>
  <c r="Q36"/>
  <c r="P36"/>
  <c r="O36"/>
  <c r="O34" s="1"/>
  <c r="N36"/>
  <c r="M36"/>
  <c r="L36"/>
  <c r="K36"/>
  <c r="K34" s="1"/>
  <c r="J36"/>
  <c r="I36"/>
  <c r="H36"/>
  <c r="G36"/>
  <c r="G34" s="1"/>
  <c r="F36"/>
  <c r="E36"/>
  <c r="Y36" s="1"/>
  <c r="X35"/>
  <c r="X34" s="1"/>
  <c r="X26" s="1"/>
  <c r="X25" s="1"/>
  <c r="W35"/>
  <c r="V35"/>
  <c r="U35"/>
  <c r="T35"/>
  <c r="T34" s="1"/>
  <c r="T26" s="1"/>
  <c r="T25" s="1"/>
  <c r="S35"/>
  <c r="R35"/>
  <c r="Q35"/>
  <c r="P35"/>
  <c r="P34" s="1"/>
  <c r="P26" s="1"/>
  <c r="P25" s="1"/>
  <c r="O35"/>
  <c r="N35"/>
  <c r="M35"/>
  <c r="L35"/>
  <c r="L34" s="1"/>
  <c r="L26" s="1"/>
  <c r="L25" s="1"/>
  <c r="K35"/>
  <c r="J35"/>
  <c r="I35"/>
  <c r="H35"/>
  <c r="H34" s="1"/>
  <c r="H26" s="1"/>
  <c r="H25" s="1"/>
  <c r="G35"/>
  <c r="F35"/>
  <c r="E35"/>
  <c r="Y35" s="1"/>
  <c r="Y34" s="1"/>
  <c r="V34"/>
  <c r="U34"/>
  <c r="R34"/>
  <c r="Q34"/>
  <c r="N34"/>
  <c r="M34"/>
  <c r="J34"/>
  <c r="I34"/>
  <c r="F34"/>
  <c r="E34"/>
  <c r="X33"/>
  <c r="W33"/>
  <c r="V33"/>
  <c r="U33"/>
  <c r="T33"/>
  <c r="S33"/>
  <c r="R33"/>
  <c r="Q33"/>
  <c r="P33"/>
  <c r="O33"/>
  <c r="N33"/>
  <c r="M33"/>
  <c r="L33"/>
  <c r="K33"/>
  <c r="J33"/>
  <c r="I33"/>
  <c r="H33"/>
  <c r="G33"/>
  <c r="F33"/>
  <c r="E33"/>
  <c r="Y33" s="1"/>
  <c r="X32"/>
  <c r="W32"/>
  <c r="V32"/>
  <c r="U32"/>
  <c r="T32"/>
  <c r="S32"/>
  <c r="R32"/>
  <c r="Q32"/>
  <c r="P32"/>
  <c r="O32"/>
  <c r="N32"/>
  <c r="M32"/>
  <c r="L32"/>
  <c r="K32"/>
  <c r="J32"/>
  <c r="I32"/>
  <c r="H32"/>
  <c r="G32"/>
  <c r="F32"/>
  <c r="E32"/>
  <c r="Y32" s="1"/>
  <c r="X31"/>
  <c r="W31"/>
  <c r="V31"/>
  <c r="U31"/>
  <c r="T31"/>
  <c r="S31"/>
  <c r="R31"/>
  <c r="Q31"/>
  <c r="P31"/>
  <c r="O31"/>
  <c r="N31"/>
  <c r="M31"/>
  <c r="L31"/>
  <c r="K31"/>
  <c r="J31"/>
  <c r="I31"/>
  <c r="H31"/>
  <c r="G31"/>
  <c r="F31"/>
  <c r="E31"/>
  <c r="Y31" s="1"/>
  <c r="X30"/>
  <c r="W30"/>
  <c r="V30"/>
  <c r="U30"/>
  <c r="T30"/>
  <c r="S30"/>
  <c r="R30"/>
  <c r="Q30"/>
  <c r="O30"/>
  <c r="N30"/>
  <c r="M30"/>
  <c r="L30"/>
  <c r="K30"/>
  <c r="J30"/>
  <c r="I30"/>
  <c r="H30"/>
  <c r="G30"/>
  <c r="F30"/>
  <c r="E30"/>
  <c r="Y30" s="1"/>
  <c r="X29"/>
  <c r="W29"/>
  <c r="V29"/>
  <c r="U29"/>
  <c r="U27" s="1"/>
  <c r="U26" s="1"/>
  <c r="U25" s="1"/>
  <c r="T29"/>
  <c r="S29"/>
  <c r="R29"/>
  <c r="Q29"/>
  <c r="Q27" s="1"/>
  <c r="Q26" s="1"/>
  <c r="Q25" s="1"/>
  <c r="P29"/>
  <c r="O29"/>
  <c r="N29"/>
  <c r="M29"/>
  <c r="M27" s="1"/>
  <c r="M26" s="1"/>
  <c r="M25" s="1"/>
  <c r="L29"/>
  <c r="K29"/>
  <c r="J29"/>
  <c r="I29"/>
  <c r="I27" s="1"/>
  <c r="I26" s="1"/>
  <c r="I25" s="1"/>
  <c r="H29"/>
  <c r="G29"/>
  <c r="F29"/>
  <c r="E29"/>
  <c r="E27" s="1"/>
  <c r="E26" s="1"/>
  <c r="E25" s="1"/>
  <c r="X28"/>
  <c r="W28"/>
  <c r="V28"/>
  <c r="V27" s="1"/>
  <c r="U28"/>
  <c r="T28"/>
  <c r="S28"/>
  <c r="R28"/>
  <c r="R27" s="1"/>
  <c r="Q28"/>
  <c r="P28"/>
  <c r="O28"/>
  <c r="N28"/>
  <c r="N27" s="1"/>
  <c r="M28"/>
  <c r="L28"/>
  <c r="K28"/>
  <c r="J28"/>
  <c r="J27" s="1"/>
  <c r="I28"/>
  <c r="H28"/>
  <c r="G28"/>
  <c r="F28"/>
  <c r="F27" s="1"/>
  <c r="F26" s="1"/>
  <c r="F25" s="1"/>
  <c r="E28"/>
  <c r="Y28" s="1"/>
  <c r="X27"/>
  <c r="W27"/>
  <c r="W26" s="1"/>
  <c r="W25" s="1"/>
  <c r="T27"/>
  <c r="S27"/>
  <c r="S26" s="1"/>
  <c r="S25" s="1"/>
  <c r="P27"/>
  <c r="O27"/>
  <c r="O26" s="1"/>
  <c r="O25" s="1"/>
  <c r="L27"/>
  <c r="K27"/>
  <c r="K26" s="1"/>
  <c r="K25" s="1"/>
  <c r="H27"/>
  <c r="G27"/>
  <c r="G26" s="1"/>
  <c r="G25" s="1"/>
  <c r="Y24"/>
  <c r="Y23"/>
  <c r="AB23" s="1"/>
  <c r="O23"/>
  <c r="L23"/>
  <c r="F23"/>
  <c r="Y22"/>
  <c r="Y21"/>
  <c r="AG20"/>
  <c r="AA20"/>
  <c r="V9"/>
  <c r="R9"/>
  <c r="F9"/>
  <c r="Y19"/>
  <c r="Y18"/>
  <c r="S9"/>
  <c r="O9"/>
  <c r="G9"/>
  <c r="Y17"/>
  <c r="J16"/>
  <c r="Y16" s="1"/>
  <c r="AB16" s="1"/>
  <c r="Y15"/>
  <c r="M14"/>
  <c r="Y14" s="1"/>
  <c r="AB14" s="1"/>
  <c r="Y13"/>
  <c r="Y12"/>
  <c r="AB12" s="1"/>
  <c r="N12"/>
  <c r="M12"/>
  <c r="Y11"/>
  <c r="W10"/>
  <c r="W9" s="1"/>
  <c r="V10"/>
  <c r="R10"/>
  <c r="P10"/>
  <c r="N10"/>
  <c r="N9" s="1"/>
  <c r="M10"/>
  <c r="L10"/>
  <c r="K10"/>
  <c r="K9" s="1"/>
  <c r="J10"/>
  <c r="Y10" s="1"/>
  <c r="I10"/>
  <c r="H10"/>
  <c r="X9"/>
  <c r="U9"/>
  <c r="T9"/>
  <c r="Q9"/>
  <c r="P9"/>
  <c r="M9"/>
  <c r="L9"/>
  <c r="I9"/>
  <c r="H9"/>
  <c r="E9"/>
  <c r="K5"/>
  <c r="K102" s="1"/>
  <c r="Y7"/>
  <c r="AB7" s="1"/>
  <c r="Y6"/>
  <c r="X5"/>
  <c r="X102" s="1"/>
  <c r="U5"/>
  <c r="U102" s="1"/>
  <c r="T5"/>
  <c r="T102" s="1"/>
  <c r="Q5"/>
  <c r="Q102" s="1"/>
  <c r="P5"/>
  <c r="P102" s="1"/>
  <c r="M5"/>
  <c r="M102" s="1"/>
  <c r="L5"/>
  <c r="L102" s="1"/>
  <c r="I5"/>
  <c r="I102" s="1"/>
  <c r="H5"/>
  <c r="H102" s="1"/>
  <c r="E5"/>
  <c r="Y4"/>
  <c r="F4"/>
  <c r="AA2"/>
  <c r="Y2"/>
  <c r="X2"/>
  <c r="W2"/>
  <c r="V2"/>
  <c r="U2"/>
  <c r="T2"/>
  <c r="S2"/>
  <c r="R2"/>
  <c r="Q2"/>
  <c r="P2"/>
  <c r="O2"/>
  <c r="N2"/>
  <c r="M2"/>
  <c r="L2"/>
  <c r="K2"/>
  <c r="J2"/>
  <c r="I2"/>
  <c r="H2"/>
  <c r="G2"/>
  <c r="F2"/>
  <c r="G235" l="1"/>
  <c r="K235"/>
  <c r="O235"/>
  <c r="S235"/>
  <c r="G5"/>
  <c r="G102" s="1"/>
  <c r="O5"/>
  <c r="O102" s="1"/>
  <c r="S5"/>
  <c r="S102" s="1"/>
  <c r="W5"/>
  <c r="W102" s="1"/>
  <c r="F235"/>
  <c r="W235"/>
  <c r="Y100"/>
  <c r="AB233"/>
  <c r="Y103"/>
  <c r="AB104"/>
  <c r="E235"/>
  <c r="I235"/>
  <c r="M235"/>
  <c r="Q235"/>
  <c r="U235"/>
  <c r="Y113"/>
  <c r="AB6"/>
  <c r="F5"/>
  <c r="F102" s="1"/>
  <c r="F108" s="1"/>
  <c r="G4" s="1"/>
  <c r="G108" s="1"/>
  <c r="H4" s="1"/>
  <c r="H108" s="1"/>
  <c r="I4" s="1"/>
  <c r="I108" s="1"/>
  <c r="J4" s="1"/>
  <c r="N5"/>
  <c r="R5"/>
  <c r="V5"/>
  <c r="J26"/>
  <c r="J25" s="1"/>
  <c r="J235" s="1"/>
  <c r="N26"/>
  <c r="N25" s="1"/>
  <c r="N235" s="1"/>
  <c r="R26"/>
  <c r="R25" s="1"/>
  <c r="R235" s="1"/>
  <c r="V26"/>
  <c r="V25" s="1"/>
  <c r="V235" s="1"/>
  <c r="Y55"/>
  <c r="H235"/>
  <c r="L235"/>
  <c r="P235"/>
  <c r="T235"/>
  <c r="Y180"/>
  <c r="Y179" s="1"/>
  <c r="Y20"/>
  <c r="AB20" s="1"/>
  <c r="Y29"/>
  <c r="Y27" s="1"/>
  <c r="Y26" s="1"/>
  <c r="Y25" s="1"/>
  <c r="Y46"/>
  <c r="Y44" s="1"/>
  <c r="Y201"/>
  <c r="X232"/>
  <c r="X224" s="1"/>
  <c r="X110" s="1"/>
  <c r="X235" s="1"/>
  <c r="Y8"/>
  <c r="AB8" s="1"/>
  <c r="AB121"/>
  <c r="Y130"/>
  <c r="Y140"/>
  <c r="J9"/>
  <c r="J5" s="1"/>
  <c r="J102" s="1"/>
  <c r="Y125"/>
  <c r="J108" l="1"/>
  <c r="K4" s="1"/>
  <c r="K108" s="1"/>
  <c r="L4" s="1"/>
  <c r="L108" s="1"/>
  <c r="M4" s="1"/>
  <c r="M108" s="1"/>
  <c r="N4" s="1"/>
  <c r="N108" s="1"/>
  <c r="O4" s="1"/>
  <c r="O108" s="1"/>
  <c r="P4" s="1"/>
  <c r="P108" s="1"/>
  <c r="N102"/>
  <c r="Y178"/>
  <c r="R102"/>
  <c r="V102"/>
  <c r="Y9"/>
  <c r="Y5" s="1"/>
  <c r="Y102" s="1"/>
  <c r="Y108" s="1"/>
  <c r="Y112"/>
  <c r="Y111" s="1"/>
  <c r="Y110" s="1"/>
  <c r="P109" l="1"/>
  <c r="Q4"/>
  <c r="Q108" s="1"/>
  <c r="R4" s="1"/>
  <c r="R108" s="1"/>
  <c r="S4" s="1"/>
  <c r="S108" s="1"/>
  <c r="T4" s="1"/>
  <c r="T108" s="1"/>
  <c r="U4" s="1"/>
  <c r="U108" s="1"/>
  <c r="V4" s="1"/>
  <c r="V108" s="1"/>
  <c r="W4" s="1"/>
  <c r="W108" s="1"/>
  <c r="X4" s="1"/>
  <c r="X108" s="1"/>
</calcChain>
</file>

<file path=xl/comments1.xml><?xml version="1.0" encoding="utf-8"?>
<comments xmlns="http://schemas.openxmlformats.org/spreadsheetml/2006/main">
  <authors>
    <author>Sptrans</author>
  </authors>
  <commentList>
    <comment ref="J12" authorId="0">
      <text>
        <r>
          <rPr>
            <b/>
            <sz val="9"/>
            <color indexed="81"/>
            <rFont val="Tahoma"/>
            <family val="2"/>
          </rPr>
          <t>DEVOLUÇÃO DE MULTAS DA QUALITY
2017/0281-01-00
VERIFICAR LANÇAMENTO EM CODIGO DE RECEITA????????????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V16" authorId="0">
      <text>
        <r>
          <rPr>
            <b/>
            <sz val="9"/>
            <color indexed="81"/>
            <rFont val="Tahoma"/>
            <family val="2"/>
          </rPr>
          <t>DEPOSITO JUDICIAL PENHORA VIA NORTE EM 07/02/17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M114" authorId="0">
      <text>
        <r>
          <rPr>
            <b/>
            <sz val="11"/>
            <color indexed="81"/>
            <rFont val="Arial"/>
            <family val="2"/>
          </rPr>
          <t>DIFERENÇAS VERIFICADAS NA CEF - VIDE ANEXOS NOS BORDEROS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M118" authorId="0">
      <text>
        <r>
          <rPr>
            <b/>
            <sz val="11"/>
            <color indexed="81"/>
            <rFont val="Arial"/>
            <family val="2"/>
          </rPr>
          <t>DIFERENÇAS VERIFICADAS NA CEF - VIDE ANEXOS NOS BORDEROS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26" authorId="0">
      <text>
        <r>
          <rPr>
            <b/>
            <sz val="9"/>
            <color indexed="81"/>
            <rFont val="Tahoma"/>
            <family val="2"/>
          </rPr>
          <t xml:space="preserve">estorno fgts creditado indevidamente em 07/11/16 - vide documentação no movimento de caixa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M155" authorId="0">
      <text>
        <r>
          <rPr>
            <b/>
            <sz val="11"/>
            <color indexed="81"/>
            <rFont val="Arial"/>
            <family val="2"/>
          </rPr>
          <t>DIFERENÇAS VERIFICADAS NA CEF - VIDE ANEXOS NOS BORDEROS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N155" authorId="0">
      <text>
        <r>
          <rPr>
            <b/>
            <sz val="11"/>
            <color indexed="81"/>
            <rFont val="Arial"/>
            <family val="2"/>
          </rPr>
          <t>DIFERENÇAS VERIFICADAS NA CEF - VIDE ANEXOS NOS BORDEROS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O155" authorId="0">
      <text>
        <r>
          <rPr>
            <b/>
            <sz val="11"/>
            <color indexed="81"/>
            <rFont val="Arial"/>
            <family val="2"/>
          </rPr>
          <t>DIFERENÇAS VERIFICADAS NA CEF - VIDE ANEXOS NOS BORDEROS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59" authorId="0">
      <text>
        <r>
          <rPr>
            <b/>
            <sz val="9"/>
            <color indexed="81"/>
            <rFont val="Tahoma"/>
            <family val="2"/>
          </rPr>
          <t>DEVOLUÇÃO DE MULTAS DA QUALITY
2017/0281-01-00
VERIFICAR LANÇAMENTO EM CODIGO DE RECEITA????????????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M181" authorId="0">
      <text>
        <r>
          <rPr>
            <b/>
            <sz val="11"/>
            <color indexed="81"/>
            <rFont val="Arial"/>
            <family val="2"/>
          </rPr>
          <t>DIFERENÇAS VERIFICADAS NA CEF - VIDE ANEXOS NOS BORDEROS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M185" authorId="0">
      <text>
        <r>
          <rPr>
            <b/>
            <sz val="11"/>
            <color indexed="81"/>
            <rFont val="Arial"/>
            <family val="2"/>
          </rPr>
          <t>DIFERENÇAS VERIFICADAS NA CEF - VIDE ANEXOS NOS BORDEROS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<sst xmlns="http://schemas.openxmlformats.org/spreadsheetml/2006/main" count="688" uniqueCount="229">
  <si>
    <t>Sintetico</t>
  </si>
  <si>
    <t xml:space="preserve">FLUXO DE CAIXA GESTÃO TRANSPORTE </t>
  </si>
  <si>
    <t>Saldo</t>
  </si>
  <si>
    <t>TOTAL</t>
  </si>
  <si>
    <t>ORÇAMENTO</t>
  </si>
  <si>
    <t xml:space="preserve">DIFERENÇA FLUXO </t>
  </si>
  <si>
    <t>FOLHA</t>
  </si>
  <si>
    <t>x</t>
  </si>
  <si>
    <t>Outubro</t>
  </si>
  <si>
    <t>x ORÇAMENTO</t>
  </si>
  <si>
    <t>G</t>
  </si>
  <si>
    <t>SALDO INICIAL</t>
  </si>
  <si>
    <t>A</t>
  </si>
  <si>
    <t>ENTRADAS ( RECEITAS)</t>
  </si>
  <si>
    <t>Instalação Garagem Frota Publica</t>
  </si>
  <si>
    <t>Taxa de Gerenciamento VT</t>
  </si>
  <si>
    <t>Bilhete Único sem Cadastro</t>
  </si>
  <si>
    <t>RECEITAS DIVERSAS E FINANCEIRAS</t>
  </si>
  <si>
    <t>X</t>
  </si>
  <si>
    <t>RECEITAS DESCONHECIDAS</t>
  </si>
  <si>
    <t>-</t>
  </si>
  <si>
    <t>RECEITAS  FINANCEIRAS</t>
  </si>
  <si>
    <t>OUTRAS RECEITAS</t>
  </si>
  <si>
    <t>LEILÕES</t>
  </si>
  <si>
    <t>ALVARÁS</t>
  </si>
  <si>
    <t>REEMB. DESP. GAR+PATIO+TERM. (GATUSA)</t>
  </si>
  <si>
    <t>ACORDOS/PROC. JUDICIAIS</t>
  </si>
  <si>
    <t>GERENC.OPER.SERV. ESP. (L.Turisticas/USP/PAESE)</t>
  </si>
  <si>
    <t>AUTO INTERDIÇÃO</t>
  </si>
  <si>
    <t>CAUÇÃO DE CONTRATOS</t>
  </si>
  <si>
    <t>824 (-) 738</t>
  </si>
  <si>
    <t>GER.OPER. BIL.ELETR.(SBE-METRÔ/CPTM/VIA 4)</t>
  </si>
  <si>
    <t>ALUGUEIS DIVERSOS (GATUSA)</t>
  </si>
  <si>
    <t>EMPREGADOS A DISPOSIÇÃO</t>
  </si>
  <si>
    <t>CARTEIRA  ESCOLAR (UMES/UNE)</t>
  </si>
  <si>
    <t>REEMBOLSO TELEFONE</t>
  </si>
  <si>
    <t>B</t>
  </si>
  <si>
    <t>TOTAL DE SAÍDAS (B1+B2+B3+B4+B5)</t>
  </si>
  <si>
    <t>B1</t>
  </si>
  <si>
    <t xml:space="preserve">PESSOAL  </t>
  </si>
  <si>
    <t>B11</t>
  </si>
  <si>
    <t>FOLHA DE PAGAMENTO</t>
  </si>
  <si>
    <t>11/12</t>
  </si>
  <si>
    <t>001</t>
  </si>
  <si>
    <t>FOLHA PAGAMENTO HORAS EXTRAS</t>
  </si>
  <si>
    <t>002</t>
  </si>
  <si>
    <t>FÉRIAS</t>
  </si>
  <si>
    <t>003</t>
  </si>
  <si>
    <t>CONSIGNAÇÃO FOLHA</t>
  </si>
  <si>
    <t>006</t>
  </si>
  <si>
    <t>13º SALÁRIO</t>
  </si>
  <si>
    <t>018</t>
  </si>
  <si>
    <t>PROGRAMA  PARTICIPAÇÃO RESULTADO</t>
  </si>
  <si>
    <t>022</t>
  </si>
  <si>
    <t>ESTAGIÁRIO MENOR APRENDIZ</t>
  </si>
  <si>
    <t>B12</t>
  </si>
  <si>
    <t>BENEFÍCIOS</t>
  </si>
  <si>
    <t>004</t>
  </si>
  <si>
    <t>VALE REFEIÇÃO ALIMENTAÇÃO</t>
  </si>
  <si>
    <t>005</t>
  </si>
  <si>
    <t>PLANO SÁUDE  DESPESAS MÉDICAS</t>
  </si>
  <si>
    <t>014</t>
  </si>
  <si>
    <t>INSTRUÇÃO E TREINAMENTO</t>
  </si>
  <si>
    <t>015</t>
  </si>
  <si>
    <t>SEGURO VIDA</t>
  </si>
  <si>
    <t>B13</t>
  </si>
  <si>
    <t>ENCARGOS SOCIAIS</t>
  </si>
  <si>
    <t>011</t>
  </si>
  <si>
    <t>FGTS</t>
  </si>
  <si>
    <t>012</t>
  </si>
  <si>
    <t>IMPOSTO RENDA FOLHA</t>
  </si>
  <si>
    <t>020</t>
  </si>
  <si>
    <t>INSS -  EMPREGADO</t>
  </si>
  <si>
    <t>021</t>
  </si>
  <si>
    <t>INSS - EMPREGADOR</t>
  </si>
  <si>
    <t>B14</t>
  </si>
  <si>
    <t>OUTROS PESSOAL</t>
  </si>
  <si>
    <t>007</t>
  </si>
  <si>
    <t>JUSTIÇA DO TRABALHO</t>
  </si>
  <si>
    <t>008</t>
  </si>
  <si>
    <t>RESCISÕES CONTRATUAIS</t>
  </si>
  <si>
    <t>B2</t>
  </si>
  <si>
    <t>FORNECEDORES</t>
  </si>
  <si>
    <t>101</t>
  </si>
  <si>
    <t>MATERIAL DE ALMOXARIFADO</t>
  </si>
  <si>
    <t>104</t>
  </si>
  <si>
    <t>MATERIAL DE ESCRITORIO</t>
  </si>
  <si>
    <t>105</t>
  </si>
  <si>
    <t>MATERIAL PARA MANUTENÇÃO PREDIAL</t>
  </si>
  <si>
    <t>106</t>
  </si>
  <si>
    <t>MATERIAL PARA MANUTENÇÃO EQUIP. E VEÍCULOS</t>
  </si>
  <si>
    <t>107</t>
  </si>
  <si>
    <t>MATERIAL PARA COPA/HIGIENE/LIMPEZA</t>
  </si>
  <si>
    <t>109</t>
  </si>
  <si>
    <t>AMBULATÓRIO</t>
  </si>
  <si>
    <t>102</t>
  </si>
  <si>
    <t>COMBUSTIVEIS</t>
  </si>
  <si>
    <t>B3</t>
  </si>
  <si>
    <t>DESPESAS GERAIS</t>
  </si>
  <si>
    <t>201</t>
  </si>
  <si>
    <t>ALUGUEL DE IMÓVEIS /CONDOMÍNIOS</t>
  </si>
  <si>
    <t>202</t>
  </si>
  <si>
    <t>LOCAÇÃO EQUIPAMENTOS</t>
  </si>
  <si>
    <t>11/12/14</t>
  </si>
  <si>
    <t>203</t>
  </si>
  <si>
    <t>CONSUMO   ÁGUA</t>
  </si>
  <si>
    <t>204</t>
  </si>
  <si>
    <t>CONSUMO ENERGIA ELETRICA</t>
  </si>
  <si>
    <t>205</t>
  </si>
  <si>
    <t>CONSUMO TELEFONE</t>
  </si>
  <si>
    <t>207</t>
  </si>
  <si>
    <t>TAXAS    MULTAS  IMPOSTOS</t>
  </si>
  <si>
    <t>208</t>
  </si>
  <si>
    <t>INDENIZAÇÃO TERCEIROS</t>
  </si>
  <si>
    <t>ACORDO     TADF</t>
  </si>
  <si>
    <t>209</t>
  </si>
  <si>
    <t>SEGUROS</t>
  </si>
  <si>
    <t>210</t>
  </si>
  <si>
    <t>PUBLICIDADE ANUNCIOS</t>
  </si>
  <si>
    <t>211</t>
  </si>
  <si>
    <t>DEVOLUÇÃO DE CAUÇÃO</t>
  </si>
  <si>
    <t>216 (-) 809</t>
  </si>
  <si>
    <t>VIAGENS ESTADIAS</t>
  </si>
  <si>
    <t>217</t>
  </si>
  <si>
    <t>OUTRAS DESPESAS</t>
  </si>
  <si>
    <t>218 (-) 808</t>
  </si>
  <si>
    <t>FUNDO FIXO / FUNDO ROTATIVO</t>
  </si>
  <si>
    <t>219 (-) 819</t>
  </si>
  <si>
    <t>PENHORA JUDICIAL</t>
  </si>
  <si>
    <t>220 (-) 820</t>
  </si>
  <si>
    <t>BLOQUEIO JUDICIAL</t>
  </si>
  <si>
    <t>221</t>
  </si>
  <si>
    <t>PAGTO PROCESSO/DEC. JUDICIAL</t>
  </si>
  <si>
    <t>11</t>
  </si>
  <si>
    <t>222</t>
  </si>
  <si>
    <t>TX. RESÍDUOS SOLIDOS/ELEVADORES</t>
  </si>
  <si>
    <t>11/22</t>
  </si>
  <si>
    <t>223</t>
  </si>
  <si>
    <t>TAXAS      MULTAS  VEÍCULOS</t>
  </si>
  <si>
    <t>224</t>
  </si>
  <si>
    <t>TRIBUTOS FEDERAIS - COFINS</t>
  </si>
  <si>
    <t>225</t>
  </si>
  <si>
    <t>TRIBUTOS FEDERAIS - PASEP</t>
  </si>
  <si>
    <t>226</t>
  </si>
  <si>
    <t>TRIBUTOS FEDERAIS - ACORDOS/PARCELAMENTOS</t>
  </si>
  <si>
    <t>227</t>
  </si>
  <si>
    <t>TRIBUTOS FEDERAIS - IMPOSTO RENDA</t>
  </si>
  <si>
    <t>228</t>
  </si>
  <si>
    <t>TRIBUTOS FEDERAIS - CSLL</t>
  </si>
  <si>
    <t>229</t>
  </si>
  <si>
    <t>TRIBUTOS FEDERAIS - PAR.ADESÃO 2014</t>
  </si>
  <si>
    <t>230</t>
  </si>
  <si>
    <t>TARIFA BANCÁRIA</t>
  </si>
  <si>
    <t>B4</t>
  </si>
  <si>
    <t>TERCEIRIZAÇÕES</t>
  </si>
  <si>
    <t>301</t>
  </si>
  <si>
    <t>INFORMÁTICA</t>
  </si>
  <si>
    <t>302</t>
  </si>
  <si>
    <t>VIGILANCIA / SEGURANÇA</t>
  </si>
  <si>
    <t>303</t>
  </si>
  <si>
    <t>MANUTENÇÃO PREDIAL INSTALAÇÕES</t>
  </si>
  <si>
    <t>306</t>
  </si>
  <si>
    <t>PESQUISA/ ASSES./ CONSULT./EST/PROJETOS</t>
  </si>
  <si>
    <t>307</t>
  </si>
  <si>
    <t>INTERCAMBIO TÉCNICO</t>
  </si>
  <si>
    <t>308</t>
  </si>
  <si>
    <t>SERVIÇOS GRÁFICA</t>
  </si>
  <si>
    <t>309</t>
  </si>
  <si>
    <t>OUTRAS TERCEIRIZAÇÕES</t>
  </si>
  <si>
    <t>11/14</t>
  </si>
  <si>
    <t>313</t>
  </si>
  <si>
    <t>CORREIOS/TRANSPORTES DOCUMENTOS</t>
  </si>
  <si>
    <t>322</t>
  </si>
  <si>
    <t>CONSERVAÇÃO/ LIMPEZA PREDIAL</t>
  </si>
  <si>
    <t>323</t>
  </si>
  <si>
    <t>MANUTENÇÃO EQUIPAMENTOS/VEÍCULOS</t>
  </si>
  <si>
    <t>304</t>
  </si>
  <si>
    <t>CONFECÇÃO PASSES/ CARTÕES</t>
  </si>
  <si>
    <t>305</t>
  </si>
  <si>
    <t>SISTEMA MONITORAMENTO    (SIM)</t>
  </si>
  <si>
    <t>315</t>
  </si>
  <si>
    <t>SISTEMA COBRANÇA AUTOMATICA</t>
  </si>
  <si>
    <t>B5</t>
  </si>
  <si>
    <t>INVESTIMENTOS</t>
  </si>
  <si>
    <t>22</t>
  </si>
  <si>
    <t>402</t>
  </si>
  <si>
    <t>INVESTIMENTO INFORMÁTICA</t>
  </si>
  <si>
    <t>403</t>
  </si>
  <si>
    <t>INVESTIMENTOS DIVERSOS</t>
  </si>
  <si>
    <t>404</t>
  </si>
  <si>
    <t>OBRAS</t>
  </si>
  <si>
    <t>B6</t>
  </si>
  <si>
    <t>ENCARGOS FINANCEIROS - DMLP</t>
  </si>
  <si>
    <t>409</t>
  </si>
  <si>
    <t>INVEST. FINANCIAMENTO - BANCO SUIÇO</t>
  </si>
  <si>
    <t>C</t>
  </si>
  <si>
    <t>SUPERAVIT/(DEFICIT) (A-B)</t>
  </si>
  <si>
    <t>D</t>
  </si>
  <si>
    <t xml:space="preserve">R E C U R S O S </t>
  </si>
  <si>
    <t>901</t>
  </si>
  <si>
    <t>OPERAÇÃO MANUT. SIST. TRANSPORTE</t>
  </si>
  <si>
    <t>903</t>
  </si>
  <si>
    <t>AUMENTO CAPITAL</t>
  </si>
  <si>
    <t>E 836 - 212</t>
  </si>
  <si>
    <t>EMPRÉSTIMOS ENTRECONTAS</t>
  </si>
  <si>
    <t>F 837 - 213</t>
  </si>
  <si>
    <t>AJUSTE ENTRECONTAS</t>
  </si>
  <si>
    <t>H</t>
  </si>
  <si>
    <t>SALDO FINAL (G)+(C)+(D)+(E)+(F)</t>
  </si>
  <si>
    <t>ABERTURA     POR      PROGRAMA</t>
  </si>
  <si>
    <t>TOTAL DE SAÍDAS (PROG-11/12/14/22)</t>
  </si>
  <si>
    <t>PROG 11 - GESTÃO</t>
  </si>
  <si>
    <t>B11 - FOLHA DE PAGAMENTO</t>
  </si>
  <si>
    <t>B12 - BENEFÍCIOS</t>
  </si>
  <si>
    <t>B13 - ENCARGOS SOCIAIS</t>
  </si>
  <si>
    <t>B14 - OUTROS PESSOAL</t>
  </si>
  <si>
    <t xml:space="preserve">B2 </t>
  </si>
  <si>
    <t>ACORDO TADF( Prodam/Spurbanismo/CET)</t>
  </si>
  <si>
    <t>TAXAS/MULTAS/IMPOSTOS DE IMOVEIS</t>
  </si>
  <si>
    <t>13 (-) 7</t>
  </si>
  <si>
    <t>PROG 12 - GESTÃO SISTEMA</t>
  </si>
  <si>
    <t>12</t>
  </si>
  <si>
    <t>PROG 14 - REPASSE - SMT</t>
  </si>
  <si>
    <t>14</t>
  </si>
  <si>
    <t>CORREIOS /TRANSPORTE DOCUMENTOS</t>
  </si>
  <si>
    <t>PROG 22 - INVESTIMENTOS</t>
  </si>
  <si>
    <t>CONFERENCIA ABERTURAS</t>
  </si>
  <si>
    <t>Conciliação Movimento</t>
  </si>
  <si>
    <t>REAL</t>
  </si>
</sst>
</file>

<file path=xl/styles.xml><?xml version="1.0" encoding="utf-8"?>
<styleSheet xmlns="http://schemas.openxmlformats.org/spreadsheetml/2006/main">
  <numFmts count="9">
    <numFmt numFmtId="43" formatCode="_-* #,##0.00_-;\-* #,##0.00_-;_-* &quot;-&quot;??_-;_-@_-"/>
    <numFmt numFmtId="164" formatCode="_(* #,##0.00_);[Red]_(* \(#,##0.00\);_(* &quot;-&quot;??_);_(@_)"/>
    <numFmt numFmtId="165" formatCode="[$-416]mmmm\-yyyy;@"/>
    <numFmt numFmtId="166" formatCode="mmmm\-yy"/>
    <numFmt numFmtId="167" formatCode="[$-416]mmmm\-yy;@"/>
    <numFmt numFmtId="168" formatCode="0_);\(0\)"/>
    <numFmt numFmtId="169" formatCode="_(* #,##0_);[Red]_(* \(#,##0\);_(* &quot;-&quot;??_);_(@_)"/>
    <numFmt numFmtId="170" formatCode="_(* #,##0_);_(* \(#,##0\);_(* &quot;&quot;??_);_(@_)"/>
    <numFmt numFmtId="171" formatCode="_-* #,##0.00_-;\-* #,##0.00_-;_-* \-??_-;_-@_-"/>
  </numFmts>
  <fonts count="23"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name val="Courier"/>
      <family val="3"/>
    </font>
    <font>
      <b/>
      <sz val="14"/>
      <color indexed="8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4"/>
      <color theme="1"/>
      <name val="Arial"/>
      <family val="2"/>
    </font>
    <font>
      <b/>
      <sz val="16"/>
      <name val="Arial"/>
      <family val="2"/>
    </font>
    <font>
      <b/>
      <sz val="12"/>
      <color theme="1"/>
      <name val="Arial"/>
      <family val="2"/>
    </font>
    <font>
      <b/>
      <sz val="16"/>
      <color theme="1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1"/>
      <color indexed="81"/>
      <name val="Arial"/>
      <family val="2"/>
    </font>
    <font>
      <sz val="8"/>
      <name val="Tahoma"/>
      <family val="2"/>
    </font>
    <font>
      <sz val="12"/>
      <color theme="1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18"/>
      <color indexed="56"/>
      <name val="Cambria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theme="8" tint="0.59999389629810485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</borders>
  <cellStyleXfs count="41">
    <xf numFmtId="0" fontId="0" fillId="0" borderId="0"/>
    <xf numFmtId="37" fontId="4" fillId="0" borderId="0"/>
    <xf numFmtId="0" fontId="1" fillId="0" borderId="0"/>
    <xf numFmtId="39" fontId="1" fillId="0" borderId="0"/>
    <xf numFmtId="0" fontId="17" fillId="0" borderId="10"/>
    <xf numFmtId="0" fontId="18" fillId="0" borderId="0"/>
    <xf numFmtId="0" fontId="18" fillId="0" borderId="0"/>
    <xf numFmtId="0" fontId="1" fillId="0" borderId="0"/>
    <xf numFmtId="0" fontId="19" fillId="0" borderId="0"/>
    <xf numFmtId="0" fontId="20" fillId="0" borderId="0"/>
    <xf numFmtId="9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170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1" fontId="19" fillId="0" borderId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 applyNumberFormat="0" applyFill="0" applyBorder="0" applyAlignment="0" applyProtection="0"/>
  </cellStyleXfs>
  <cellXfs count="133">
    <xf numFmtId="0" fontId="0" fillId="0" borderId="0" xfId="0"/>
    <xf numFmtId="0" fontId="2" fillId="2" borderId="0" xfId="0" applyFont="1" applyFill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39" fontId="5" fillId="3" borderId="2" xfId="1" applyNumberFormat="1" applyFont="1" applyFill="1" applyBorder="1" applyAlignment="1" applyProtection="1">
      <alignment horizontal="center" vertical="center"/>
    </xf>
    <xf numFmtId="14" fontId="5" fillId="3" borderId="3" xfId="1" applyNumberFormat="1" applyFont="1" applyFill="1" applyBorder="1" applyAlignment="1" applyProtection="1">
      <alignment horizontal="center" vertical="center" wrapText="1"/>
    </xf>
    <xf numFmtId="39" fontId="5" fillId="3" borderId="3" xfId="1" applyNumberFormat="1" applyFont="1" applyFill="1" applyBorder="1" applyAlignment="1" applyProtection="1">
      <alignment horizontal="center" vertical="center"/>
    </xf>
    <xf numFmtId="0" fontId="1" fillId="0" borderId="0" xfId="0" applyFont="1" applyAlignment="1">
      <alignment horizontal="center" vertical="center"/>
    </xf>
    <xf numFmtId="164" fontId="2" fillId="2" borderId="3" xfId="0" applyNumberFormat="1" applyFont="1" applyFill="1" applyBorder="1" applyAlignment="1">
      <alignment horizontal="center" vertical="center"/>
    </xf>
    <xf numFmtId="164" fontId="2" fillId="0" borderId="3" xfId="0" applyNumberFormat="1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165" fontId="6" fillId="0" borderId="0" xfId="0" applyNumberFormat="1" applyFont="1" applyAlignment="1">
      <alignment horizontal="center" vertical="center"/>
    </xf>
    <xf numFmtId="165" fontId="6" fillId="0" borderId="1" xfId="0" applyNumberFormat="1" applyFont="1" applyBorder="1" applyAlignment="1">
      <alignment horizontal="center" vertical="center"/>
    </xf>
    <xf numFmtId="39" fontId="5" fillId="3" borderId="4" xfId="1" applyNumberFormat="1" applyFont="1" applyFill="1" applyBorder="1" applyAlignment="1" applyProtection="1">
      <alignment horizontal="center" vertical="center"/>
    </xf>
    <xf numFmtId="39" fontId="5" fillId="3" borderId="3" xfId="1" quotePrefix="1" applyNumberFormat="1" applyFont="1" applyFill="1" applyBorder="1" applyAlignment="1" applyProtection="1">
      <alignment horizontal="center" vertical="center"/>
    </xf>
    <xf numFmtId="166" fontId="5" fillId="3" borderId="3" xfId="1" quotePrefix="1" applyNumberFormat="1" applyFont="1" applyFill="1" applyBorder="1" applyAlignment="1" applyProtection="1">
      <alignment horizontal="center" vertical="center"/>
    </xf>
    <xf numFmtId="167" fontId="2" fillId="2" borderId="3" xfId="0" applyNumberFormat="1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67" fontId="2" fillId="0" borderId="3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168" fontId="8" fillId="3" borderId="5" xfId="1" applyNumberFormat="1" applyFont="1" applyFill="1" applyBorder="1" applyAlignment="1" applyProtection="1">
      <alignment horizontal="center" vertical="center"/>
    </xf>
    <xf numFmtId="168" fontId="8" fillId="3" borderId="2" xfId="1" applyNumberFormat="1" applyFont="1" applyFill="1" applyBorder="1" applyAlignment="1" applyProtection="1">
      <alignment horizontal="center" vertical="center"/>
    </xf>
    <xf numFmtId="49" fontId="3" fillId="4" borderId="3" xfId="0" applyNumberFormat="1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169" fontId="9" fillId="4" borderId="3" xfId="0" applyNumberFormat="1" applyFont="1" applyFill="1" applyBorder="1" applyAlignment="1">
      <alignment horizontal="center" vertical="center"/>
    </xf>
    <xf numFmtId="164" fontId="9" fillId="4" borderId="3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10" fillId="4" borderId="7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169" fontId="11" fillId="4" borderId="3" xfId="1" applyNumberFormat="1" applyFont="1" applyFill="1" applyBorder="1" applyAlignment="1" applyProtection="1">
      <alignment horizontal="center" vertical="center"/>
    </xf>
    <xf numFmtId="164" fontId="11" fillId="4" borderId="3" xfId="1" applyNumberFormat="1" applyFont="1" applyFill="1" applyBorder="1" applyAlignment="1" applyProtection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49" fontId="3" fillId="5" borderId="3" xfId="0" applyNumberFormat="1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left" vertical="center"/>
    </xf>
    <xf numFmtId="169" fontId="12" fillId="5" borderId="3" xfId="0" applyNumberFormat="1" applyFont="1" applyFill="1" applyBorder="1" applyAlignment="1">
      <alignment horizontal="center" vertical="center"/>
    </xf>
    <xf numFmtId="164" fontId="12" fillId="5" borderId="3" xfId="0" applyNumberFormat="1" applyFont="1" applyFill="1" applyBorder="1" applyAlignment="1">
      <alignment horizontal="center" vertical="center"/>
    </xf>
    <xf numFmtId="164" fontId="9" fillId="5" borderId="3" xfId="0" applyNumberFormat="1" applyFont="1" applyFill="1" applyBorder="1" applyAlignment="1">
      <alignment horizontal="center" vertical="center"/>
    </xf>
    <xf numFmtId="164" fontId="2" fillId="6" borderId="3" xfId="0" applyNumberFormat="1" applyFont="1" applyFill="1" applyBorder="1" applyAlignment="1">
      <alignment horizontal="center" vertical="center"/>
    </xf>
    <xf numFmtId="164" fontId="3" fillId="0" borderId="3" xfId="0" applyNumberFormat="1" applyFont="1" applyBorder="1" applyAlignment="1">
      <alignment horizontal="center" vertical="center"/>
    </xf>
    <xf numFmtId="169" fontId="2" fillId="0" borderId="3" xfId="0" applyNumberFormat="1" applyFont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center" vertical="center"/>
    </xf>
    <xf numFmtId="169" fontId="12" fillId="0" borderId="3" xfId="0" applyNumberFormat="1" applyFont="1" applyBorder="1" applyAlignment="1">
      <alignment horizontal="center" vertical="center"/>
    </xf>
    <xf numFmtId="164" fontId="12" fillId="0" borderId="3" xfId="0" applyNumberFormat="1" applyFont="1" applyBorder="1" applyAlignment="1">
      <alignment horizontal="center" vertical="center"/>
    </xf>
    <xf numFmtId="164" fontId="9" fillId="0" borderId="3" xfId="0" applyNumberFormat="1" applyFont="1" applyBorder="1" applyAlignment="1">
      <alignment horizontal="center" vertical="center"/>
    </xf>
    <xf numFmtId="49" fontId="3" fillId="7" borderId="3" xfId="0" applyNumberFormat="1" applyFont="1" applyFill="1" applyBorder="1" applyAlignment="1">
      <alignment horizontal="center" vertical="center"/>
    </xf>
    <xf numFmtId="0" fontId="3" fillId="7" borderId="7" xfId="0" applyFont="1" applyFill="1" applyBorder="1" applyAlignment="1">
      <alignment horizontal="center" vertical="center"/>
    </xf>
    <xf numFmtId="0" fontId="3" fillId="7" borderId="3" xfId="0" applyFont="1" applyFill="1" applyBorder="1" applyAlignment="1">
      <alignment horizontal="center" vertical="center"/>
    </xf>
    <xf numFmtId="169" fontId="9" fillId="7" borderId="3" xfId="0" applyNumberFormat="1" applyFont="1" applyFill="1" applyBorder="1" applyAlignment="1">
      <alignment horizontal="center" vertical="center"/>
    </xf>
    <xf numFmtId="164" fontId="9" fillId="7" borderId="3" xfId="0" applyNumberFormat="1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49" fontId="3" fillId="8" borderId="3" xfId="0" applyNumberFormat="1" applyFont="1" applyFill="1" applyBorder="1" applyAlignment="1">
      <alignment horizontal="center" vertical="center"/>
    </xf>
    <xf numFmtId="0" fontId="3" fillId="8" borderId="6" xfId="0" applyFont="1" applyFill="1" applyBorder="1" applyAlignment="1">
      <alignment horizontal="center" vertical="center"/>
    </xf>
    <xf numFmtId="0" fontId="3" fillId="8" borderId="6" xfId="0" applyFont="1" applyFill="1" applyBorder="1" applyAlignment="1">
      <alignment horizontal="left" vertical="center"/>
    </xf>
    <xf numFmtId="169" fontId="9" fillId="8" borderId="3" xfId="0" applyNumberFormat="1" applyFont="1" applyFill="1" applyBorder="1" applyAlignment="1">
      <alignment horizontal="center" vertical="center"/>
    </xf>
    <xf numFmtId="164" fontId="9" fillId="8" borderId="3" xfId="0" applyNumberFormat="1" applyFont="1" applyFill="1" applyBorder="1" applyAlignment="1">
      <alignment horizontal="center" vertical="center"/>
    </xf>
    <xf numFmtId="49" fontId="3" fillId="2" borderId="3" xfId="0" quotePrefix="1" applyNumberFormat="1" applyFont="1" applyFill="1" applyBorder="1" applyAlignment="1">
      <alignment horizontal="center" vertical="center"/>
    </xf>
    <xf numFmtId="16" fontId="2" fillId="2" borderId="6" xfId="0" quotePrefix="1" applyNumberFormat="1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5" borderId="6" xfId="0" applyFont="1" applyFill="1" applyBorder="1" applyAlignment="1">
      <alignment horizontal="left" vertical="center"/>
    </xf>
    <xf numFmtId="0" fontId="3" fillId="5" borderId="7" xfId="0" applyFont="1" applyFill="1" applyBorder="1" applyAlignment="1">
      <alignment horizontal="center" vertical="center"/>
    </xf>
    <xf numFmtId="164" fontId="3" fillId="2" borderId="0" xfId="0" applyNumberFormat="1" applyFont="1" applyFill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169" fontId="3" fillId="0" borderId="0" xfId="0" applyNumberFormat="1" applyFont="1" applyAlignment="1">
      <alignment horizontal="center" vertical="center"/>
    </xf>
    <xf numFmtId="169" fontId="9" fillId="5" borderId="3" xfId="0" applyNumberFormat="1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left" vertical="center"/>
    </xf>
    <xf numFmtId="169" fontId="9" fillId="2" borderId="3" xfId="0" applyNumberFormat="1" applyFont="1" applyFill="1" applyBorder="1" applyAlignment="1">
      <alignment horizontal="center" vertical="center"/>
    </xf>
    <xf numFmtId="164" fontId="9" fillId="2" borderId="3" xfId="0" applyNumberFormat="1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left" vertical="center"/>
    </xf>
    <xf numFmtId="0" fontId="1" fillId="2" borderId="0" xfId="0" applyFont="1" applyFill="1" applyAlignment="1">
      <alignment horizontal="center" vertical="center"/>
    </xf>
    <xf numFmtId="169" fontId="12" fillId="2" borderId="0" xfId="0" applyNumberFormat="1" applyFont="1" applyFill="1" applyAlignment="1">
      <alignment horizontal="center" vertical="center"/>
    </xf>
    <xf numFmtId="164" fontId="12" fillId="2" borderId="0" xfId="0" applyNumberFormat="1" applyFont="1" applyFill="1" applyAlignment="1">
      <alignment horizontal="center" vertical="center"/>
    </xf>
    <xf numFmtId="164" fontId="9" fillId="2" borderId="0" xfId="0" applyNumberFormat="1" applyFont="1" applyFill="1" applyAlignment="1">
      <alignment horizontal="center" vertical="center"/>
    </xf>
    <xf numFmtId="0" fontId="2" fillId="7" borderId="2" xfId="0" applyFont="1" applyFill="1" applyBorder="1" applyAlignment="1">
      <alignment horizontal="center" vertical="center" textRotation="180"/>
    </xf>
    <xf numFmtId="0" fontId="3" fillId="9" borderId="0" xfId="0" applyFont="1" applyFill="1" applyAlignment="1">
      <alignment horizontal="center" vertical="center"/>
    </xf>
    <xf numFmtId="0" fontId="2" fillId="0" borderId="4" xfId="0" applyFont="1" applyBorder="1" applyAlignment="1">
      <alignment horizontal="center" vertical="center" textRotation="180"/>
    </xf>
    <xf numFmtId="0" fontId="13" fillId="6" borderId="8" xfId="0" applyFont="1" applyFill="1" applyBorder="1" applyAlignment="1">
      <alignment horizontal="center" vertical="center"/>
    </xf>
    <xf numFmtId="0" fontId="2" fillId="6" borderId="6" xfId="0" applyFont="1" applyFill="1" applyBorder="1" applyAlignment="1">
      <alignment horizontal="center" vertical="center"/>
    </xf>
    <xf numFmtId="0" fontId="2" fillId="6" borderId="7" xfId="0" applyFont="1" applyFill="1" applyBorder="1" applyAlignment="1">
      <alignment horizontal="center" vertical="center"/>
    </xf>
    <xf numFmtId="169" fontId="9" fillId="6" borderId="3" xfId="0" applyNumberFormat="1" applyFont="1" applyFill="1" applyBorder="1" applyAlignment="1">
      <alignment horizontal="center" vertical="center"/>
    </xf>
    <xf numFmtId="164" fontId="9" fillId="6" borderId="3" xfId="0" applyNumberFormat="1" applyFont="1" applyFill="1" applyBorder="1" applyAlignment="1">
      <alignment horizontal="center" vertical="center"/>
    </xf>
    <xf numFmtId="0" fontId="3" fillId="8" borderId="7" xfId="0" applyFont="1" applyFill="1" applyBorder="1" applyAlignment="1">
      <alignment horizontal="center" vertical="center"/>
    </xf>
    <xf numFmtId="0" fontId="3" fillId="8" borderId="3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left" vertical="center"/>
    </xf>
    <xf numFmtId="169" fontId="12" fillId="2" borderId="3" xfId="0" applyNumberFormat="1" applyFont="1" applyFill="1" applyBorder="1" applyAlignment="1">
      <alignment horizontal="center" vertical="center"/>
    </xf>
    <xf numFmtId="164" fontId="12" fillId="2" borderId="3" xfId="0" applyNumberFormat="1" applyFont="1" applyFill="1" applyBorder="1" applyAlignment="1">
      <alignment horizontal="center" vertical="center"/>
    </xf>
    <xf numFmtId="164" fontId="7" fillId="10" borderId="3" xfId="2" applyNumberFormat="1" applyFont="1" applyFill="1" applyBorder="1" applyAlignment="1" applyProtection="1">
      <alignment horizontal="center" vertical="center"/>
      <protection locked="0"/>
    </xf>
    <xf numFmtId="0" fontId="13" fillId="9" borderId="0" xfId="0" applyFont="1" applyFill="1" applyAlignment="1">
      <alignment horizontal="center" vertical="center"/>
    </xf>
    <xf numFmtId="169" fontId="2" fillId="0" borderId="0" xfId="0" applyNumberFormat="1" applyFont="1" applyAlignment="1">
      <alignment horizontal="center" vertical="center"/>
    </xf>
    <xf numFmtId="0" fontId="2" fillId="7" borderId="8" xfId="0" applyFont="1" applyFill="1" applyBorder="1" applyAlignment="1">
      <alignment horizontal="center" vertical="center"/>
    </xf>
    <xf numFmtId="0" fontId="2" fillId="7" borderId="7" xfId="0" applyFont="1" applyFill="1" applyBorder="1" applyAlignment="1">
      <alignment horizontal="center" vertical="center"/>
    </xf>
    <xf numFmtId="169" fontId="12" fillId="7" borderId="3" xfId="0" applyNumberFormat="1" applyFont="1" applyFill="1" applyBorder="1" applyAlignment="1">
      <alignment horizontal="center" vertical="center"/>
    </xf>
    <xf numFmtId="164" fontId="12" fillId="7" borderId="3" xfId="0" applyNumberFormat="1" applyFont="1" applyFill="1" applyBorder="1" applyAlignment="1">
      <alignment horizontal="center" vertical="center"/>
    </xf>
    <xf numFmtId="169" fontId="2" fillId="0" borderId="3" xfId="0" quotePrefix="1" applyNumberFormat="1" applyFont="1" applyBorder="1" applyAlignment="1">
      <alignment horizontal="center" vertical="center"/>
    </xf>
    <xf numFmtId="169" fontId="12" fillId="6" borderId="3" xfId="0" applyNumberFormat="1" applyFont="1" applyFill="1" applyBorder="1" applyAlignment="1">
      <alignment horizontal="center" vertical="center"/>
    </xf>
    <xf numFmtId="164" fontId="12" fillId="6" borderId="3" xfId="0" applyNumberFormat="1" applyFont="1" applyFill="1" applyBorder="1" applyAlignment="1">
      <alignment horizontal="center" vertical="center"/>
    </xf>
    <xf numFmtId="169" fontId="12" fillId="8" borderId="3" xfId="0" applyNumberFormat="1" applyFont="1" applyFill="1" applyBorder="1" applyAlignment="1">
      <alignment horizontal="center" vertical="center"/>
    </xf>
    <xf numFmtId="164" fontId="12" fillId="8" borderId="3" xfId="0" applyNumberFormat="1" applyFont="1" applyFill="1" applyBorder="1" applyAlignment="1">
      <alignment horizontal="center" vertical="center"/>
    </xf>
    <xf numFmtId="169" fontId="2" fillId="2" borderId="0" xfId="0" applyNumberFormat="1" applyFont="1" applyFill="1" applyAlignment="1">
      <alignment horizontal="center" vertical="center"/>
    </xf>
    <xf numFmtId="164" fontId="2" fillId="2" borderId="0" xfId="0" applyNumberFormat="1" applyFont="1" applyFill="1" applyAlignment="1">
      <alignment horizontal="center" vertical="center"/>
    </xf>
    <xf numFmtId="0" fontId="0" fillId="0" borderId="4" xfId="0" applyBorder="1" applyAlignment="1">
      <alignment horizontal="center" vertical="center" textRotation="180"/>
    </xf>
    <xf numFmtId="0" fontId="0" fillId="0" borderId="5" xfId="0" applyBorder="1" applyAlignment="1">
      <alignment horizontal="center" vertical="center" textRotation="180"/>
    </xf>
    <xf numFmtId="49" fontId="3" fillId="2" borderId="0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164" fontId="12" fillId="2" borderId="0" xfId="0" applyNumberFormat="1" applyFont="1" applyFill="1" applyBorder="1" applyAlignment="1">
      <alignment horizontal="center" vertical="center"/>
    </xf>
    <xf numFmtId="164" fontId="9" fillId="0" borderId="0" xfId="0" applyNumberFormat="1" applyFont="1" applyBorder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0" fontId="7" fillId="5" borderId="9" xfId="0" applyFont="1" applyFill="1" applyBorder="1" applyAlignment="1">
      <alignment horizontal="center" vertical="center"/>
    </xf>
    <xf numFmtId="164" fontId="7" fillId="5" borderId="9" xfId="0" applyNumberFormat="1" applyFont="1" applyFill="1" applyBorder="1" applyAlignment="1">
      <alignment horizontal="center" vertical="center"/>
    </xf>
    <xf numFmtId="164" fontId="6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164" fontId="7" fillId="2" borderId="0" xfId="0" applyNumberFormat="1" applyFont="1" applyFill="1" applyAlignment="1">
      <alignment horizontal="center" vertical="center"/>
    </xf>
    <xf numFmtId="164" fontId="7" fillId="0" borderId="0" xfId="0" applyNumberFormat="1" applyFont="1" applyAlignment="1">
      <alignment horizontal="center" vertical="center"/>
    </xf>
    <xf numFmtId="164" fontId="6" fillId="0" borderId="0" xfId="0" applyNumberFormat="1" applyFont="1" applyAlignment="1">
      <alignment horizontal="center" vertical="center"/>
    </xf>
    <xf numFmtId="0" fontId="6" fillId="11" borderId="3" xfId="2" applyFont="1" applyFill="1" applyBorder="1" applyAlignment="1">
      <alignment horizontal="center" vertical="center"/>
    </xf>
    <xf numFmtId="164" fontId="7" fillId="11" borderId="3" xfId="2" applyNumberFormat="1" applyFont="1" applyFill="1" applyBorder="1" applyAlignment="1">
      <alignment horizontal="center" vertical="center"/>
    </xf>
    <xf numFmtId="164" fontId="6" fillId="11" borderId="3" xfId="2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</cellXfs>
  <cellStyles count="41">
    <cellStyle name="Estilo 1" xfId="3"/>
    <cellStyle name="Estilo 2" xfId="4"/>
    <cellStyle name="Normal" xfId="0" builtinId="0"/>
    <cellStyle name="Normal 2" xfId="2"/>
    <cellStyle name="Normal 3" xfId="5"/>
    <cellStyle name="Normal 3 2" xfId="6"/>
    <cellStyle name="Normal 3 3" xfId="7"/>
    <cellStyle name="Normal 4" xfId="8"/>
    <cellStyle name="Normal 5" xfId="9"/>
    <cellStyle name="Normal_AGOSTO 97_1" xfId="1"/>
    <cellStyle name="Porcentagem 2" xfId="10"/>
    <cellStyle name="Separador de milhares 10" xfId="11"/>
    <cellStyle name="Separador de milhares 11" xfId="12"/>
    <cellStyle name="Separador de milhares 12" xfId="13"/>
    <cellStyle name="Separador de milhares 13" xfId="14"/>
    <cellStyle name="Separador de milhares 15" xfId="15"/>
    <cellStyle name="Separador de milhares 2" xfId="16"/>
    <cellStyle name="Separador de milhares 2 2" xfId="17"/>
    <cellStyle name="Separador de milhares 2 2 2" xfId="18"/>
    <cellStyle name="Separador de milhares 2 2 2 2" xfId="19"/>
    <cellStyle name="Separador de milhares 2 2 3" xfId="20"/>
    <cellStyle name="Separador de milhares 2 3" xfId="21"/>
    <cellStyle name="Separador de milhares 2 4" xfId="22"/>
    <cellStyle name="Separador de milhares 2 5" xfId="23"/>
    <cellStyle name="Separador de milhares 3" xfId="24"/>
    <cellStyle name="Separador de milhares 3 2" xfId="25"/>
    <cellStyle name="Separador de milhares 4" xfId="26"/>
    <cellStyle name="Separador de milhares 5" xfId="27"/>
    <cellStyle name="Separador de milhares 5 2" xfId="28"/>
    <cellStyle name="Separador de milhares 5 3" xfId="29"/>
    <cellStyle name="Separador de milhares 6" xfId="30"/>
    <cellStyle name="Separador de milhares 6 2" xfId="31"/>
    <cellStyle name="Separador de milhares 6 2 2" xfId="32"/>
    <cellStyle name="Separador de milhares 6 2 2 2" xfId="33"/>
    <cellStyle name="Separador de milhares 6 2 2 3" xfId="34"/>
    <cellStyle name="Separador de milhares 7" xfId="35"/>
    <cellStyle name="Separador de milhares 8" xfId="36"/>
    <cellStyle name="Separador de milhares 9" xfId="37"/>
    <cellStyle name="Separador de milhares 9 2" xfId="38"/>
    <cellStyle name="Separador de milhares 9 3" xfId="39"/>
    <cellStyle name="Título 5" xfId="4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Startup" Target="2.004/Fluxos/JUNHO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ND"/>
      <sheetName val="TECLAS DE MACROS"/>
      <sheetName val="Plan2"/>
      <sheetName val="ACUMULADO"/>
      <sheetName val="PAGAMENTOS"/>
      <sheetName val="NUMERAÇÃO BORDEROS"/>
      <sheetName val="CONTAS"/>
      <sheetName val="BORDERO"/>
      <sheetName val="RESUMO"/>
      <sheetName val="GESTAO"/>
      <sheetName val="ESPOLIO"/>
      <sheetName val="VLP"/>
      <sheetName val="SISTEMA"/>
      <sheetName val="FUNCOR I"/>
      <sheetName val="FUNCOR II"/>
      <sheetName val="MODERNIZAÇÃO"/>
      <sheetName val="PARADAS"/>
      <sheetName val="VIA LIVRE"/>
      <sheetName val="BILHETE UNICO"/>
      <sheetName val="CPMF"/>
      <sheetName val="PENDÊNCIAS DÉBITOS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Plan5"/>
  <dimension ref="A1:AG254"/>
  <sheetViews>
    <sheetView showGridLines="0" tabSelected="1" zoomScale="80" zoomScaleNormal="80" workbookViewId="0">
      <pane xSplit="5" ySplit="3" topLeftCell="V4" activePane="bottomRight" state="frozen"/>
      <selection activeCell="K10" sqref="K10"/>
      <selection pane="topRight" activeCell="K10" sqref="K10"/>
      <selection pane="bottomLeft" activeCell="K10" sqref="K10"/>
      <selection pane="bottomRight" activeCell="X4" sqref="X4"/>
    </sheetView>
  </sheetViews>
  <sheetFormatPr defaultRowHeight="15.75"/>
  <cols>
    <col min="1" max="1" width="12" style="1" bestFit="1" customWidth="1"/>
    <col min="2" max="2" width="13.85546875" style="12" customWidth="1"/>
    <col min="3" max="3" width="12.42578125" style="3" customWidth="1"/>
    <col min="4" max="4" width="48.140625" style="3" customWidth="1"/>
    <col min="5" max="5" width="17.5703125" style="8" hidden="1" customWidth="1"/>
    <col min="6" max="6" width="21.28515625" style="8" customWidth="1"/>
    <col min="7" max="7" width="20.7109375" style="8" bestFit="1" customWidth="1"/>
    <col min="8" max="8" width="23.28515625" style="8" customWidth="1"/>
    <col min="9" max="9" width="22.42578125" style="8" customWidth="1"/>
    <col min="10" max="10" width="22.85546875" style="8" customWidth="1"/>
    <col min="11" max="11" width="20.7109375" style="8" bestFit="1" customWidth="1"/>
    <col min="12" max="12" width="22.42578125" style="8" customWidth="1"/>
    <col min="13" max="13" width="22.28515625" style="8" bestFit="1" customWidth="1"/>
    <col min="14" max="14" width="22.85546875" style="8" customWidth="1"/>
    <col min="15" max="15" width="22.28515625" style="8" bestFit="1" customWidth="1"/>
    <col min="16" max="16" width="22.5703125" style="8" customWidth="1"/>
    <col min="17" max="18" width="22.140625" style="8" customWidth="1"/>
    <col min="19" max="19" width="22.28515625" style="8" customWidth="1"/>
    <col min="20" max="20" width="22.42578125" style="8" customWidth="1"/>
    <col min="21" max="22" width="22.5703125" style="8" customWidth="1"/>
    <col min="23" max="23" width="22.28515625" style="8" customWidth="1"/>
    <col min="24" max="24" width="23.85546875" style="8" customWidth="1"/>
    <col min="25" max="25" width="23.5703125" style="29" bestFit="1" customWidth="1"/>
    <col min="26" max="26" width="9.28515625" style="8" customWidth="1"/>
    <col min="27" max="27" width="17.7109375" style="1" hidden="1" customWidth="1"/>
    <col min="28" max="28" width="25.140625" style="3" hidden="1" customWidth="1"/>
    <col min="29" max="29" width="16" style="3" hidden="1" customWidth="1"/>
    <col min="30" max="30" width="9.42578125" style="3" hidden="1" customWidth="1"/>
    <col min="31" max="31" width="0" style="3" hidden="1" customWidth="1"/>
    <col min="32" max="32" width="17.7109375" style="3" hidden="1" customWidth="1"/>
    <col min="33" max="33" width="17.7109375" style="1" hidden="1" customWidth="1"/>
    <col min="34" max="34" width="0" style="8" hidden="1" customWidth="1"/>
    <col min="35" max="16384" width="9.140625" style="8"/>
  </cols>
  <sheetData>
    <row r="1" spans="1:33" ht="35.1" customHeight="1">
      <c r="A1" s="1" t="s">
        <v>0</v>
      </c>
      <c r="B1" s="2" t="s">
        <v>1</v>
      </c>
      <c r="D1" s="4"/>
      <c r="E1" s="5" t="s">
        <v>2</v>
      </c>
      <c r="F1" s="6">
        <v>43040</v>
      </c>
      <c r="G1" s="6">
        <v>43042</v>
      </c>
      <c r="H1" s="6">
        <v>43045</v>
      </c>
      <c r="I1" s="6">
        <v>43046</v>
      </c>
      <c r="J1" s="6">
        <v>43047</v>
      </c>
      <c r="K1" s="6">
        <v>43048</v>
      </c>
      <c r="L1" s="6">
        <v>43049</v>
      </c>
      <c r="M1" s="6">
        <v>43052</v>
      </c>
      <c r="N1" s="6">
        <v>43053</v>
      </c>
      <c r="O1" s="6">
        <v>43055</v>
      </c>
      <c r="P1" s="6">
        <v>43056</v>
      </c>
      <c r="Q1" s="6">
        <v>43060</v>
      </c>
      <c r="R1" s="6">
        <v>43061</v>
      </c>
      <c r="S1" s="6">
        <v>43062</v>
      </c>
      <c r="T1" s="6">
        <v>43063</v>
      </c>
      <c r="U1" s="6">
        <v>43066</v>
      </c>
      <c r="V1" s="6">
        <v>43067</v>
      </c>
      <c r="W1" s="6">
        <v>43068</v>
      </c>
      <c r="X1" s="6">
        <v>43069</v>
      </c>
      <c r="Y1" s="7" t="s">
        <v>3</v>
      </c>
      <c r="AA1" s="9" t="s">
        <v>4</v>
      </c>
      <c r="AB1" s="10" t="s">
        <v>5</v>
      </c>
      <c r="AC1" s="11" t="s">
        <v>6</v>
      </c>
      <c r="AD1" s="11" t="s">
        <v>7</v>
      </c>
      <c r="AF1" s="10" t="s">
        <v>4</v>
      </c>
      <c r="AG1" s="9" t="s">
        <v>4</v>
      </c>
    </row>
    <row r="2" spans="1:33" ht="35.1" customHeight="1">
      <c r="A2" s="1" t="s">
        <v>0</v>
      </c>
      <c r="C2" s="13">
        <v>43040</v>
      </c>
      <c r="D2" s="14"/>
      <c r="E2" s="15" t="s">
        <v>8</v>
      </c>
      <c r="F2" s="16" t="str">
        <f t="shared" ref="F2:X2" si="0">TEXT(F1,"ddd")</f>
        <v>qua</v>
      </c>
      <c r="G2" s="16" t="str">
        <f t="shared" si="0"/>
        <v>sex</v>
      </c>
      <c r="H2" s="16" t="str">
        <f t="shared" si="0"/>
        <v>seg</v>
      </c>
      <c r="I2" s="16" t="str">
        <f t="shared" si="0"/>
        <v>ter</v>
      </c>
      <c r="J2" s="16" t="str">
        <f t="shared" si="0"/>
        <v>qua</v>
      </c>
      <c r="K2" s="16" t="str">
        <f t="shared" si="0"/>
        <v>qui</v>
      </c>
      <c r="L2" s="16" t="str">
        <f t="shared" si="0"/>
        <v>sex</v>
      </c>
      <c r="M2" s="16" t="str">
        <f t="shared" si="0"/>
        <v>seg</v>
      </c>
      <c r="N2" s="16" t="str">
        <f t="shared" si="0"/>
        <v>ter</v>
      </c>
      <c r="O2" s="16" t="str">
        <f t="shared" si="0"/>
        <v>qui</v>
      </c>
      <c r="P2" s="16" t="str">
        <f t="shared" si="0"/>
        <v>sex</v>
      </c>
      <c r="Q2" s="16" t="str">
        <f t="shared" si="0"/>
        <v>ter</v>
      </c>
      <c r="R2" s="16" t="str">
        <f t="shared" si="0"/>
        <v>qua</v>
      </c>
      <c r="S2" s="16" t="str">
        <f t="shared" si="0"/>
        <v>qui</v>
      </c>
      <c r="T2" s="16" t="str">
        <f t="shared" si="0"/>
        <v>sex</v>
      </c>
      <c r="U2" s="16" t="str">
        <f t="shared" si="0"/>
        <v>seg</v>
      </c>
      <c r="V2" s="16" t="str">
        <f t="shared" si="0"/>
        <v>ter</v>
      </c>
      <c r="W2" s="16" t="str">
        <f t="shared" si="0"/>
        <v>qua</v>
      </c>
      <c r="X2" s="16" t="str">
        <f t="shared" si="0"/>
        <v>qui</v>
      </c>
      <c r="Y2" s="17">
        <f>+C2</f>
        <v>43040</v>
      </c>
      <c r="AA2" s="18">
        <f>+C2</f>
        <v>43040</v>
      </c>
      <c r="AB2" s="10" t="s">
        <v>9</v>
      </c>
      <c r="AC2" s="19"/>
      <c r="AD2" s="19"/>
      <c r="AF2" s="20">
        <v>42979</v>
      </c>
      <c r="AG2" s="18">
        <v>43009</v>
      </c>
    </row>
    <row r="3" spans="1:33" ht="35.1" customHeight="1">
      <c r="A3" s="1" t="s">
        <v>0</v>
      </c>
      <c r="B3" s="3"/>
      <c r="D3" s="21"/>
      <c r="E3" s="22">
        <v>2017</v>
      </c>
      <c r="F3" s="23" t="s">
        <v>228</v>
      </c>
      <c r="G3" s="23" t="s">
        <v>228</v>
      </c>
      <c r="H3" s="23" t="s">
        <v>228</v>
      </c>
      <c r="I3" s="23" t="s">
        <v>228</v>
      </c>
      <c r="J3" s="23" t="s">
        <v>228</v>
      </c>
      <c r="K3" s="23" t="s">
        <v>228</v>
      </c>
      <c r="L3" s="23" t="s">
        <v>228</v>
      </c>
      <c r="M3" s="23" t="s">
        <v>228</v>
      </c>
      <c r="N3" s="23" t="s">
        <v>228</v>
      </c>
      <c r="O3" s="23" t="s">
        <v>228</v>
      </c>
      <c r="P3" s="23" t="s">
        <v>228</v>
      </c>
      <c r="Q3" s="23" t="s">
        <v>228</v>
      </c>
      <c r="R3" s="23" t="s">
        <v>228</v>
      </c>
      <c r="S3" s="23" t="s">
        <v>228</v>
      </c>
      <c r="T3" s="23" t="s">
        <v>228</v>
      </c>
      <c r="U3" s="23" t="s">
        <v>228</v>
      </c>
      <c r="V3" s="23" t="s">
        <v>228</v>
      </c>
      <c r="W3" s="23" t="s">
        <v>228</v>
      </c>
      <c r="X3" s="23" t="s">
        <v>228</v>
      </c>
      <c r="Y3" s="23" t="s">
        <v>228</v>
      </c>
    </row>
    <row r="4" spans="1:33" s="29" customFormat="1" ht="35.1" customHeight="1">
      <c r="A4" s="1" t="s">
        <v>0</v>
      </c>
      <c r="B4" s="24" t="s">
        <v>10</v>
      </c>
      <c r="C4" s="25" t="s">
        <v>11</v>
      </c>
      <c r="D4" s="26"/>
      <c r="E4" s="27">
        <v>0</v>
      </c>
      <c r="F4" s="28">
        <f t="shared" ref="F4:X4" si="1">+E108</f>
        <v>2950663.3460000716</v>
      </c>
      <c r="G4" s="28">
        <f t="shared" si="1"/>
        <v>2706978.2260000715</v>
      </c>
      <c r="H4" s="28">
        <f t="shared" si="1"/>
        <v>2559144.1360000717</v>
      </c>
      <c r="I4" s="28">
        <f t="shared" si="1"/>
        <v>10030668.296000071</v>
      </c>
      <c r="J4" s="28">
        <f t="shared" si="1"/>
        <v>8127409.9860000703</v>
      </c>
      <c r="K4" s="28">
        <f t="shared" si="1"/>
        <v>7008570.0660000704</v>
      </c>
      <c r="L4" s="28">
        <f t="shared" si="1"/>
        <v>6960057.2860000702</v>
      </c>
      <c r="M4" s="28">
        <f t="shared" si="1"/>
        <v>15336978.49600007</v>
      </c>
      <c r="N4" s="28">
        <f t="shared" si="1"/>
        <v>15632817.616000069</v>
      </c>
      <c r="O4" s="28">
        <f t="shared" si="1"/>
        <v>6907557.956000071</v>
      </c>
      <c r="P4" s="28">
        <f t="shared" si="1"/>
        <v>16553211.916000072</v>
      </c>
      <c r="Q4" s="28">
        <f t="shared" si="1"/>
        <v>11293777.316000072</v>
      </c>
      <c r="R4" s="28">
        <f t="shared" si="1"/>
        <v>10996953.426000072</v>
      </c>
      <c r="S4" s="28">
        <f t="shared" si="1"/>
        <v>10987347.076000072</v>
      </c>
      <c r="T4" s="28">
        <f t="shared" si="1"/>
        <v>10815284.606000071</v>
      </c>
      <c r="U4" s="28">
        <f t="shared" si="1"/>
        <v>9751073.5760000721</v>
      </c>
      <c r="V4" s="28">
        <f t="shared" si="1"/>
        <v>8244822.3560000723</v>
      </c>
      <c r="W4" s="28">
        <f t="shared" si="1"/>
        <v>16648393.946000073</v>
      </c>
      <c r="X4" s="28">
        <f t="shared" si="1"/>
        <v>9153573.276000075</v>
      </c>
      <c r="Y4" s="28">
        <f>+E108</f>
        <v>2950663.3460000716</v>
      </c>
      <c r="AA4" s="30"/>
      <c r="AG4" s="30"/>
    </row>
    <row r="5" spans="1:33" s="35" customFormat="1" ht="35.1" customHeight="1">
      <c r="A5" s="1" t="s">
        <v>0</v>
      </c>
      <c r="B5" s="24" t="s">
        <v>12</v>
      </c>
      <c r="C5" s="31" t="s">
        <v>13</v>
      </c>
      <c r="D5" s="32"/>
      <c r="E5" s="33">
        <f>+E6+E7+E8+E9</f>
        <v>0</v>
      </c>
      <c r="F5" s="34">
        <f t="shared" ref="F5:Y5" si="2">+F6+F7+F8+F9</f>
        <v>51403.53</v>
      </c>
      <c r="G5" s="34">
        <f t="shared" si="2"/>
        <v>9613.94</v>
      </c>
      <c r="H5" s="34">
        <f t="shared" si="2"/>
        <v>1125470.7399999998</v>
      </c>
      <c r="I5" s="34">
        <f t="shared" si="2"/>
        <v>64409.96</v>
      </c>
      <c r="J5" s="34">
        <f t="shared" si="2"/>
        <v>13893</v>
      </c>
      <c r="K5" s="34">
        <f t="shared" si="2"/>
        <v>13393.95</v>
      </c>
      <c r="L5" s="34">
        <f t="shared" si="2"/>
        <v>505849.59999999998</v>
      </c>
      <c r="M5" s="34">
        <f t="shared" si="2"/>
        <v>350403.29999999993</v>
      </c>
      <c r="N5" s="34">
        <f t="shared" si="2"/>
        <v>162713.06</v>
      </c>
      <c r="O5" s="34">
        <f t="shared" si="2"/>
        <v>50150.12</v>
      </c>
      <c r="P5" s="34">
        <f t="shared" si="2"/>
        <v>83552.290000000008</v>
      </c>
      <c r="Q5" s="34">
        <f t="shared" si="2"/>
        <v>17807.060000000001</v>
      </c>
      <c r="R5" s="34">
        <f t="shared" si="2"/>
        <v>29912.92</v>
      </c>
      <c r="S5" s="34">
        <f t="shared" si="2"/>
        <v>12380.759999999998</v>
      </c>
      <c r="T5" s="34">
        <f t="shared" si="2"/>
        <v>11615.87</v>
      </c>
      <c r="U5" s="34">
        <f t="shared" si="2"/>
        <v>8639.4699999999993</v>
      </c>
      <c r="V5" s="34">
        <f t="shared" si="2"/>
        <v>710193.75</v>
      </c>
      <c r="W5" s="34">
        <f t="shared" si="2"/>
        <v>16707.12</v>
      </c>
      <c r="X5" s="34">
        <f t="shared" si="2"/>
        <v>2815908.9800000004</v>
      </c>
      <c r="Y5" s="34">
        <f t="shared" si="2"/>
        <v>6054019.4199999999</v>
      </c>
      <c r="AA5" s="36"/>
      <c r="AG5" s="36"/>
    </row>
    <row r="6" spans="1:33" ht="35.1" customHeight="1">
      <c r="A6" s="1" t="s">
        <v>0</v>
      </c>
      <c r="B6" s="37">
        <v>816</v>
      </c>
      <c r="C6" s="38"/>
      <c r="D6" s="39" t="s">
        <v>14</v>
      </c>
      <c r="E6" s="40"/>
      <c r="F6" s="41">
        <v>4571.03</v>
      </c>
      <c r="G6" s="41">
        <v>5531.35</v>
      </c>
      <c r="H6" s="41">
        <v>11523.63</v>
      </c>
      <c r="I6" s="41">
        <v>3841.21</v>
      </c>
      <c r="J6" s="41">
        <v>3840.75</v>
      </c>
      <c r="K6" s="41">
        <v>7938.46</v>
      </c>
      <c r="L6" s="41">
        <v>11907.69</v>
      </c>
      <c r="M6" s="41">
        <v>0</v>
      </c>
      <c r="N6" s="41">
        <v>3969.23</v>
      </c>
      <c r="O6" s="41">
        <v>7938.46</v>
      </c>
      <c r="P6" s="41">
        <v>3969.23</v>
      </c>
      <c r="Q6" s="41">
        <v>11907.69</v>
      </c>
      <c r="R6" s="41">
        <v>3969.23</v>
      </c>
      <c r="S6" s="41">
        <v>7938.46</v>
      </c>
      <c r="T6" s="41">
        <v>3254.77</v>
      </c>
      <c r="U6" s="41">
        <v>3691.39</v>
      </c>
      <c r="V6" s="41">
        <v>9745.24</v>
      </c>
      <c r="W6" s="41">
        <v>7123.98</v>
      </c>
      <c r="X6" s="41">
        <v>4286.78</v>
      </c>
      <c r="Y6" s="42">
        <f>SUM(E6:X6)</f>
        <v>116948.58000000002</v>
      </c>
      <c r="AA6" s="43">
        <v>118174</v>
      </c>
      <c r="AB6" s="10">
        <f>+Y6-AA6</f>
        <v>-1225.4199999999837</v>
      </c>
      <c r="AC6" s="44" t="s">
        <v>6</v>
      </c>
      <c r="AD6" s="45">
        <v>8</v>
      </c>
      <c r="AF6" s="10">
        <v>125226</v>
      </c>
      <c r="AG6" s="9">
        <v>119694</v>
      </c>
    </row>
    <row r="7" spans="1:33" ht="35.1" customHeight="1">
      <c r="A7" s="1" t="s">
        <v>0</v>
      </c>
      <c r="B7" s="37">
        <v>822</v>
      </c>
      <c r="C7" s="38"/>
      <c r="D7" s="39" t="s">
        <v>15</v>
      </c>
      <c r="E7" s="40"/>
      <c r="F7" s="41">
        <v>0</v>
      </c>
      <c r="G7" s="41">
        <v>0</v>
      </c>
      <c r="H7" s="41">
        <v>0</v>
      </c>
      <c r="I7" s="41">
        <v>0</v>
      </c>
      <c r="J7" s="41">
        <v>0</v>
      </c>
      <c r="K7" s="41">
        <v>0</v>
      </c>
      <c r="L7" s="41">
        <v>0</v>
      </c>
      <c r="M7" s="41">
        <v>0</v>
      </c>
      <c r="N7" s="41">
        <v>0</v>
      </c>
      <c r="O7" s="41">
        <v>0</v>
      </c>
      <c r="P7" s="41">
        <v>0</v>
      </c>
      <c r="Q7" s="41">
        <v>0</v>
      </c>
      <c r="R7" s="41">
        <v>0</v>
      </c>
      <c r="S7" s="41">
        <v>0</v>
      </c>
      <c r="T7" s="41">
        <v>0</v>
      </c>
      <c r="U7" s="41">
        <v>0</v>
      </c>
      <c r="V7" s="41">
        <v>0</v>
      </c>
      <c r="W7" s="41">
        <v>0</v>
      </c>
      <c r="X7" s="41">
        <v>1848392.36</v>
      </c>
      <c r="Y7" s="42">
        <f>SUM(E7:X7)</f>
        <v>1848392.36</v>
      </c>
      <c r="AA7" s="43">
        <v>1890360</v>
      </c>
      <c r="AB7" s="10">
        <f t="shared" ref="AB7:AB8" si="3">+Y7-AA7</f>
        <v>-41967.639999999898</v>
      </c>
      <c r="AC7" s="44" t="s">
        <v>6</v>
      </c>
      <c r="AD7" s="45">
        <v>8</v>
      </c>
      <c r="AF7" s="10">
        <v>1931360</v>
      </c>
      <c r="AG7" s="9">
        <v>3988060</v>
      </c>
    </row>
    <row r="8" spans="1:33" ht="35.1" customHeight="1">
      <c r="A8" s="1" t="s">
        <v>0</v>
      </c>
      <c r="B8" s="37">
        <v>835</v>
      </c>
      <c r="C8" s="38"/>
      <c r="D8" s="39" t="s">
        <v>16</v>
      </c>
      <c r="E8" s="40"/>
      <c r="F8" s="41">
        <v>4935.09</v>
      </c>
      <c r="G8" s="41">
        <v>3781.4700000000003</v>
      </c>
      <c r="H8" s="41">
        <v>0</v>
      </c>
      <c r="I8" s="41">
        <v>8637.4</v>
      </c>
      <c r="J8" s="41">
        <v>2287.6</v>
      </c>
      <c r="K8" s="41">
        <v>2576.4</v>
      </c>
      <c r="L8" s="41">
        <v>3017.2</v>
      </c>
      <c r="M8" s="41">
        <v>0</v>
      </c>
      <c r="N8" s="41">
        <v>5335.2</v>
      </c>
      <c r="O8" s="41">
        <v>5521.4</v>
      </c>
      <c r="P8" s="41">
        <v>4111.6000000000004</v>
      </c>
      <c r="Q8" s="41">
        <v>2766.4</v>
      </c>
      <c r="R8" s="41">
        <v>6102.8</v>
      </c>
      <c r="S8" s="41">
        <v>2622</v>
      </c>
      <c r="T8" s="41">
        <v>2106.41</v>
      </c>
      <c r="U8" s="41">
        <v>2585.64</v>
      </c>
      <c r="V8" s="41">
        <v>707.75</v>
      </c>
      <c r="W8" s="41">
        <v>6000.2</v>
      </c>
      <c r="X8" s="41">
        <v>71047.539999999994</v>
      </c>
      <c r="Y8" s="42">
        <f>SUM(E8:X8)</f>
        <v>134142.09999999998</v>
      </c>
      <c r="AA8" s="43">
        <v>231500</v>
      </c>
      <c r="AB8" s="10">
        <f t="shared" si="3"/>
        <v>-97357.900000000023</v>
      </c>
      <c r="AC8" s="44" t="s">
        <v>6</v>
      </c>
      <c r="AD8" s="45">
        <v>8</v>
      </c>
      <c r="AF8" s="10">
        <v>276337</v>
      </c>
      <c r="AG8" s="9">
        <v>276337</v>
      </c>
    </row>
    <row r="9" spans="1:33" s="35" customFormat="1" ht="35.1" customHeight="1">
      <c r="A9" s="1" t="s">
        <v>0</v>
      </c>
      <c r="B9" s="24"/>
      <c r="C9" s="31" t="s">
        <v>17</v>
      </c>
      <c r="D9" s="32"/>
      <c r="E9" s="33">
        <f>SUM(E10:E24)</f>
        <v>0</v>
      </c>
      <c r="F9" s="34">
        <f t="shared" ref="F9:Y9" si="4">SUM(F10:F24)</f>
        <v>41897.409999999996</v>
      </c>
      <c r="G9" s="34">
        <f t="shared" si="4"/>
        <v>301.12</v>
      </c>
      <c r="H9" s="34">
        <f t="shared" si="4"/>
        <v>1113947.1099999999</v>
      </c>
      <c r="I9" s="34">
        <f t="shared" si="4"/>
        <v>51931.35</v>
      </c>
      <c r="J9" s="34">
        <f t="shared" si="4"/>
        <v>7764.65</v>
      </c>
      <c r="K9" s="34">
        <f t="shared" si="4"/>
        <v>2879.09</v>
      </c>
      <c r="L9" s="34">
        <f t="shared" si="4"/>
        <v>490924.70999999996</v>
      </c>
      <c r="M9" s="34">
        <f t="shared" si="4"/>
        <v>350403.29999999993</v>
      </c>
      <c r="N9" s="34">
        <f t="shared" si="4"/>
        <v>153408.63</v>
      </c>
      <c r="O9" s="34">
        <f t="shared" si="4"/>
        <v>36690.26</v>
      </c>
      <c r="P9" s="34">
        <f t="shared" si="4"/>
        <v>75471.460000000006</v>
      </c>
      <c r="Q9" s="34">
        <f t="shared" si="4"/>
        <v>3132.9700000000003</v>
      </c>
      <c r="R9" s="34">
        <f t="shared" si="4"/>
        <v>19840.89</v>
      </c>
      <c r="S9" s="34">
        <f t="shared" si="4"/>
        <v>1820.3</v>
      </c>
      <c r="T9" s="34">
        <f t="shared" si="4"/>
        <v>6254.6900000000005</v>
      </c>
      <c r="U9" s="34">
        <f t="shared" si="4"/>
        <v>2362.44</v>
      </c>
      <c r="V9" s="34">
        <f t="shared" si="4"/>
        <v>699740.76</v>
      </c>
      <c r="W9" s="34">
        <f t="shared" si="4"/>
        <v>3582.9399999999996</v>
      </c>
      <c r="X9" s="34">
        <f t="shared" si="4"/>
        <v>892182.3</v>
      </c>
      <c r="Y9" s="34">
        <f t="shared" si="4"/>
        <v>3954536.3799999994</v>
      </c>
      <c r="AA9" s="36"/>
      <c r="AG9" s="36"/>
    </row>
    <row r="10" spans="1:33" ht="35.1" customHeight="1">
      <c r="A10" s="1" t="s">
        <v>0</v>
      </c>
      <c r="B10" s="46" t="s">
        <v>18</v>
      </c>
      <c r="C10" s="47" t="s">
        <v>19</v>
      </c>
      <c r="D10" s="48"/>
      <c r="E10" s="49">
        <v>0</v>
      </c>
      <c r="F10" s="50">
        <v>190.27</v>
      </c>
      <c r="G10" s="50">
        <v>0</v>
      </c>
      <c r="H10" s="50">
        <f>590.47-590.47</f>
        <v>0</v>
      </c>
      <c r="I10" s="50">
        <f>51547.02-51547.02</f>
        <v>0</v>
      </c>
      <c r="J10" s="50">
        <f>5351.65-1582.05-198.53-670-2552.51</f>
        <v>348.55999999999904</v>
      </c>
      <c r="K10" s="50">
        <f>2618.03-2568.03</f>
        <v>50</v>
      </c>
      <c r="L10" s="50">
        <f>12350.4-11783.63</f>
        <v>566.77000000000044</v>
      </c>
      <c r="M10" s="50">
        <f>19108.36-18408.36-500</f>
        <v>200</v>
      </c>
      <c r="N10" s="50">
        <f>18925.23-50</f>
        <v>18875.23</v>
      </c>
      <c r="O10" s="50">
        <v>36.15</v>
      </c>
      <c r="P10" s="50">
        <f>74164.49-19264.57-53928</f>
        <v>971.92000000000553</v>
      </c>
      <c r="Q10" s="50">
        <v>0</v>
      </c>
      <c r="R10" s="50">
        <f>19094.38-10914.06-8180.32</f>
        <v>0</v>
      </c>
      <c r="S10" s="50">
        <v>821.92</v>
      </c>
      <c r="T10" s="50">
        <v>4919.7700000000004</v>
      </c>
      <c r="U10" s="50">
        <v>0</v>
      </c>
      <c r="V10" s="50">
        <f>684496.85-683964.92</f>
        <v>531.92999999993481</v>
      </c>
      <c r="W10" s="50">
        <f>663.79-485</f>
        <v>178.78999999999996</v>
      </c>
      <c r="X10" s="50">
        <v>80</v>
      </c>
      <c r="Y10" s="51">
        <f t="shared" ref="Y10:Y24" si="5">SUM(E10:X10)</f>
        <v>27771.309999999939</v>
      </c>
      <c r="Z10" s="8" t="s">
        <v>20</v>
      </c>
    </row>
    <row r="11" spans="1:33" ht="35.1" customHeight="1">
      <c r="A11" s="1" t="s">
        <v>0</v>
      </c>
      <c r="B11" s="46">
        <v>804</v>
      </c>
      <c r="C11" s="47" t="s">
        <v>21</v>
      </c>
      <c r="D11" s="48"/>
      <c r="E11" s="49">
        <v>0</v>
      </c>
      <c r="F11" s="50">
        <v>197.39</v>
      </c>
      <c r="G11" s="50">
        <v>301.12</v>
      </c>
      <c r="H11" s="50">
        <v>453.53</v>
      </c>
      <c r="I11" s="50">
        <v>384.33</v>
      </c>
      <c r="J11" s="50">
        <v>275.94</v>
      </c>
      <c r="K11" s="50">
        <v>261.06</v>
      </c>
      <c r="L11" s="50">
        <v>404.35</v>
      </c>
      <c r="M11" s="50">
        <v>1115.6199999999999</v>
      </c>
      <c r="N11" s="50">
        <v>942.18</v>
      </c>
      <c r="O11" s="50">
        <v>489.7</v>
      </c>
      <c r="P11" s="50">
        <v>1306.97</v>
      </c>
      <c r="Q11" s="50">
        <v>632.97</v>
      </c>
      <c r="R11" s="50">
        <v>746.51</v>
      </c>
      <c r="S11" s="50">
        <v>998.38</v>
      </c>
      <c r="T11" s="50">
        <v>1334.92</v>
      </c>
      <c r="U11" s="50">
        <v>2362.44</v>
      </c>
      <c r="V11" s="50">
        <v>1111.01</v>
      </c>
      <c r="W11" s="50">
        <v>1400.53</v>
      </c>
      <c r="X11" s="50">
        <v>550.77</v>
      </c>
      <c r="Y11" s="51">
        <f t="shared" si="5"/>
        <v>15269.720000000001</v>
      </c>
    </row>
    <row r="12" spans="1:33" ht="35.1" customHeight="1">
      <c r="A12" s="1" t="s">
        <v>0</v>
      </c>
      <c r="B12" s="46">
        <v>805</v>
      </c>
      <c r="C12" s="47" t="s">
        <v>22</v>
      </c>
      <c r="D12" s="48"/>
      <c r="E12" s="49">
        <v>0</v>
      </c>
      <c r="F12" s="50">
        <v>0</v>
      </c>
      <c r="G12" s="50">
        <v>0</v>
      </c>
      <c r="H12" s="50">
        <v>590.47</v>
      </c>
      <c r="I12" s="50">
        <v>0</v>
      </c>
      <c r="J12" s="50">
        <v>1582.05</v>
      </c>
      <c r="K12" s="50">
        <v>0</v>
      </c>
      <c r="L12" s="50">
        <v>0</v>
      </c>
      <c r="M12" s="50">
        <f>20163.99+500</f>
        <v>20663.990000000002</v>
      </c>
      <c r="N12" s="50">
        <f>2.97+50</f>
        <v>52.97</v>
      </c>
      <c r="O12" s="50">
        <v>0</v>
      </c>
      <c r="P12" s="50">
        <v>0</v>
      </c>
      <c r="Q12" s="50">
        <v>2500</v>
      </c>
      <c r="R12" s="50">
        <v>8180.32</v>
      </c>
      <c r="S12" s="50">
        <v>0</v>
      </c>
      <c r="T12" s="50">
        <v>0</v>
      </c>
      <c r="U12" s="50">
        <v>0</v>
      </c>
      <c r="V12" s="50">
        <v>0</v>
      </c>
      <c r="W12" s="50">
        <v>1518.62</v>
      </c>
      <c r="X12" s="50">
        <v>24214.65</v>
      </c>
      <c r="Y12" s="51">
        <f t="shared" si="5"/>
        <v>59303.070000000007</v>
      </c>
      <c r="AA12" s="43">
        <v>166275</v>
      </c>
      <c r="AB12" s="10">
        <f t="shared" ref="AB12" si="6">+Y12-AA12</f>
        <v>-106971.93</v>
      </c>
      <c r="AC12" s="44" t="s">
        <v>6</v>
      </c>
      <c r="AD12" s="45">
        <v>7</v>
      </c>
      <c r="AF12" s="10">
        <v>66068</v>
      </c>
      <c r="AG12" s="9">
        <v>49275</v>
      </c>
    </row>
    <row r="13" spans="1:33" ht="35.1" customHeight="1">
      <c r="A13" s="1" t="s">
        <v>0</v>
      </c>
      <c r="B13" s="46">
        <v>806</v>
      </c>
      <c r="C13" s="47" t="s">
        <v>23</v>
      </c>
      <c r="D13" s="48"/>
      <c r="E13" s="49">
        <v>0</v>
      </c>
      <c r="F13" s="50">
        <v>0</v>
      </c>
      <c r="G13" s="50">
        <v>0</v>
      </c>
      <c r="H13" s="50">
        <v>0</v>
      </c>
      <c r="I13" s="50">
        <v>0</v>
      </c>
      <c r="J13" s="50">
        <v>0</v>
      </c>
      <c r="K13" s="50">
        <v>0</v>
      </c>
      <c r="L13" s="50">
        <v>0</v>
      </c>
      <c r="M13" s="50">
        <v>0</v>
      </c>
      <c r="N13" s="50">
        <v>0</v>
      </c>
      <c r="O13" s="50">
        <v>0</v>
      </c>
      <c r="P13" s="50">
        <v>0</v>
      </c>
      <c r="Q13" s="50">
        <v>0</v>
      </c>
      <c r="R13" s="50">
        <v>0</v>
      </c>
      <c r="S13" s="50">
        <v>0</v>
      </c>
      <c r="T13" s="50">
        <v>0</v>
      </c>
      <c r="U13" s="50">
        <v>0</v>
      </c>
      <c r="V13" s="50">
        <v>0</v>
      </c>
      <c r="W13" s="50">
        <v>0</v>
      </c>
      <c r="X13" s="50">
        <v>0</v>
      </c>
      <c r="Y13" s="51">
        <f t="shared" si="5"/>
        <v>0</v>
      </c>
    </row>
    <row r="14" spans="1:33" ht="35.1" customHeight="1">
      <c r="A14" s="1" t="s">
        <v>0</v>
      </c>
      <c r="B14" s="46">
        <v>810</v>
      </c>
      <c r="C14" s="47" t="s">
        <v>24</v>
      </c>
      <c r="D14" s="48"/>
      <c r="E14" s="49">
        <v>0</v>
      </c>
      <c r="F14" s="50">
        <v>0</v>
      </c>
      <c r="G14" s="50">
        <v>0</v>
      </c>
      <c r="H14" s="50">
        <v>0</v>
      </c>
      <c r="I14" s="50">
        <v>0</v>
      </c>
      <c r="J14" s="50">
        <v>0</v>
      </c>
      <c r="K14" s="50">
        <v>0</v>
      </c>
      <c r="L14" s="50">
        <v>0</v>
      </c>
      <c r="M14" s="50">
        <f>172425.78+137589.55</f>
        <v>310015.32999999996</v>
      </c>
      <c r="N14" s="50">
        <v>133538.25</v>
      </c>
      <c r="O14" s="50">
        <v>0</v>
      </c>
      <c r="P14" s="50">
        <v>0</v>
      </c>
      <c r="Q14" s="50">
        <v>0</v>
      </c>
      <c r="R14" s="50">
        <v>0</v>
      </c>
      <c r="S14" s="50">
        <v>0</v>
      </c>
      <c r="T14" s="50">
        <v>0</v>
      </c>
      <c r="U14" s="50">
        <v>0</v>
      </c>
      <c r="V14" s="50">
        <v>0</v>
      </c>
      <c r="W14" s="50">
        <v>0</v>
      </c>
      <c r="X14" s="50">
        <v>0</v>
      </c>
      <c r="Y14" s="51">
        <f t="shared" si="5"/>
        <v>443553.57999999996</v>
      </c>
      <c r="AA14" s="43">
        <v>62000</v>
      </c>
      <c r="AB14" s="10">
        <f>+Y14-AA14</f>
        <v>381553.57999999996</v>
      </c>
      <c r="AC14" s="44" t="s">
        <v>6</v>
      </c>
      <c r="AD14" s="45">
        <v>7</v>
      </c>
      <c r="AF14" s="10">
        <v>62000</v>
      </c>
      <c r="AG14" s="9">
        <v>62000</v>
      </c>
    </row>
    <row r="15" spans="1:33" ht="35.1" customHeight="1">
      <c r="A15" s="1" t="s">
        <v>0</v>
      </c>
      <c r="B15" s="46">
        <v>811</v>
      </c>
      <c r="C15" s="47" t="s">
        <v>25</v>
      </c>
      <c r="D15" s="48"/>
      <c r="E15" s="49">
        <v>0</v>
      </c>
      <c r="F15" s="50">
        <v>0</v>
      </c>
      <c r="G15" s="50">
        <v>0</v>
      </c>
      <c r="H15" s="50">
        <v>0</v>
      </c>
      <c r="I15" s="50">
        <v>0</v>
      </c>
      <c r="J15" s="50">
        <v>0</v>
      </c>
      <c r="K15" s="50">
        <v>0</v>
      </c>
      <c r="L15" s="50">
        <v>0</v>
      </c>
      <c r="M15" s="50">
        <v>0</v>
      </c>
      <c r="N15" s="50">
        <v>0</v>
      </c>
      <c r="O15" s="50">
        <v>0</v>
      </c>
      <c r="P15" s="50">
        <v>19264.57</v>
      </c>
      <c r="Q15" s="50">
        <v>0</v>
      </c>
      <c r="R15" s="50">
        <v>0</v>
      </c>
      <c r="S15" s="50">
        <v>0</v>
      </c>
      <c r="T15" s="50">
        <v>0</v>
      </c>
      <c r="U15" s="50">
        <v>0</v>
      </c>
      <c r="V15" s="50">
        <v>0</v>
      </c>
      <c r="W15" s="50">
        <v>0</v>
      </c>
      <c r="X15" s="50">
        <v>0</v>
      </c>
      <c r="Y15" s="51">
        <f t="shared" si="5"/>
        <v>19264.57</v>
      </c>
    </row>
    <row r="16" spans="1:33" ht="35.1" customHeight="1">
      <c r="A16" s="1" t="s">
        <v>0</v>
      </c>
      <c r="B16" s="46">
        <v>813</v>
      </c>
      <c r="C16" s="47" t="s">
        <v>26</v>
      </c>
      <c r="D16" s="48"/>
      <c r="E16" s="49">
        <v>0</v>
      </c>
      <c r="F16" s="50">
        <v>0</v>
      </c>
      <c r="G16" s="50">
        <v>0</v>
      </c>
      <c r="H16" s="50">
        <v>0</v>
      </c>
      <c r="I16" s="50">
        <v>0</v>
      </c>
      <c r="J16" s="50">
        <f>198.53+2552.51</f>
        <v>2751.0400000000004</v>
      </c>
      <c r="K16" s="50">
        <v>2568.0300000000002</v>
      </c>
      <c r="L16" s="50">
        <v>0</v>
      </c>
      <c r="M16" s="50">
        <v>18408.359999999997</v>
      </c>
      <c r="N16" s="50">
        <v>0</v>
      </c>
      <c r="O16" s="50">
        <v>0</v>
      </c>
      <c r="P16" s="50">
        <v>0</v>
      </c>
      <c r="Q16" s="50">
        <v>0</v>
      </c>
      <c r="R16" s="50">
        <v>0</v>
      </c>
      <c r="S16" s="50">
        <v>0</v>
      </c>
      <c r="T16" s="50">
        <v>0</v>
      </c>
      <c r="U16" s="50">
        <v>0</v>
      </c>
      <c r="V16" s="50">
        <v>683964.92</v>
      </c>
      <c r="W16" s="50">
        <v>0</v>
      </c>
      <c r="X16" s="50">
        <v>0</v>
      </c>
      <c r="Y16" s="51">
        <f t="shared" si="5"/>
        <v>707692.35000000009</v>
      </c>
      <c r="AA16" s="43">
        <v>410000</v>
      </c>
      <c r="AB16" s="10">
        <f t="shared" ref="AB16" si="7">+Y16-AA16</f>
        <v>297692.35000000009</v>
      </c>
      <c r="AC16" s="44" t="s">
        <v>6</v>
      </c>
      <c r="AD16" s="45">
        <v>7</v>
      </c>
      <c r="AF16" s="10">
        <v>410000</v>
      </c>
      <c r="AG16" s="9">
        <v>410000</v>
      </c>
    </row>
    <row r="17" spans="1:33" ht="35.1" customHeight="1">
      <c r="A17" s="1" t="s">
        <v>0</v>
      </c>
      <c r="B17" s="46">
        <v>814</v>
      </c>
      <c r="C17" s="47" t="s">
        <v>27</v>
      </c>
      <c r="D17" s="48"/>
      <c r="E17" s="49">
        <v>0</v>
      </c>
      <c r="F17" s="50">
        <v>4395.55</v>
      </c>
      <c r="G17" s="50">
        <v>0</v>
      </c>
      <c r="H17" s="50">
        <v>0</v>
      </c>
      <c r="I17" s="50">
        <v>0</v>
      </c>
      <c r="J17" s="50">
        <v>2137.06</v>
      </c>
      <c r="K17" s="50">
        <v>0</v>
      </c>
      <c r="L17" s="50">
        <v>0</v>
      </c>
      <c r="M17" s="50">
        <v>0</v>
      </c>
      <c r="N17" s="50">
        <v>0</v>
      </c>
      <c r="O17" s="50">
        <v>0</v>
      </c>
      <c r="P17" s="50">
        <v>53928</v>
      </c>
      <c r="Q17" s="50">
        <v>0</v>
      </c>
      <c r="R17" s="50">
        <v>0</v>
      </c>
      <c r="S17" s="50">
        <v>0</v>
      </c>
      <c r="T17" s="50">
        <v>0</v>
      </c>
      <c r="U17" s="50">
        <v>0</v>
      </c>
      <c r="V17" s="50">
        <v>14132.9</v>
      </c>
      <c r="W17" s="50">
        <v>0</v>
      </c>
      <c r="X17" s="50">
        <v>0</v>
      </c>
      <c r="Y17" s="51">
        <f t="shared" si="5"/>
        <v>74593.509999999995</v>
      </c>
    </row>
    <row r="18" spans="1:33" ht="35.1" customHeight="1">
      <c r="A18" s="1" t="s">
        <v>0</v>
      </c>
      <c r="B18" s="46">
        <v>817</v>
      </c>
      <c r="C18" s="47" t="s">
        <v>28</v>
      </c>
      <c r="D18" s="48"/>
      <c r="E18" s="49">
        <v>0</v>
      </c>
      <c r="F18" s="50">
        <v>0</v>
      </c>
      <c r="G18" s="50">
        <v>0</v>
      </c>
      <c r="H18" s="50">
        <v>0</v>
      </c>
      <c r="I18" s="50">
        <v>0</v>
      </c>
      <c r="J18" s="50">
        <v>670</v>
      </c>
      <c r="K18" s="50">
        <v>0</v>
      </c>
      <c r="L18" s="50">
        <v>0</v>
      </c>
      <c r="M18" s="50">
        <v>0</v>
      </c>
      <c r="N18" s="50">
        <v>0</v>
      </c>
      <c r="O18" s="50">
        <v>0</v>
      </c>
      <c r="P18" s="50">
        <v>0</v>
      </c>
      <c r="Q18" s="50">
        <v>0</v>
      </c>
      <c r="R18" s="50">
        <v>0</v>
      </c>
      <c r="S18" s="50">
        <v>0</v>
      </c>
      <c r="T18" s="50">
        <v>0</v>
      </c>
      <c r="U18" s="50">
        <v>0</v>
      </c>
      <c r="V18" s="50">
        <v>0</v>
      </c>
      <c r="W18" s="50">
        <v>485</v>
      </c>
      <c r="X18" s="50">
        <v>0</v>
      </c>
      <c r="Y18" s="51">
        <f t="shared" si="5"/>
        <v>1155</v>
      </c>
    </row>
    <row r="19" spans="1:33" ht="35.1" customHeight="1">
      <c r="A19" s="1" t="s">
        <v>0</v>
      </c>
      <c r="B19" s="46">
        <v>818</v>
      </c>
      <c r="C19" s="47" t="s">
        <v>29</v>
      </c>
      <c r="D19" s="48"/>
      <c r="E19" s="49">
        <v>0</v>
      </c>
      <c r="F19" s="50">
        <v>0</v>
      </c>
      <c r="G19" s="50">
        <v>0</v>
      </c>
      <c r="H19" s="50">
        <v>0</v>
      </c>
      <c r="I19" s="50">
        <v>0</v>
      </c>
      <c r="J19" s="50">
        <v>0</v>
      </c>
      <c r="K19" s="50">
        <v>0</v>
      </c>
      <c r="L19" s="50">
        <v>0</v>
      </c>
      <c r="M19" s="50">
        <v>0</v>
      </c>
      <c r="N19" s="50">
        <v>0</v>
      </c>
      <c r="O19" s="50">
        <v>0</v>
      </c>
      <c r="P19" s="50">
        <v>0</v>
      </c>
      <c r="Q19" s="50">
        <v>0</v>
      </c>
      <c r="R19" s="50">
        <v>0</v>
      </c>
      <c r="S19" s="50">
        <v>0</v>
      </c>
      <c r="T19" s="50">
        <v>0</v>
      </c>
      <c r="U19" s="50">
        <v>0</v>
      </c>
      <c r="V19" s="50">
        <v>0</v>
      </c>
      <c r="W19" s="50">
        <v>0</v>
      </c>
      <c r="X19" s="50">
        <v>0</v>
      </c>
      <c r="Y19" s="51">
        <f t="shared" si="5"/>
        <v>0</v>
      </c>
    </row>
    <row r="20" spans="1:33" ht="35.1" customHeight="1">
      <c r="A20" s="1" t="s">
        <v>0</v>
      </c>
      <c r="B20" s="46" t="s">
        <v>30</v>
      </c>
      <c r="C20" s="47" t="s">
        <v>31</v>
      </c>
      <c r="D20" s="48"/>
      <c r="E20" s="49">
        <v>0</v>
      </c>
      <c r="F20" s="50">
        <v>0</v>
      </c>
      <c r="G20" s="50">
        <v>0</v>
      </c>
      <c r="H20" s="50">
        <v>1112903.1099999999</v>
      </c>
      <c r="I20" s="50">
        <v>0</v>
      </c>
      <c r="J20" s="50">
        <v>0</v>
      </c>
      <c r="K20" s="50">
        <v>0</v>
      </c>
      <c r="L20" s="50">
        <v>0</v>
      </c>
      <c r="M20" s="50">
        <v>0</v>
      </c>
      <c r="N20" s="50">
        <v>0</v>
      </c>
      <c r="O20" s="50">
        <v>0</v>
      </c>
      <c r="P20" s="50">
        <v>0</v>
      </c>
      <c r="Q20" s="50">
        <v>0</v>
      </c>
      <c r="R20" s="50">
        <v>0</v>
      </c>
      <c r="S20" s="50">
        <v>0</v>
      </c>
      <c r="T20" s="50">
        <v>0</v>
      </c>
      <c r="U20" s="50">
        <v>0</v>
      </c>
      <c r="V20" s="50">
        <v>0</v>
      </c>
      <c r="W20" s="50">
        <v>0</v>
      </c>
      <c r="X20" s="50">
        <v>867336.88</v>
      </c>
      <c r="Y20" s="51">
        <f t="shared" si="5"/>
        <v>1980239.9899999998</v>
      </c>
      <c r="AA20" s="43">
        <f>1110000+21000</f>
        <v>1131000</v>
      </c>
      <c r="AB20" s="10">
        <f t="shared" ref="AB20" si="8">+Y20-AA20</f>
        <v>849239.98999999976</v>
      </c>
      <c r="AC20" s="44" t="s">
        <v>6</v>
      </c>
      <c r="AD20" s="45">
        <v>8</v>
      </c>
      <c r="AF20" s="10">
        <v>1086500</v>
      </c>
      <c r="AG20" s="9">
        <f>1102070+22500</f>
        <v>1124570</v>
      </c>
    </row>
    <row r="21" spans="1:33" ht="35.1" customHeight="1">
      <c r="A21" s="1" t="s">
        <v>0</v>
      </c>
      <c r="B21" s="46">
        <v>827</v>
      </c>
      <c r="C21" s="47" t="s">
        <v>32</v>
      </c>
      <c r="D21" s="48"/>
      <c r="E21" s="49">
        <v>0</v>
      </c>
      <c r="F21" s="50">
        <v>0</v>
      </c>
      <c r="G21" s="50">
        <v>0</v>
      </c>
      <c r="H21" s="50">
        <v>0</v>
      </c>
      <c r="I21" s="50">
        <v>51547.02</v>
      </c>
      <c r="J21" s="50">
        <v>0</v>
      </c>
      <c r="K21" s="50">
        <v>0</v>
      </c>
      <c r="L21" s="50">
        <v>0</v>
      </c>
      <c r="M21" s="50">
        <v>0</v>
      </c>
      <c r="N21" s="50">
        <v>0</v>
      </c>
      <c r="O21" s="50">
        <v>0</v>
      </c>
      <c r="P21" s="50">
        <v>0</v>
      </c>
      <c r="Q21" s="50">
        <v>0</v>
      </c>
      <c r="R21" s="50">
        <v>0</v>
      </c>
      <c r="S21" s="50">
        <v>0</v>
      </c>
      <c r="T21" s="50">
        <v>0</v>
      </c>
      <c r="U21" s="50">
        <v>0</v>
      </c>
      <c r="V21" s="50">
        <v>0</v>
      </c>
      <c r="W21" s="50">
        <v>0</v>
      </c>
      <c r="X21" s="50">
        <v>0</v>
      </c>
      <c r="Y21" s="51">
        <f t="shared" si="5"/>
        <v>51547.02</v>
      </c>
    </row>
    <row r="22" spans="1:33" ht="35.1" customHeight="1">
      <c r="A22" s="1" t="s">
        <v>0</v>
      </c>
      <c r="B22" s="46">
        <v>830</v>
      </c>
      <c r="C22" s="47" t="s">
        <v>33</v>
      </c>
      <c r="D22" s="48"/>
      <c r="E22" s="49">
        <v>0</v>
      </c>
      <c r="F22" s="50">
        <v>0</v>
      </c>
      <c r="G22" s="50">
        <v>0</v>
      </c>
      <c r="H22" s="50">
        <v>0</v>
      </c>
      <c r="I22" s="50">
        <v>0</v>
      </c>
      <c r="J22" s="50">
        <v>0</v>
      </c>
      <c r="K22" s="50">
        <v>0</v>
      </c>
      <c r="L22" s="50">
        <v>11783.63</v>
      </c>
      <c r="M22" s="50">
        <v>0</v>
      </c>
      <c r="N22" s="50">
        <v>0</v>
      </c>
      <c r="O22" s="50">
        <v>0</v>
      </c>
      <c r="P22" s="50">
        <v>0</v>
      </c>
      <c r="Q22" s="50">
        <v>0</v>
      </c>
      <c r="R22" s="50">
        <v>10914.06</v>
      </c>
      <c r="S22" s="50">
        <v>0</v>
      </c>
      <c r="T22" s="50">
        <v>0</v>
      </c>
      <c r="U22" s="50">
        <v>0</v>
      </c>
      <c r="V22" s="50">
        <v>0</v>
      </c>
      <c r="W22" s="50">
        <v>0</v>
      </c>
      <c r="X22" s="50">
        <v>0</v>
      </c>
      <c r="Y22" s="51">
        <f t="shared" si="5"/>
        <v>22697.69</v>
      </c>
    </row>
    <row r="23" spans="1:33" ht="35.1" customHeight="1">
      <c r="A23" s="1" t="s">
        <v>0</v>
      </c>
      <c r="B23" s="46">
        <v>832</v>
      </c>
      <c r="C23" s="47" t="s">
        <v>34</v>
      </c>
      <c r="D23" s="48"/>
      <c r="E23" s="49">
        <v>0</v>
      </c>
      <c r="F23" s="50">
        <f>19812.74+17301.46</f>
        <v>37114.199999999997</v>
      </c>
      <c r="G23" s="50">
        <v>0</v>
      </c>
      <c r="H23" s="50">
        <v>0</v>
      </c>
      <c r="I23" s="50">
        <v>0</v>
      </c>
      <c r="J23" s="50">
        <v>0</v>
      </c>
      <c r="K23" s="50">
        <v>0</v>
      </c>
      <c r="L23" s="50">
        <f>6485.08+303305.36+168379.52</f>
        <v>478169.95999999996</v>
      </c>
      <c r="M23" s="50">
        <v>0</v>
      </c>
      <c r="N23" s="50">
        <v>0</v>
      </c>
      <c r="O23" s="50">
        <f>18085.6+18078.81</f>
        <v>36164.410000000003</v>
      </c>
      <c r="P23" s="50">
        <v>0</v>
      </c>
      <c r="Q23" s="50">
        <v>0</v>
      </c>
      <c r="R23" s="50">
        <v>0</v>
      </c>
      <c r="S23" s="50">
        <v>0</v>
      </c>
      <c r="T23" s="50">
        <v>0</v>
      </c>
      <c r="U23" s="50">
        <v>0</v>
      </c>
      <c r="V23" s="50">
        <v>0</v>
      </c>
      <c r="W23" s="50">
        <v>0</v>
      </c>
      <c r="X23" s="50">
        <v>0</v>
      </c>
      <c r="Y23" s="51">
        <f t="shared" si="5"/>
        <v>551448.56999999995</v>
      </c>
      <c r="AA23" s="43">
        <v>400000</v>
      </c>
      <c r="AB23" s="10">
        <f t="shared" ref="AB23" si="9">+Y23-AA23</f>
        <v>151448.56999999995</v>
      </c>
      <c r="AC23" s="44" t="s">
        <v>6</v>
      </c>
      <c r="AD23" s="45">
        <v>7</v>
      </c>
      <c r="AF23" s="10">
        <v>1120000</v>
      </c>
      <c r="AG23" s="9">
        <v>608000</v>
      </c>
    </row>
    <row r="24" spans="1:33" ht="35.1" customHeight="1">
      <c r="A24" s="1" t="s">
        <v>0</v>
      </c>
      <c r="B24" s="46">
        <v>833</v>
      </c>
      <c r="C24" s="47" t="s">
        <v>35</v>
      </c>
      <c r="D24" s="48"/>
      <c r="E24" s="49">
        <v>0</v>
      </c>
      <c r="F24" s="50">
        <v>0</v>
      </c>
      <c r="G24" s="50">
        <v>0</v>
      </c>
      <c r="H24" s="50">
        <v>0</v>
      </c>
      <c r="I24" s="50">
        <v>0</v>
      </c>
      <c r="J24" s="50">
        <v>0</v>
      </c>
      <c r="K24" s="50">
        <v>0</v>
      </c>
      <c r="L24" s="50">
        <v>0</v>
      </c>
      <c r="M24" s="50">
        <v>0</v>
      </c>
      <c r="N24" s="50">
        <v>0</v>
      </c>
      <c r="O24" s="50">
        <v>0</v>
      </c>
      <c r="P24" s="50">
        <v>0</v>
      </c>
      <c r="Q24" s="50">
        <v>0</v>
      </c>
      <c r="R24" s="50">
        <v>0</v>
      </c>
      <c r="S24" s="50">
        <v>0</v>
      </c>
      <c r="T24" s="50">
        <v>0</v>
      </c>
      <c r="U24" s="50">
        <v>0</v>
      </c>
      <c r="V24" s="50">
        <v>0</v>
      </c>
      <c r="W24" s="50">
        <v>0</v>
      </c>
      <c r="X24" s="50">
        <v>0</v>
      </c>
      <c r="Y24" s="51">
        <f t="shared" si="5"/>
        <v>0</v>
      </c>
    </row>
    <row r="25" spans="1:33" s="29" customFormat="1" ht="35.1" customHeight="1">
      <c r="A25" s="1" t="s">
        <v>0</v>
      </c>
      <c r="B25" s="52" t="s">
        <v>36</v>
      </c>
      <c r="C25" s="53" t="s">
        <v>37</v>
      </c>
      <c r="D25" s="54"/>
      <c r="E25" s="55">
        <f>+E26+E47+E55+E82+E96+E63</f>
        <v>0</v>
      </c>
      <c r="F25" s="56">
        <f>+F26+F47+F55+F82+F96+F100</f>
        <v>295088.65000000002</v>
      </c>
      <c r="G25" s="56">
        <f t="shared" ref="G25:Y25" si="10">+G26+G47+G55+G82+G96+G100</f>
        <v>157448.03</v>
      </c>
      <c r="H25" s="56">
        <f t="shared" si="10"/>
        <v>635511.9</v>
      </c>
      <c r="I25" s="56">
        <f t="shared" si="10"/>
        <v>1967668.27</v>
      </c>
      <c r="J25" s="56">
        <f t="shared" si="10"/>
        <v>1132732.92</v>
      </c>
      <c r="K25" s="56">
        <f t="shared" si="10"/>
        <v>61906.729999999996</v>
      </c>
      <c r="L25" s="56">
        <f t="shared" si="10"/>
        <v>128928.39</v>
      </c>
      <c r="M25" s="56">
        <f t="shared" si="10"/>
        <v>54564.180000000197</v>
      </c>
      <c r="N25" s="56">
        <f t="shared" si="10"/>
        <v>8887972.7199999988</v>
      </c>
      <c r="O25" s="56">
        <f t="shared" si="10"/>
        <v>404496.16000000003</v>
      </c>
      <c r="P25" s="56">
        <f t="shared" si="10"/>
        <v>5342986.8899999997</v>
      </c>
      <c r="Q25" s="56">
        <f t="shared" si="10"/>
        <v>314630.94999999995</v>
      </c>
      <c r="R25" s="56">
        <f t="shared" si="10"/>
        <v>39519.270000000004</v>
      </c>
      <c r="S25" s="56">
        <f t="shared" si="10"/>
        <v>184443.23</v>
      </c>
      <c r="T25" s="56">
        <f t="shared" si="10"/>
        <v>1075826.8999999999</v>
      </c>
      <c r="U25" s="56">
        <f t="shared" si="10"/>
        <v>1514890.69</v>
      </c>
      <c r="V25" s="56">
        <f t="shared" si="10"/>
        <v>207212.45</v>
      </c>
      <c r="W25" s="56">
        <f t="shared" si="10"/>
        <v>7511527.7899999991</v>
      </c>
      <c r="X25" s="56">
        <f t="shared" si="10"/>
        <v>6299422.5300000012</v>
      </c>
      <c r="Y25" s="56">
        <f t="shared" si="10"/>
        <v>36216778.649999999</v>
      </c>
      <c r="AA25" s="30"/>
      <c r="AG25" s="30"/>
    </row>
    <row r="26" spans="1:33" s="29" customFormat="1" ht="35.1" customHeight="1">
      <c r="A26" s="1" t="s">
        <v>0</v>
      </c>
      <c r="B26" s="24" t="s">
        <v>38</v>
      </c>
      <c r="C26" s="57" t="s">
        <v>39</v>
      </c>
      <c r="D26" s="58"/>
      <c r="E26" s="27">
        <f t="shared" ref="E26:Y26" si="11">+E27+E34+E39+E44</f>
        <v>0</v>
      </c>
      <c r="F26" s="28">
        <f t="shared" si="11"/>
        <v>77567.789999999994</v>
      </c>
      <c r="G26" s="28">
        <f t="shared" si="11"/>
        <v>9347.7800000000007</v>
      </c>
      <c r="H26" s="28">
        <f t="shared" si="11"/>
        <v>21377</v>
      </c>
      <c r="I26" s="28">
        <f t="shared" si="11"/>
        <v>1310441.79</v>
      </c>
      <c r="J26" s="28">
        <f t="shared" si="11"/>
        <v>491143.43</v>
      </c>
      <c r="K26" s="28">
        <f t="shared" si="11"/>
        <v>18759.36</v>
      </c>
      <c r="L26" s="28">
        <f t="shared" si="11"/>
        <v>76747.37999999999</v>
      </c>
      <c r="M26" s="28">
        <f t="shared" si="11"/>
        <v>2.0060042515979148E-10</v>
      </c>
      <c r="N26" s="28">
        <f t="shared" si="11"/>
        <v>8831866.9899999984</v>
      </c>
      <c r="O26" s="28">
        <f t="shared" si="11"/>
        <v>69839.739999999991</v>
      </c>
      <c r="P26" s="28">
        <f t="shared" si="11"/>
        <v>5099004.97</v>
      </c>
      <c r="Q26" s="28">
        <f t="shared" si="11"/>
        <v>48955.63</v>
      </c>
      <c r="R26" s="28">
        <f t="shared" si="11"/>
        <v>27695.11</v>
      </c>
      <c r="S26" s="28">
        <f t="shared" si="11"/>
        <v>0</v>
      </c>
      <c r="T26" s="28">
        <f t="shared" si="11"/>
        <v>8462.619999999999</v>
      </c>
      <c r="U26" s="28">
        <f t="shared" si="11"/>
        <v>4464.51</v>
      </c>
      <c r="V26" s="28">
        <f t="shared" si="11"/>
        <v>51248.6</v>
      </c>
      <c r="W26" s="28">
        <f t="shared" si="11"/>
        <v>6794401.7799999993</v>
      </c>
      <c r="X26" s="28">
        <f t="shared" si="11"/>
        <v>5276744.0100000007</v>
      </c>
      <c r="Y26" s="28">
        <f t="shared" si="11"/>
        <v>28218068.489999995</v>
      </c>
      <c r="AA26" s="30"/>
      <c r="AG26" s="30"/>
    </row>
    <row r="27" spans="1:33" s="29" customFormat="1" ht="35.1" customHeight="1">
      <c r="A27" s="1" t="s">
        <v>0</v>
      </c>
      <c r="B27" s="59" t="s">
        <v>40</v>
      </c>
      <c r="C27" s="60"/>
      <c r="D27" s="61" t="s">
        <v>41</v>
      </c>
      <c r="E27" s="62">
        <f t="shared" ref="E27:Y27" si="12">SUM(E28:E33)</f>
        <v>0</v>
      </c>
      <c r="F27" s="63">
        <f t="shared" si="12"/>
        <v>76904.539999999994</v>
      </c>
      <c r="G27" s="63">
        <f t="shared" si="12"/>
        <v>5126.43</v>
      </c>
      <c r="H27" s="63">
        <f t="shared" si="12"/>
        <v>21377</v>
      </c>
      <c r="I27" s="63">
        <f t="shared" si="12"/>
        <v>321927.56</v>
      </c>
      <c r="J27" s="63">
        <f t="shared" si="12"/>
        <v>491107.25</v>
      </c>
      <c r="K27" s="63">
        <f t="shared" si="12"/>
        <v>15368.37</v>
      </c>
      <c r="L27" s="63">
        <f t="shared" si="12"/>
        <v>66361.95</v>
      </c>
      <c r="M27" s="63">
        <f t="shared" si="12"/>
        <v>2.0060042515979148E-10</v>
      </c>
      <c r="N27" s="63">
        <f t="shared" si="12"/>
        <v>8815826.6199999992</v>
      </c>
      <c r="O27" s="63">
        <f t="shared" si="12"/>
        <v>6782.09</v>
      </c>
      <c r="P27" s="63">
        <f t="shared" si="12"/>
        <v>59209.39</v>
      </c>
      <c r="Q27" s="63">
        <f t="shared" si="12"/>
        <v>46707.93</v>
      </c>
      <c r="R27" s="63">
        <f t="shared" si="12"/>
        <v>24885.65</v>
      </c>
      <c r="S27" s="63">
        <f t="shared" si="12"/>
        <v>0</v>
      </c>
      <c r="T27" s="63">
        <f t="shared" si="12"/>
        <v>0</v>
      </c>
      <c r="U27" s="63">
        <f t="shared" si="12"/>
        <v>2446.14</v>
      </c>
      <c r="V27" s="63">
        <f t="shared" si="12"/>
        <v>43061.7</v>
      </c>
      <c r="W27" s="63">
        <f t="shared" si="12"/>
        <v>6793727.8499999996</v>
      </c>
      <c r="X27" s="63">
        <f t="shared" si="12"/>
        <v>115501.07999999999</v>
      </c>
      <c r="Y27" s="63">
        <f t="shared" si="12"/>
        <v>16906321.549999997</v>
      </c>
      <c r="AA27" s="30"/>
      <c r="AG27" s="30"/>
    </row>
    <row r="28" spans="1:33" ht="35.1" customHeight="1">
      <c r="B28" s="64" t="s">
        <v>42</v>
      </c>
      <c r="C28" s="65" t="s">
        <v>43</v>
      </c>
      <c r="D28" s="66" t="s">
        <v>44</v>
      </c>
      <c r="E28" s="49">
        <f t="shared" ref="E28:X32" si="13">+E114+E181</f>
        <v>0</v>
      </c>
      <c r="F28" s="50">
        <f t="shared" si="13"/>
        <v>0</v>
      </c>
      <c r="G28" s="50">
        <f t="shared" si="13"/>
        <v>5126.43</v>
      </c>
      <c r="H28" s="50">
        <f t="shared" si="13"/>
        <v>0</v>
      </c>
      <c r="I28" s="50">
        <f t="shared" si="13"/>
        <v>0</v>
      </c>
      <c r="J28" s="50">
        <f t="shared" si="13"/>
        <v>5764.23</v>
      </c>
      <c r="K28" s="50">
        <f t="shared" si="13"/>
        <v>0</v>
      </c>
      <c r="L28" s="50">
        <f t="shared" si="13"/>
        <v>0</v>
      </c>
      <c r="M28" s="50">
        <f t="shared" si="13"/>
        <v>8.4128259913995862E-11</v>
      </c>
      <c r="N28" s="50">
        <f t="shared" si="13"/>
        <v>4351048.4799999995</v>
      </c>
      <c r="O28" s="50">
        <f t="shared" si="13"/>
        <v>0</v>
      </c>
      <c r="P28" s="50">
        <f t="shared" si="13"/>
        <v>0</v>
      </c>
      <c r="Q28" s="50">
        <f t="shared" si="13"/>
        <v>0</v>
      </c>
      <c r="R28" s="50">
        <f t="shared" si="13"/>
        <v>0</v>
      </c>
      <c r="S28" s="50">
        <f t="shared" si="13"/>
        <v>0</v>
      </c>
      <c r="T28" s="50">
        <f t="shared" si="13"/>
        <v>0</v>
      </c>
      <c r="U28" s="50">
        <f t="shared" si="13"/>
        <v>0</v>
      </c>
      <c r="V28" s="50">
        <f t="shared" si="13"/>
        <v>0</v>
      </c>
      <c r="W28" s="50">
        <f t="shared" si="13"/>
        <v>4326772.26</v>
      </c>
      <c r="X28" s="50">
        <f t="shared" si="13"/>
        <v>7539.2900000000009</v>
      </c>
      <c r="Y28" s="51">
        <f t="shared" ref="Y28:Y33" si="14">SUM(E28:X28)</f>
        <v>8696250.6899999976</v>
      </c>
    </row>
    <row r="29" spans="1:33" ht="35.1" customHeight="1">
      <c r="B29" s="46" t="s">
        <v>42</v>
      </c>
      <c r="C29" s="65" t="s">
        <v>45</v>
      </c>
      <c r="D29" s="66" t="s">
        <v>46</v>
      </c>
      <c r="E29" s="49">
        <f t="shared" si="13"/>
        <v>0</v>
      </c>
      <c r="F29" s="50">
        <f t="shared" si="13"/>
        <v>68749.73</v>
      </c>
      <c r="G29" s="50">
        <f t="shared" si="13"/>
        <v>0</v>
      </c>
      <c r="H29" s="50">
        <f t="shared" si="13"/>
        <v>3687</v>
      </c>
      <c r="I29" s="50">
        <f t="shared" si="13"/>
        <v>0</v>
      </c>
      <c r="J29" s="50">
        <f t="shared" si="13"/>
        <v>48675.53</v>
      </c>
      <c r="K29" s="50">
        <f t="shared" si="13"/>
        <v>15368.37</v>
      </c>
      <c r="L29" s="50">
        <f t="shared" si="13"/>
        <v>62399.43</v>
      </c>
      <c r="M29" s="50">
        <f t="shared" si="13"/>
        <v>0</v>
      </c>
      <c r="N29" s="50">
        <f t="shared" si="13"/>
        <v>91511.84</v>
      </c>
      <c r="O29" s="50">
        <f t="shared" si="13"/>
        <v>6782.09</v>
      </c>
      <c r="P29" s="50">
        <f t="shared" si="13"/>
        <v>52267.519999999997</v>
      </c>
      <c r="Q29" s="50">
        <f t="shared" si="13"/>
        <v>0</v>
      </c>
      <c r="R29" s="50">
        <f t="shared" si="13"/>
        <v>24885.65</v>
      </c>
      <c r="S29" s="50">
        <f t="shared" si="13"/>
        <v>0</v>
      </c>
      <c r="T29" s="50">
        <f t="shared" si="13"/>
        <v>0</v>
      </c>
      <c r="U29" s="50">
        <f t="shared" si="13"/>
        <v>2446.14</v>
      </c>
      <c r="V29" s="50">
        <f t="shared" si="13"/>
        <v>43061.7</v>
      </c>
      <c r="W29" s="50">
        <f t="shared" si="13"/>
        <v>500874.02999999997</v>
      </c>
      <c r="X29" s="50">
        <f t="shared" si="13"/>
        <v>98505.64</v>
      </c>
      <c r="Y29" s="51">
        <f t="shared" si="14"/>
        <v>1019214.67</v>
      </c>
    </row>
    <row r="30" spans="1:33" ht="35.1" customHeight="1">
      <c r="B30" s="46" t="s">
        <v>42</v>
      </c>
      <c r="C30" s="65" t="s">
        <v>47</v>
      </c>
      <c r="D30" s="66" t="s">
        <v>48</v>
      </c>
      <c r="E30" s="49">
        <f t="shared" si="13"/>
        <v>0</v>
      </c>
      <c r="F30" s="50">
        <f t="shared" si="13"/>
        <v>0</v>
      </c>
      <c r="G30" s="50">
        <f t="shared" si="13"/>
        <v>0</v>
      </c>
      <c r="H30" s="50">
        <f t="shared" si="13"/>
        <v>17690</v>
      </c>
      <c r="I30" s="50">
        <f t="shared" si="13"/>
        <v>321927.56</v>
      </c>
      <c r="J30" s="50">
        <f t="shared" si="13"/>
        <v>436667.49</v>
      </c>
      <c r="K30" s="50">
        <f t="shared" si="13"/>
        <v>0</v>
      </c>
      <c r="L30" s="50">
        <f t="shared" si="13"/>
        <v>0</v>
      </c>
      <c r="M30" s="50">
        <f t="shared" si="13"/>
        <v>0</v>
      </c>
      <c r="N30" s="50">
        <f t="shared" si="13"/>
        <v>0</v>
      </c>
      <c r="O30" s="50">
        <f t="shared" si="13"/>
        <v>0</v>
      </c>
      <c r="P30" s="50">
        <v>0</v>
      </c>
      <c r="Q30" s="50">
        <f t="shared" si="13"/>
        <v>0</v>
      </c>
      <c r="R30" s="50">
        <f t="shared" si="13"/>
        <v>0</v>
      </c>
      <c r="S30" s="50">
        <f t="shared" si="13"/>
        <v>0</v>
      </c>
      <c r="T30" s="50">
        <f t="shared" si="13"/>
        <v>0</v>
      </c>
      <c r="U30" s="50">
        <f t="shared" si="13"/>
        <v>0</v>
      </c>
      <c r="V30" s="50">
        <f t="shared" si="13"/>
        <v>0</v>
      </c>
      <c r="W30" s="50">
        <f t="shared" si="13"/>
        <v>0</v>
      </c>
      <c r="X30" s="50">
        <f t="shared" si="13"/>
        <v>9456.1500000000015</v>
      </c>
      <c r="Y30" s="51">
        <f t="shared" si="14"/>
        <v>785741.20000000007</v>
      </c>
    </row>
    <row r="31" spans="1:33" ht="35.1" customHeight="1">
      <c r="B31" s="46" t="s">
        <v>42</v>
      </c>
      <c r="C31" s="65" t="s">
        <v>49</v>
      </c>
      <c r="D31" s="66" t="s">
        <v>50</v>
      </c>
      <c r="E31" s="49">
        <f t="shared" si="13"/>
        <v>0</v>
      </c>
      <c r="F31" s="50">
        <f t="shared" si="13"/>
        <v>8154.81</v>
      </c>
      <c r="G31" s="50">
        <f t="shared" si="13"/>
        <v>0</v>
      </c>
      <c r="H31" s="50">
        <f t="shared" si="13"/>
        <v>0</v>
      </c>
      <c r="I31" s="50">
        <f t="shared" si="13"/>
        <v>0</v>
      </c>
      <c r="J31" s="50">
        <f t="shared" si="13"/>
        <v>0</v>
      </c>
      <c r="K31" s="50">
        <f t="shared" si="13"/>
        <v>0</v>
      </c>
      <c r="L31" s="50">
        <f t="shared" si="13"/>
        <v>3962.52</v>
      </c>
      <c r="M31" s="50">
        <f t="shared" si="13"/>
        <v>0</v>
      </c>
      <c r="N31" s="50">
        <f t="shared" si="13"/>
        <v>10557.779999999999</v>
      </c>
      <c r="O31" s="50">
        <f t="shared" si="13"/>
        <v>0</v>
      </c>
      <c r="P31" s="50">
        <f>+P117+P184</f>
        <v>6941.87</v>
      </c>
      <c r="Q31" s="50">
        <f t="shared" si="13"/>
        <v>0</v>
      </c>
      <c r="R31" s="50">
        <f t="shared" si="13"/>
        <v>0</v>
      </c>
      <c r="S31" s="50">
        <f t="shared" si="13"/>
        <v>0</v>
      </c>
      <c r="T31" s="50">
        <f t="shared" si="13"/>
        <v>0</v>
      </c>
      <c r="U31" s="50">
        <f t="shared" si="13"/>
        <v>0</v>
      </c>
      <c r="V31" s="50">
        <f t="shared" si="13"/>
        <v>0</v>
      </c>
      <c r="W31" s="50">
        <f t="shared" si="13"/>
        <v>1966081.56</v>
      </c>
      <c r="X31" s="50">
        <f t="shared" si="13"/>
        <v>0</v>
      </c>
      <c r="Y31" s="51">
        <f t="shared" si="14"/>
        <v>1995698.54</v>
      </c>
    </row>
    <row r="32" spans="1:33" ht="35.1" customHeight="1">
      <c r="B32" s="64" t="s">
        <v>42</v>
      </c>
      <c r="C32" s="65" t="s">
        <v>51</v>
      </c>
      <c r="D32" s="66" t="s">
        <v>52</v>
      </c>
      <c r="E32" s="49">
        <f t="shared" si="13"/>
        <v>0</v>
      </c>
      <c r="F32" s="50">
        <f t="shared" si="13"/>
        <v>0</v>
      </c>
      <c r="G32" s="50">
        <f t="shared" si="13"/>
        <v>0</v>
      </c>
      <c r="H32" s="50">
        <f t="shared" si="13"/>
        <v>0</v>
      </c>
      <c r="I32" s="50">
        <f t="shared" si="13"/>
        <v>0</v>
      </c>
      <c r="J32" s="50">
        <f t="shared" si="13"/>
        <v>0</v>
      </c>
      <c r="K32" s="50">
        <f t="shared" si="13"/>
        <v>0</v>
      </c>
      <c r="L32" s="50">
        <f t="shared" si="13"/>
        <v>0</v>
      </c>
      <c r="M32" s="50">
        <f t="shared" si="13"/>
        <v>1.1647216524579562E-10</v>
      </c>
      <c r="N32" s="50">
        <f t="shared" si="13"/>
        <v>4362708.5199999996</v>
      </c>
      <c r="O32" s="50">
        <f t="shared" si="13"/>
        <v>0</v>
      </c>
      <c r="P32" s="50">
        <f>+P118+P185</f>
        <v>0</v>
      </c>
      <c r="Q32" s="50">
        <f t="shared" si="13"/>
        <v>0</v>
      </c>
      <c r="R32" s="50">
        <f t="shared" si="13"/>
        <v>0</v>
      </c>
      <c r="S32" s="50">
        <f t="shared" si="13"/>
        <v>0</v>
      </c>
      <c r="T32" s="50">
        <f t="shared" si="13"/>
        <v>0</v>
      </c>
      <c r="U32" s="50">
        <f t="shared" si="13"/>
        <v>0</v>
      </c>
      <c r="V32" s="50">
        <f t="shared" si="13"/>
        <v>0</v>
      </c>
      <c r="W32" s="50">
        <f t="shared" si="13"/>
        <v>0</v>
      </c>
      <c r="X32" s="50">
        <f t="shared" si="13"/>
        <v>0</v>
      </c>
      <c r="Y32" s="51">
        <f t="shared" si="14"/>
        <v>4362708.5199999996</v>
      </c>
    </row>
    <row r="33" spans="1:33" ht="35.1" customHeight="1">
      <c r="B33" s="46" t="s">
        <v>42</v>
      </c>
      <c r="C33" s="65" t="s">
        <v>53</v>
      </c>
      <c r="D33" s="66" t="s">
        <v>54</v>
      </c>
      <c r="E33" s="49">
        <f>+E119</f>
        <v>0</v>
      </c>
      <c r="F33" s="50">
        <f t="shared" ref="F33:X33" si="15">+F119</f>
        <v>0</v>
      </c>
      <c r="G33" s="50">
        <f t="shared" si="15"/>
        <v>0</v>
      </c>
      <c r="H33" s="50">
        <f t="shared" si="15"/>
        <v>0</v>
      </c>
      <c r="I33" s="50">
        <f t="shared" si="15"/>
        <v>0</v>
      </c>
      <c r="J33" s="50">
        <f t="shared" si="15"/>
        <v>0</v>
      </c>
      <c r="K33" s="50">
        <f t="shared" si="15"/>
        <v>0</v>
      </c>
      <c r="L33" s="50">
        <f t="shared" si="15"/>
        <v>0</v>
      </c>
      <c r="M33" s="50">
        <f t="shared" si="15"/>
        <v>0</v>
      </c>
      <c r="N33" s="50">
        <f t="shared" si="15"/>
        <v>0</v>
      </c>
      <c r="O33" s="50">
        <f t="shared" si="15"/>
        <v>0</v>
      </c>
      <c r="P33" s="50">
        <f t="shared" si="15"/>
        <v>0</v>
      </c>
      <c r="Q33" s="50">
        <f t="shared" si="15"/>
        <v>46707.93</v>
      </c>
      <c r="R33" s="50">
        <f t="shared" si="15"/>
        <v>0</v>
      </c>
      <c r="S33" s="50">
        <f t="shared" si="15"/>
        <v>0</v>
      </c>
      <c r="T33" s="50">
        <f t="shared" si="15"/>
        <v>0</v>
      </c>
      <c r="U33" s="50">
        <f t="shared" si="15"/>
        <v>0</v>
      </c>
      <c r="V33" s="50">
        <f t="shared" si="15"/>
        <v>0</v>
      </c>
      <c r="W33" s="50">
        <f t="shared" si="15"/>
        <v>0</v>
      </c>
      <c r="X33" s="50">
        <f t="shared" si="15"/>
        <v>0</v>
      </c>
      <c r="Y33" s="51">
        <f t="shared" si="14"/>
        <v>46707.93</v>
      </c>
    </row>
    <row r="34" spans="1:33" s="29" customFormat="1" ht="35.1" customHeight="1">
      <c r="A34" s="1" t="s">
        <v>0</v>
      </c>
      <c r="B34" s="59" t="s">
        <v>55</v>
      </c>
      <c r="C34" s="60"/>
      <c r="D34" s="60" t="s">
        <v>56</v>
      </c>
      <c r="E34" s="62">
        <f t="shared" ref="E34:Y34" si="16">SUM(E35:E38)</f>
        <v>0</v>
      </c>
      <c r="F34" s="63">
        <f t="shared" si="16"/>
        <v>663.25</v>
      </c>
      <c r="G34" s="63">
        <f t="shared" si="16"/>
        <v>4221.3500000000004</v>
      </c>
      <c r="H34" s="63">
        <f t="shared" si="16"/>
        <v>0</v>
      </c>
      <c r="I34" s="63">
        <f t="shared" si="16"/>
        <v>0</v>
      </c>
      <c r="J34" s="63">
        <f t="shared" si="16"/>
        <v>0</v>
      </c>
      <c r="K34" s="63">
        <f t="shared" si="16"/>
        <v>0</v>
      </c>
      <c r="L34" s="63">
        <f t="shared" si="16"/>
        <v>6843.44</v>
      </c>
      <c r="M34" s="63">
        <f t="shared" si="16"/>
        <v>0</v>
      </c>
      <c r="N34" s="63">
        <f t="shared" si="16"/>
        <v>0</v>
      </c>
      <c r="O34" s="63">
        <f t="shared" si="16"/>
        <v>63057.649999999994</v>
      </c>
      <c r="P34" s="63">
        <f t="shared" si="16"/>
        <v>50399.170000000006</v>
      </c>
      <c r="Q34" s="63">
        <f t="shared" si="16"/>
        <v>1950</v>
      </c>
      <c r="R34" s="63">
        <f t="shared" si="16"/>
        <v>0</v>
      </c>
      <c r="S34" s="63">
        <f t="shared" si="16"/>
        <v>0</v>
      </c>
      <c r="T34" s="63">
        <f t="shared" si="16"/>
        <v>5732.7</v>
      </c>
      <c r="U34" s="63">
        <f t="shared" si="16"/>
        <v>2018.37</v>
      </c>
      <c r="V34" s="63">
        <f t="shared" si="16"/>
        <v>0</v>
      </c>
      <c r="W34" s="63">
        <f t="shared" si="16"/>
        <v>673.93</v>
      </c>
      <c r="X34" s="63">
        <f t="shared" si="16"/>
        <v>5136252.58</v>
      </c>
      <c r="Y34" s="63">
        <f t="shared" si="16"/>
        <v>5271812.4399999995</v>
      </c>
      <c r="AA34" s="30"/>
      <c r="AG34" s="30"/>
    </row>
    <row r="35" spans="1:33" ht="35.1" customHeight="1">
      <c r="B35" s="46" t="s">
        <v>42</v>
      </c>
      <c r="C35" s="65" t="s">
        <v>57</v>
      </c>
      <c r="D35" s="66" t="s">
        <v>58</v>
      </c>
      <c r="E35" s="49">
        <f t="shared" ref="E35:X36" si="17">+E121+E187</f>
        <v>0</v>
      </c>
      <c r="F35" s="50">
        <f t="shared" si="17"/>
        <v>0</v>
      </c>
      <c r="G35" s="50">
        <f t="shared" si="17"/>
        <v>4221.3500000000004</v>
      </c>
      <c r="H35" s="50">
        <f t="shared" si="17"/>
        <v>0</v>
      </c>
      <c r="I35" s="50">
        <f t="shared" si="17"/>
        <v>0</v>
      </c>
      <c r="J35" s="50">
        <f t="shared" si="17"/>
        <v>0</v>
      </c>
      <c r="K35" s="50">
        <f t="shared" si="17"/>
        <v>0</v>
      </c>
      <c r="L35" s="50">
        <f t="shared" si="17"/>
        <v>6523.04</v>
      </c>
      <c r="M35" s="50">
        <f t="shared" si="17"/>
        <v>0</v>
      </c>
      <c r="N35" s="50">
        <f t="shared" si="17"/>
        <v>0</v>
      </c>
      <c r="O35" s="50">
        <f t="shared" si="17"/>
        <v>930.25</v>
      </c>
      <c r="P35" s="50">
        <f t="shared" si="17"/>
        <v>0</v>
      </c>
      <c r="Q35" s="50">
        <f t="shared" si="17"/>
        <v>0</v>
      </c>
      <c r="R35" s="50">
        <f t="shared" si="17"/>
        <v>0</v>
      </c>
      <c r="S35" s="50">
        <f t="shared" si="17"/>
        <v>0</v>
      </c>
      <c r="T35" s="50">
        <f t="shared" si="17"/>
        <v>5040.53</v>
      </c>
      <c r="U35" s="50">
        <f t="shared" si="17"/>
        <v>0</v>
      </c>
      <c r="V35" s="50">
        <f t="shared" si="17"/>
        <v>0</v>
      </c>
      <c r="W35" s="50">
        <f t="shared" si="17"/>
        <v>0</v>
      </c>
      <c r="X35" s="50">
        <f t="shared" si="17"/>
        <v>2452203.4299999997</v>
      </c>
      <c r="Y35" s="51">
        <f>SUM(E35:X35)</f>
        <v>2468918.5999999996</v>
      </c>
    </row>
    <row r="36" spans="1:33" ht="35.1" customHeight="1">
      <c r="B36" s="46" t="s">
        <v>42</v>
      </c>
      <c r="C36" s="65" t="s">
        <v>59</v>
      </c>
      <c r="D36" s="66" t="s">
        <v>60</v>
      </c>
      <c r="E36" s="49">
        <f t="shared" si="17"/>
        <v>0</v>
      </c>
      <c r="F36" s="50">
        <f t="shared" si="17"/>
        <v>0</v>
      </c>
      <c r="G36" s="50">
        <f t="shared" si="17"/>
        <v>0</v>
      </c>
      <c r="H36" s="50">
        <f t="shared" si="17"/>
        <v>0</v>
      </c>
      <c r="I36" s="50">
        <f t="shared" si="17"/>
        <v>0</v>
      </c>
      <c r="J36" s="50">
        <f t="shared" si="17"/>
        <v>0</v>
      </c>
      <c r="K36" s="50">
        <f t="shared" si="17"/>
        <v>0</v>
      </c>
      <c r="L36" s="50">
        <f t="shared" si="17"/>
        <v>0</v>
      </c>
      <c r="M36" s="50">
        <f t="shared" si="17"/>
        <v>0</v>
      </c>
      <c r="N36" s="50">
        <f t="shared" si="17"/>
        <v>0</v>
      </c>
      <c r="O36" s="50">
        <f t="shared" si="17"/>
        <v>62127.399999999994</v>
      </c>
      <c r="P36" s="50">
        <f t="shared" si="17"/>
        <v>50359.570000000007</v>
      </c>
      <c r="Q36" s="50">
        <f t="shared" si="17"/>
        <v>0</v>
      </c>
      <c r="R36" s="50">
        <f t="shared" si="17"/>
        <v>0</v>
      </c>
      <c r="S36" s="50">
        <f t="shared" si="17"/>
        <v>0</v>
      </c>
      <c r="T36" s="50">
        <f t="shared" si="17"/>
        <v>692.17</v>
      </c>
      <c r="U36" s="50">
        <f t="shared" si="17"/>
        <v>2018.37</v>
      </c>
      <c r="V36" s="50">
        <f t="shared" si="17"/>
        <v>0</v>
      </c>
      <c r="W36" s="50">
        <f t="shared" si="17"/>
        <v>673.93</v>
      </c>
      <c r="X36" s="50">
        <f t="shared" si="17"/>
        <v>2684049.15</v>
      </c>
      <c r="Y36" s="51">
        <f>SUM(E36:X36)</f>
        <v>2799920.59</v>
      </c>
    </row>
    <row r="37" spans="1:33" ht="35.1" customHeight="1">
      <c r="B37" s="46">
        <v>11</v>
      </c>
      <c r="C37" s="67" t="s">
        <v>61</v>
      </c>
      <c r="D37" s="66" t="s">
        <v>62</v>
      </c>
      <c r="E37" s="49">
        <f>+E123</f>
        <v>0</v>
      </c>
      <c r="F37" s="50">
        <f t="shared" ref="F37:X38" si="18">+F123</f>
        <v>663.25</v>
      </c>
      <c r="G37" s="50">
        <f t="shared" si="18"/>
        <v>0</v>
      </c>
      <c r="H37" s="50">
        <f t="shared" si="18"/>
        <v>0</v>
      </c>
      <c r="I37" s="50">
        <f t="shared" si="18"/>
        <v>0</v>
      </c>
      <c r="J37" s="50">
        <f t="shared" si="18"/>
        <v>0</v>
      </c>
      <c r="K37" s="50">
        <f t="shared" si="18"/>
        <v>0</v>
      </c>
      <c r="L37" s="50">
        <f t="shared" si="18"/>
        <v>320.39999999999998</v>
      </c>
      <c r="M37" s="50">
        <f t="shared" si="18"/>
        <v>0</v>
      </c>
      <c r="N37" s="50">
        <f t="shared" si="18"/>
        <v>0</v>
      </c>
      <c r="O37" s="50">
        <f t="shared" si="18"/>
        <v>0</v>
      </c>
      <c r="P37" s="50">
        <f t="shared" si="18"/>
        <v>39.6</v>
      </c>
      <c r="Q37" s="50">
        <f t="shared" si="18"/>
        <v>1950</v>
      </c>
      <c r="R37" s="50">
        <f t="shared" si="18"/>
        <v>0</v>
      </c>
      <c r="S37" s="50">
        <f t="shared" si="18"/>
        <v>0</v>
      </c>
      <c r="T37" s="50">
        <f t="shared" si="18"/>
        <v>0</v>
      </c>
      <c r="U37" s="50">
        <f t="shared" si="18"/>
        <v>0</v>
      </c>
      <c r="V37" s="50">
        <f t="shared" si="18"/>
        <v>0</v>
      </c>
      <c r="W37" s="50">
        <f t="shared" si="18"/>
        <v>0</v>
      </c>
      <c r="X37" s="50">
        <f t="shared" si="18"/>
        <v>0</v>
      </c>
      <c r="Y37" s="51">
        <f>SUM(E37:X37)</f>
        <v>2973.25</v>
      </c>
    </row>
    <row r="38" spans="1:33" ht="35.1" customHeight="1">
      <c r="B38" s="46">
        <v>11</v>
      </c>
      <c r="C38" s="67" t="s">
        <v>63</v>
      </c>
      <c r="D38" s="66" t="s">
        <v>64</v>
      </c>
      <c r="E38" s="49">
        <f>+E124</f>
        <v>0</v>
      </c>
      <c r="F38" s="50">
        <f t="shared" si="18"/>
        <v>0</v>
      </c>
      <c r="G38" s="50">
        <f t="shared" si="18"/>
        <v>0</v>
      </c>
      <c r="H38" s="50">
        <f t="shared" si="18"/>
        <v>0</v>
      </c>
      <c r="I38" s="50">
        <f t="shared" si="18"/>
        <v>0</v>
      </c>
      <c r="J38" s="50">
        <f t="shared" si="18"/>
        <v>0</v>
      </c>
      <c r="K38" s="50">
        <f t="shared" si="18"/>
        <v>0</v>
      </c>
      <c r="L38" s="50">
        <f t="shared" si="18"/>
        <v>0</v>
      </c>
      <c r="M38" s="50">
        <f t="shared" si="18"/>
        <v>0</v>
      </c>
      <c r="N38" s="50">
        <f t="shared" si="18"/>
        <v>0</v>
      </c>
      <c r="O38" s="50">
        <f t="shared" si="18"/>
        <v>0</v>
      </c>
      <c r="P38" s="50">
        <f t="shared" si="18"/>
        <v>0</v>
      </c>
      <c r="Q38" s="50">
        <f t="shared" si="18"/>
        <v>0</v>
      </c>
      <c r="R38" s="50">
        <f t="shared" si="18"/>
        <v>0</v>
      </c>
      <c r="S38" s="50">
        <f t="shared" si="18"/>
        <v>0</v>
      </c>
      <c r="T38" s="50">
        <f t="shared" si="18"/>
        <v>0</v>
      </c>
      <c r="U38" s="50">
        <f t="shared" si="18"/>
        <v>0</v>
      </c>
      <c r="V38" s="50">
        <f t="shared" si="18"/>
        <v>0</v>
      </c>
      <c r="W38" s="50">
        <f t="shared" si="18"/>
        <v>0</v>
      </c>
      <c r="X38" s="50">
        <f t="shared" si="18"/>
        <v>0</v>
      </c>
      <c r="Y38" s="51">
        <f>SUM(E38:X38)</f>
        <v>0</v>
      </c>
    </row>
    <row r="39" spans="1:33" s="29" customFormat="1" ht="35.1" customHeight="1">
      <c r="A39" s="1" t="s">
        <v>0</v>
      </c>
      <c r="B39" s="59" t="s">
        <v>65</v>
      </c>
      <c r="C39" s="60"/>
      <c r="D39" s="60" t="s">
        <v>66</v>
      </c>
      <c r="E39" s="62">
        <f t="shared" ref="E39:Y39" si="19">SUM(E40:E43)</f>
        <v>0</v>
      </c>
      <c r="F39" s="63">
        <f t="shared" si="19"/>
        <v>0</v>
      </c>
      <c r="G39" s="63">
        <f t="shared" si="19"/>
        <v>0</v>
      </c>
      <c r="H39" s="63">
        <f t="shared" si="19"/>
        <v>0</v>
      </c>
      <c r="I39" s="63">
        <f t="shared" si="19"/>
        <v>976644.49</v>
      </c>
      <c r="J39" s="63">
        <f t="shared" si="19"/>
        <v>36.18</v>
      </c>
      <c r="K39" s="63">
        <f t="shared" si="19"/>
        <v>0</v>
      </c>
      <c r="L39" s="63">
        <f t="shared" si="19"/>
        <v>3497.7300000000005</v>
      </c>
      <c r="M39" s="63">
        <f t="shared" si="19"/>
        <v>0</v>
      </c>
      <c r="N39" s="63">
        <f t="shared" si="19"/>
        <v>0</v>
      </c>
      <c r="O39" s="63">
        <f t="shared" si="19"/>
        <v>0</v>
      </c>
      <c r="P39" s="63">
        <f t="shared" si="19"/>
        <v>4989396.41</v>
      </c>
      <c r="Q39" s="63">
        <f t="shared" si="19"/>
        <v>0</v>
      </c>
      <c r="R39" s="63">
        <f t="shared" si="19"/>
        <v>0</v>
      </c>
      <c r="S39" s="63">
        <f t="shared" si="19"/>
        <v>0</v>
      </c>
      <c r="T39" s="63">
        <f t="shared" si="19"/>
        <v>0</v>
      </c>
      <c r="U39" s="63">
        <f t="shared" si="19"/>
        <v>0</v>
      </c>
      <c r="V39" s="63">
        <f t="shared" si="19"/>
        <v>0</v>
      </c>
      <c r="W39" s="63">
        <f t="shared" si="19"/>
        <v>0</v>
      </c>
      <c r="X39" s="63">
        <f t="shared" si="19"/>
        <v>1368.48</v>
      </c>
      <c r="Y39" s="63">
        <f t="shared" si="19"/>
        <v>5970943.29</v>
      </c>
      <c r="AA39" s="30"/>
      <c r="AG39" s="30"/>
    </row>
    <row r="40" spans="1:33" ht="35.1" customHeight="1">
      <c r="B40" s="46" t="s">
        <v>42</v>
      </c>
      <c r="C40" s="65" t="s">
        <v>67</v>
      </c>
      <c r="D40" s="66" t="s">
        <v>68</v>
      </c>
      <c r="E40" s="49">
        <f t="shared" ref="E40:X43" si="20">+E126+E190</f>
        <v>0</v>
      </c>
      <c r="F40" s="50">
        <f t="shared" si="20"/>
        <v>0</v>
      </c>
      <c r="G40" s="50">
        <f t="shared" si="20"/>
        <v>0</v>
      </c>
      <c r="H40" s="50">
        <f t="shared" si="20"/>
        <v>0</v>
      </c>
      <c r="I40" s="50">
        <f t="shared" si="20"/>
        <v>976644.49</v>
      </c>
      <c r="J40" s="50">
        <f t="shared" si="20"/>
        <v>36.18</v>
      </c>
      <c r="K40" s="50">
        <f t="shared" si="20"/>
        <v>0</v>
      </c>
      <c r="L40" s="50">
        <f t="shared" si="20"/>
        <v>0</v>
      </c>
      <c r="M40" s="50">
        <f t="shared" si="20"/>
        <v>0</v>
      </c>
      <c r="N40" s="50">
        <f t="shared" si="20"/>
        <v>0</v>
      </c>
      <c r="O40" s="50">
        <f t="shared" si="20"/>
        <v>0</v>
      </c>
      <c r="P40" s="50">
        <f t="shared" si="20"/>
        <v>0</v>
      </c>
      <c r="Q40" s="50">
        <f t="shared" si="20"/>
        <v>0</v>
      </c>
      <c r="R40" s="50">
        <f t="shared" si="20"/>
        <v>0</v>
      </c>
      <c r="S40" s="50">
        <f t="shared" si="20"/>
        <v>0</v>
      </c>
      <c r="T40" s="50">
        <f t="shared" si="20"/>
        <v>0</v>
      </c>
      <c r="U40" s="50">
        <f t="shared" si="20"/>
        <v>0</v>
      </c>
      <c r="V40" s="50">
        <f t="shared" si="20"/>
        <v>0</v>
      </c>
      <c r="W40" s="50">
        <f t="shared" si="20"/>
        <v>0</v>
      </c>
      <c r="X40" s="50">
        <f t="shared" si="20"/>
        <v>286.35000000000002</v>
      </c>
      <c r="Y40" s="51">
        <f>SUM(E40:X40)</f>
        <v>976967.02</v>
      </c>
    </row>
    <row r="41" spans="1:33" ht="35.1" customHeight="1">
      <c r="B41" s="46" t="s">
        <v>42</v>
      </c>
      <c r="C41" s="65" t="s">
        <v>69</v>
      </c>
      <c r="D41" s="66" t="s">
        <v>70</v>
      </c>
      <c r="E41" s="49">
        <f t="shared" si="20"/>
        <v>0</v>
      </c>
      <c r="F41" s="50">
        <f t="shared" si="20"/>
        <v>0</v>
      </c>
      <c r="G41" s="50">
        <f t="shared" si="20"/>
        <v>0</v>
      </c>
      <c r="H41" s="50">
        <f t="shared" si="20"/>
        <v>0</v>
      </c>
      <c r="I41" s="50">
        <f t="shared" si="20"/>
        <v>0</v>
      </c>
      <c r="J41" s="50">
        <f t="shared" si="20"/>
        <v>0</v>
      </c>
      <c r="K41" s="50">
        <f t="shared" si="20"/>
        <v>0</v>
      </c>
      <c r="L41" s="50">
        <f t="shared" si="20"/>
        <v>0</v>
      </c>
      <c r="M41" s="50">
        <f t="shared" si="20"/>
        <v>0</v>
      </c>
      <c r="N41" s="50">
        <f t="shared" si="20"/>
        <v>0</v>
      </c>
      <c r="O41" s="50">
        <f t="shared" si="20"/>
        <v>0</v>
      </c>
      <c r="P41" s="50">
        <f t="shared" si="20"/>
        <v>1340277.02</v>
      </c>
      <c r="Q41" s="50">
        <f t="shared" si="20"/>
        <v>0</v>
      </c>
      <c r="R41" s="50">
        <f t="shared" si="20"/>
        <v>0</v>
      </c>
      <c r="S41" s="50">
        <f t="shared" si="20"/>
        <v>0</v>
      </c>
      <c r="T41" s="50">
        <f t="shared" si="20"/>
        <v>0</v>
      </c>
      <c r="U41" s="50">
        <f t="shared" si="20"/>
        <v>0</v>
      </c>
      <c r="V41" s="50">
        <f t="shared" si="20"/>
        <v>0</v>
      </c>
      <c r="W41" s="50">
        <f t="shared" si="20"/>
        <v>0</v>
      </c>
      <c r="X41" s="50">
        <f t="shared" si="20"/>
        <v>0</v>
      </c>
      <c r="Y41" s="51">
        <f>SUM(E41:X41)</f>
        <v>1340277.02</v>
      </c>
    </row>
    <row r="42" spans="1:33" ht="35.1" customHeight="1">
      <c r="B42" s="46" t="s">
        <v>42</v>
      </c>
      <c r="C42" s="65" t="s">
        <v>71</v>
      </c>
      <c r="D42" s="66" t="s">
        <v>72</v>
      </c>
      <c r="E42" s="49">
        <f t="shared" si="20"/>
        <v>0</v>
      </c>
      <c r="F42" s="50">
        <f t="shared" si="20"/>
        <v>0</v>
      </c>
      <c r="G42" s="50">
        <f t="shared" si="20"/>
        <v>0</v>
      </c>
      <c r="H42" s="50">
        <f t="shared" si="20"/>
        <v>0</v>
      </c>
      <c r="I42" s="50">
        <f t="shared" si="20"/>
        <v>0</v>
      </c>
      <c r="J42" s="50">
        <f t="shared" si="20"/>
        <v>0</v>
      </c>
      <c r="K42" s="50">
        <f t="shared" si="20"/>
        <v>0</v>
      </c>
      <c r="L42" s="50">
        <f t="shared" si="20"/>
        <v>1165.9100000000001</v>
      </c>
      <c r="M42" s="50">
        <f t="shared" si="20"/>
        <v>0</v>
      </c>
      <c r="N42" s="50">
        <f t="shared" si="20"/>
        <v>0</v>
      </c>
      <c r="O42" s="50">
        <f t="shared" si="20"/>
        <v>0</v>
      </c>
      <c r="P42" s="50">
        <f t="shared" si="20"/>
        <v>985747.49</v>
      </c>
      <c r="Q42" s="50">
        <f t="shared" si="20"/>
        <v>0</v>
      </c>
      <c r="R42" s="50">
        <f t="shared" si="20"/>
        <v>0</v>
      </c>
      <c r="S42" s="50">
        <f t="shared" si="20"/>
        <v>0</v>
      </c>
      <c r="T42" s="50">
        <f t="shared" si="20"/>
        <v>0</v>
      </c>
      <c r="U42" s="50">
        <f t="shared" si="20"/>
        <v>0</v>
      </c>
      <c r="V42" s="50">
        <f t="shared" si="20"/>
        <v>0</v>
      </c>
      <c r="W42" s="50">
        <f t="shared" si="20"/>
        <v>0</v>
      </c>
      <c r="X42" s="50">
        <f>+X128+X192</f>
        <v>171.8</v>
      </c>
      <c r="Y42" s="51">
        <f>SUM(E42:X42)</f>
        <v>987085.20000000007</v>
      </c>
    </row>
    <row r="43" spans="1:33" ht="35.1" customHeight="1">
      <c r="B43" s="46" t="s">
        <v>42</v>
      </c>
      <c r="C43" s="65" t="s">
        <v>73</v>
      </c>
      <c r="D43" s="66" t="s">
        <v>74</v>
      </c>
      <c r="E43" s="49">
        <f t="shared" si="20"/>
        <v>0</v>
      </c>
      <c r="F43" s="50">
        <f t="shared" si="20"/>
        <v>0</v>
      </c>
      <c r="G43" s="50">
        <f t="shared" si="20"/>
        <v>0</v>
      </c>
      <c r="H43" s="50">
        <f t="shared" si="20"/>
        <v>0</v>
      </c>
      <c r="I43" s="50">
        <f t="shared" si="20"/>
        <v>0</v>
      </c>
      <c r="J43" s="50">
        <f t="shared" si="20"/>
        <v>0</v>
      </c>
      <c r="K43" s="50">
        <f t="shared" si="20"/>
        <v>0</v>
      </c>
      <c r="L43" s="50">
        <f t="shared" si="20"/>
        <v>2331.8200000000002</v>
      </c>
      <c r="M43" s="50">
        <f t="shared" si="20"/>
        <v>0</v>
      </c>
      <c r="N43" s="50">
        <f t="shared" si="20"/>
        <v>0</v>
      </c>
      <c r="O43" s="50">
        <f t="shared" si="20"/>
        <v>0</v>
      </c>
      <c r="P43" s="50">
        <f t="shared" si="20"/>
        <v>2663371.9</v>
      </c>
      <c r="Q43" s="50">
        <f t="shared" si="20"/>
        <v>0</v>
      </c>
      <c r="R43" s="50">
        <f t="shared" si="20"/>
        <v>0</v>
      </c>
      <c r="S43" s="50">
        <f t="shared" si="20"/>
        <v>0</v>
      </c>
      <c r="T43" s="50">
        <f t="shared" si="20"/>
        <v>0</v>
      </c>
      <c r="U43" s="50">
        <f t="shared" si="20"/>
        <v>0</v>
      </c>
      <c r="V43" s="50">
        <f t="shared" si="20"/>
        <v>0</v>
      </c>
      <c r="W43" s="50">
        <f t="shared" si="20"/>
        <v>0</v>
      </c>
      <c r="X43" s="50">
        <f t="shared" si="20"/>
        <v>910.33</v>
      </c>
      <c r="Y43" s="51">
        <f>SUM(E43:X43)</f>
        <v>2666614.0499999998</v>
      </c>
    </row>
    <row r="44" spans="1:33" s="29" customFormat="1" ht="35.1" customHeight="1">
      <c r="A44" s="1" t="s">
        <v>0</v>
      </c>
      <c r="B44" s="59" t="s">
        <v>75</v>
      </c>
      <c r="C44" s="60"/>
      <c r="D44" s="60" t="s">
        <v>76</v>
      </c>
      <c r="E44" s="62">
        <f t="shared" ref="E44:Y44" si="21">SUM(E45:E46)</f>
        <v>0</v>
      </c>
      <c r="F44" s="63">
        <f t="shared" si="21"/>
        <v>0</v>
      </c>
      <c r="G44" s="63">
        <f t="shared" si="21"/>
        <v>0</v>
      </c>
      <c r="H44" s="63">
        <f t="shared" si="21"/>
        <v>0</v>
      </c>
      <c r="I44" s="63">
        <f t="shared" si="21"/>
        <v>11869.74</v>
      </c>
      <c r="J44" s="63">
        <f t="shared" si="21"/>
        <v>0</v>
      </c>
      <c r="K44" s="63">
        <f t="shared" si="21"/>
        <v>3390.99</v>
      </c>
      <c r="L44" s="63">
        <f t="shared" si="21"/>
        <v>44.26</v>
      </c>
      <c r="M44" s="63">
        <f t="shared" si="21"/>
        <v>0</v>
      </c>
      <c r="N44" s="63">
        <f t="shared" si="21"/>
        <v>16040.37</v>
      </c>
      <c r="O44" s="63">
        <f t="shared" si="21"/>
        <v>0</v>
      </c>
      <c r="P44" s="63">
        <f t="shared" si="21"/>
        <v>0</v>
      </c>
      <c r="Q44" s="63">
        <f t="shared" si="21"/>
        <v>297.7</v>
      </c>
      <c r="R44" s="63">
        <f t="shared" si="21"/>
        <v>2809.46</v>
      </c>
      <c r="S44" s="63">
        <f t="shared" si="21"/>
        <v>0</v>
      </c>
      <c r="T44" s="63">
        <f t="shared" si="21"/>
        <v>2729.92</v>
      </c>
      <c r="U44" s="63">
        <f t="shared" si="21"/>
        <v>0</v>
      </c>
      <c r="V44" s="63">
        <f t="shared" si="21"/>
        <v>8186.9</v>
      </c>
      <c r="W44" s="63">
        <f t="shared" si="21"/>
        <v>0</v>
      </c>
      <c r="X44" s="63">
        <f t="shared" si="21"/>
        <v>23621.87</v>
      </c>
      <c r="Y44" s="63">
        <f t="shared" si="21"/>
        <v>68991.209999999992</v>
      </c>
      <c r="AA44" s="30"/>
      <c r="AG44" s="30"/>
    </row>
    <row r="45" spans="1:33" ht="35.1" customHeight="1">
      <c r="B45" s="46">
        <v>11</v>
      </c>
      <c r="C45" s="67" t="s">
        <v>77</v>
      </c>
      <c r="D45" s="68" t="s">
        <v>78</v>
      </c>
      <c r="E45" s="49">
        <f>+E131</f>
        <v>0</v>
      </c>
      <c r="F45" s="50">
        <f t="shared" ref="F45:X45" si="22">+F131</f>
        <v>0</v>
      </c>
      <c r="G45" s="50">
        <f t="shared" si="22"/>
        <v>0</v>
      </c>
      <c r="H45" s="50">
        <f t="shared" si="22"/>
        <v>0</v>
      </c>
      <c r="I45" s="50">
        <f t="shared" si="22"/>
        <v>11869.74</v>
      </c>
      <c r="J45" s="50">
        <f t="shared" si="22"/>
        <v>0</v>
      </c>
      <c r="K45" s="50">
        <f t="shared" si="22"/>
        <v>0</v>
      </c>
      <c r="L45" s="50">
        <f t="shared" si="22"/>
        <v>44.26</v>
      </c>
      <c r="M45" s="50">
        <f t="shared" si="22"/>
        <v>0</v>
      </c>
      <c r="N45" s="50">
        <f t="shared" si="22"/>
        <v>16040.37</v>
      </c>
      <c r="O45" s="50">
        <f t="shared" si="22"/>
        <v>0</v>
      </c>
      <c r="P45" s="50">
        <f t="shared" si="22"/>
        <v>0</v>
      </c>
      <c r="Q45" s="50">
        <f t="shared" si="22"/>
        <v>297.7</v>
      </c>
      <c r="R45" s="50">
        <f t="shared" si="22"/>
        <v>0</v>
      </c>
      <c r="S45" s="50">
        <f t="shared" si="22"/>
        <v>0</v>
      </c>
      <c r="T45" s="50">
        <f t="shared" si="22"/>
        <v>2729.92</v>
      </c>
      <c r="U45" s="50">
        <f t="shared" si="22"/>
        <v>0</v>
      </c>
      <c r="V45" s="50">
        <f t="shared" si="22"/>
        <v>0</v>
      </c>
      <c r="W45" s="50">
        <f t="shared" si="22"/>
        <v>0</v>
      </c>
      <c r="X45" s="50">
        <f t="shared" si="22"/>
        <v>23621.87</v>
      </c>
      <c r="Y45" s="51">
        <f>SUM(E45:X45)</f>
        <v>54603.86</v>
      </c>
    </row>
    <row r="46" spans="1:33" ht="35.1" customHeight="1">
      <c r="B46" s="46" t="s">
        <v>42</v>
      </c>
      <c r="C46" s="65" t="s">
        <v>79</v>
      </c>
      <c r="D46" s="68" t="s">
        <v>80</v>
      </c>
      <c r="E46" s="49">
        <f t="shared" ref="E46:X46" si="23">+E132+E195</f>
        <v>0</v>
      </c>
      <c r="F46" s="50">
        <f t="shared" si="23"/>
        <v>0</v>
      </c>
      <c r="G46" s="50">
        <f t="shared" si="23"/>
        <v>0</v>
      </c>
      <c r="H46" s="50">
        <f t="shared" si="23"/>
        <v>0</v>
      </c>
      <c r="I46" s="50">
        <f t="shared" si="23"/>
        <v>0</v>
      </c>
      <c r="J46" s="50">
        <f t="shared" si="23"/>
        <v>0</v>
      </c>
      <c r="K46" s="50">
        <f t="shared" si="23"/>
        <v>3390.99</v>
      </c>
      <c r="L46" s="50">
        <f t="shared" si="23"/>
        <v>0</v>
      </c>
      <c r="M46" s="50">
        <f t="shared" si="23"/>
        <v>0</v>
      </c>
      <c r="N46" s="50">
        <f t="shared" si="23"/>
        <v>0</v>
      </c>
      <c r="O46" s="50">
        <f t="shared" si="23"/>
        <v>0</v>
      </c>
      <c r="P46" s="50">
        <f t="shared" si="23"/>
        <v>0</v>
      </c>
      <c r="Q46" s="50">
        <f t="shared" si="23"/>
        <v>0</v>
      </c>
      <c r="R46" s="50">
        <f t="shared" si="23"/>
        <v>2809.46</v>
      </c>
      <c r="S46" s="50">
        <f t="shared" si="23"/>
        <v>0</v>
      </c>
      <c r="T46" s="50">
        <f t="shared" si="23"/>
        <v>0</v>
      </c>
      <c r="U46" s="50">
        <f t="shared" si="23"/>
        <v>0</v>
      </c>
      <c r="V46" s="50">
        <f t="shared" si="23"/>
        <v>8186.9</v>
      </c>
      <c r="W46" s="50">
        <f t="shared" si="23"/>
        <v>0</v>
      </c>
      <c r="X46" s="50">
        <f t="shared" si="23"/>
        <v>0</v>
      </c>
      <c r="Y46" s="51">
        <f>SUM(E46:X46)</f>
        <v>14387.349999999999</v>
      </c>
    </row>
    <row r="47" spans="1:33" s="29" customFormat="1" ht="35.1" customHeight="1">
      <c r="A47" s="1" t="s">
        <v>0</v>
      </c>
      <c r="B47" s="24" t="s">
        <v>81</v>
      </c>
      <c r="C47" s="57" t="s">
        <v>82</v>
      </c>
      <c r="D47" s="58"/>
      <c r="E47" s="27">
        <f t="shared" ref="E47:Y47" si="24">SUM(E48:E54)</f>
        <v>0</v>
      </c>
      <c r="F47" s="28">
        <f t="shared" si="24"/>
        <v>0</v>
      </c>
      <c r="G47" s="28">
        <f t="shared" si="24"/>
        <v>7003</v>
      </c>
      <c r="H47" s="28">
        <f t="shared" si="24"/>
        <v>9974.4500000000007</v>
      </c>
      <c r="I47" s="28">
        <f t="shared" si="24"/>
        <v>0</v>
      </c>
      <c r="J47" s="28">
        <f t="shared" si="24"/>
        <v>13304.1</v>
      </c>
      <c r="K47" s="28">
        <f t="shared" si="24"/>
        <v>17400</v>
      </c>
      <c r="L47" s="28">
        <f t="shared" si="24"/>
        <v>790.6</v>
      </c>
      <c r="M47" s="28">
        <f t="shared" si="24"/>
        <v>0</v>
      </c>
      <c r="N47" s="28">
        <f t="shared" si="24"/>
        <v>53664.73</v>
      </c>
      <c r="O47" s="28">
        <f t="shared" si="24"/>
        <v>39769.26</v>
      </c>
      <c r="P47" s="28">
        <f t="shared" si="24"/>
        <v>5028.54</v>
      </c>
      <c r="Q47" s="28">
        <f t="shared" si="24"/>
        <v>5170.6000000000004</v>
      </c>
      <c r="R47" s="28">
        <f t="shared" si="24"/>
        <v>8640</v>
      </c>
      <c r="S47" s="28">
        <f t="shared" si="24"/>
        <v>26873.29</v>
      </c>
      <c r="T47" s="28">
        <f t="shared" si="24"/>
        <v>2251.9499999999998</v>
      </c>
      <c r="U47" s="28">
        <f t="shared" si="24"/>
        <v>893.92</v>
      </c>
      <c r="V47" s="28">
        <f t="shared" si="24"/>
        <v>450</v>
      </c>
      <c r="W47" s="28">
        <f t="shared" si="24"/>
        <v>0</v>
      </c>
      <c r="X47" s="28">
        <f t="shared" si="24"/>
        <v>70815.41</v>
      </c>
      <c r="Y47" s="28">
        <f t="shared" si="24"/>
        <v>262029.85000000003</v>
      </c>
      <c r="AA47" s="30"/>
      <c r="AG47" s="30"/>
    </row>
    <row r="48" spans="1:33" ht="35.1" customHeight="1">
      <c r="B48" s="46">
        <v>11</v>
      </c>
      <c r="C48" s="67" t="s">
        <v>83</v>
      </c>
      <c r="D48" s="66" t="s">
        <v>84</v>
      </c>
      <c r="E48" s="49">
        <f>+E134</f>
        <v>0</v>
      </c>
      <c r="F48" s="50">
        <f t="shared" ref="F48:X48" si="25">+F134</f>
        <v>0</v>
      </c>
      <c r="G48" s="50">
        <f t="shared" si="25"/>
        <v>5545.2</v>
      </c>
      <c r="H48" s="50">
        <f t="shared" si="25"/>
        <v>3029.75</v>
      </c>
      <c r="I48" s="50">
        <f t="shared" si="25"/>
        <v>0</v>
      </c>
      <c r="J48" s="50">
        <f t="shared" si="25"/>
        <v>13304.1</v>
      </c>
      <c r="K48" s="50">
        <f t="shared" si="25"/>
        <v>17400</v>
      </c>
      <c r="L48" s="50">
        <f t="shared" si="25"/>
        <v>0</v>
      </c>
      <c r="M48" s="50">
        <f t="shared" si="25"/>
        <v>0</v>
      </c>
      <c r="N48" s="50">
        <f t="shared" si="25"/>
        <v>0</v>
      </c>
      <c r="O48" s="50">
        <f t="shared" si="25"/>
        <v>37851.26</v>
      </c>
      <c r="P48" s="50">
        <f t="shared" si="25"/>
        <v>2978.5</v>
      </c>
      <c r="Q48" s="50">
        <f t="shared" si="25"/>
        <v>5170.6000000000004</v>
      </c>
      <c r="R48" s="50">
        <f t="shared" si="25"/>
        <v>8640</v>
      </c>
      <c r="S48" s="50">
        <f t="shared" si="25"/>
        <v>25200</v>
      </c>
      <c r="T48" s="50">
        <f t="shared" si="25"/>
        <v>0</v>
      </c>
      <c r="U48" s="50">
        <f t="shared" si="25"/>
        <v>893.92</v>
      </c>
      <c r="V48" s="50">
        <f t="shared" si="25"/>
        <v>0</v>
      </c>
      <c r="W48" s="50">
        <f t="shared" si="25"/>
        <v>0</v>
      </c>
      <c r="X48" s="50">
        <f t="shared" si="25"/>
        <v>3775.2</v>
      </c>
      <c r="Y48" s="51">
        <f t="shared" ref="Y48:Y54" si="26">SUM(E48:X48)</f>
        <v>123788.53</v>
      </c>
    </row>
    <row r="49" spans="1:33" ht="35.1" customHeight="1">
      <c r="B49" s="46" t="s">
        <v>42</v>
      </c>
      <c r="C49" s="65" t="s">
        <v>85</v>
      </c>
      <c r="D49" s="66" t="s">
        <v>86</v>
      </c>
      <c r="E49" s="49">
        <f t="shared" ref="E49:X49" si="27">+E135+E198</f>
        <v>0</v>
      </c>
      <c r="F49" s="50">
        <f t="shared" si="27"/>
        <v>0</v>
      </c>
      <c r="G49" s="50">
        <f t="shared" si="27"/>
        <v>639.79999999999995</v>
      </c>
      <c r="H49" s="50">
        <f t="shared" si="27"/>
        <v>0</v>
      </c>
      <c r="I49" s="50">
        <f t="shared" si="27"/>
        <v>0</v>
      </c>
      <c r="J49" s="50">
        <f t="shared" si="27"/>
        <v>0</v>
      </c>
      <c r="K49" s="50">
        <f t="shared" si="27"/>
        <v>0</v>
      </c>
      <c r="L49" s="50">
        <f t="shared" si="27"/>
        <v>0</v>
      </c>
      <c r="M49" s="50">
        <f t="shared" si="27"/>
        <v>0</v>
      </c>
      <c r="N49" s="50">
        <f t="shared" si="27"/>
        <v>0</v>
      </c>
      <c r="O49" s="50">
        <f t="shared" si="27"/>
        <v>1918</v>
      </c>
      <c r="P49" s="50">
        <f t="shared" si="27"/>
        <v>1339.04</v>
      </c>
      <c r="Q49" s="50">
        <f t="shared" si="27"/>
        <v>0</v>
      </c>
      <c r="R49" s="50">
        <f t="shared" si="27"/>
        <v>0</v>
      </c>
      <c r="S49" s="50">
        <f t="shared" si="27"/>
        <v>533.29</v>
      </c>
      <c r="T49" s="50">
        <f t="shared" si="27"/>
        <v>0</v>
      </c>
      <c r="U49" s="50">
        <f t="shared" si="27"/>
        <v>0</v>
      </c>
      <c r="V49" s="50">
        <f t="shared" si="27"/>
        <v>450</v>
      </c>
      <c r="W49" s="50">
        <f t="shared" si="27"/>
        <v>0</v>
      </c>
      <c r="X49" s="50">
        <f t="shared" si="27"/>
        <v>630</v>
      </c>
      <c r="Y49" s="51">
        <f t="shared" si="26"/>
        <v>5510.13</v>
      </c>
    </row>
    <row r="50" spans="1:33" ht="35.1" customHeight="1">
      <c r="B50" s="46">
        <v>11</v>
      </c>
      <c r="C50" s="67" t="s">
        <v>87</v>
      </c>
      <c r="D50" s="66" t="s">
        <v>88</v>
      </c>
      <c r="E50" s="49">
        <f>+E136</f>
        <v>0</v>
      </c>
      <c r="F50" s="50">
        <f t="shared" ref="F50:X50" si="28">+F136</f>
        <v>0</v>
      </c>
      <c r="G50" s="50">
        <f t="shared" si="28"/>
        <v>0</v>
      </c>
      <c r="H50" s="50">
        <f t="shared" si="28"/>
        <v>0</v>
      </c>
      <c r="I50" s="50">
        <f t="shared" si="28"/>
        <v>0</v>
      </c>
      <c r="J50" s="50">
        <f t="shared" si="28"/>
        <v>0</v>
      </c>
      <c r="K50" s="50">
        <f t="shared" si="28"/>
        <v>0</v>
      </c>
      <c r="L50" s="50">
        <f t="shared" si="28"/>
        <v>0</v>
      </c>
      <c r="M50" s="50">
        <f t="shared" si="28"/>
        <v>0</v>
      </c>
      <c r="N50" s="50">
        <f t="shared" si="28"/>
        <v>0</v>
      </c>
      <c r="O50" s="50">
        <f t="shared" si="28"/>
        <v>0</v>
      </c>
      <c r="P50" s="50">
        <f t="shared" si="28"/>
        <v>711</v>
      </c>
      <c r="Q50" s="50">
        <f t="shared" si="28"/>
        <v>0</v>
      </c>
      <c r="R50" s="50">
        <f t="shared" si="28"/>
        <v>0</v>
      </c>
      <c r="S50" s="50">
        <f t="shared" si="28"/>
        <v>1140</v>
      </c>
      <c r="T50" s="50">
        <f t="shared" si="28"/>
        <v>2251.9499999999998</v>
      </c>
      <c r="U50" s="50">
        <f t="shared" si="28"/>
        <v>0</v>
      </c>
      <c r="V50" s="50">
        <f t="shared" si="28"/>
        <v>0</v>
      </c>
      <c r="W50" s="50">
        <f t="shared" si="28"/>
        <v>0</v>
      </c>
      <c r="X50" s="50">
        <f t="shared" si="28"/>
        <v>0</v>
      </c>
      <c r="Y50" s="51">
        <f t="shared" si="26"/>
        <v>4102.95</v>
      </c>
    </row>
    <row r="51" spans="1:33" ht="35.1" customHeight="1">
      <c r="B51" s="46" t="s">
        <v>42</v>
      </c>
      <c r="C51" s="65" t="s">
        <v>89</v>
      </c>
      <c r="D51" s="66" t="s">
        <v>90</v>
      </c>
      <c r="E51" s="49">
        <f t="shared" ref="E51:X52" si="29">+E137+E199</f>
        <v>0</v>
      </c>
      <c r="F51" s="50">
        <f t="shared" si="29"/>
        <v>0</v>
      </c>
      <c r="G51" s="50">
        <f t="shared" si="29"/>
        <v>818</v>
      </c>
      <c r="H51" s="50">
        <f t="shared" si="29"/>
        <v>6944.7</v>
      </c>
      <c r="I51" s="50">
        <f t="shared" si="29"/>
        <v>0</v>
      </c>
      <c r="J51" s="50">
        <f t="shared" si="29"/>
        <v>0</v>
      </c>
      <c r="K51" s="50">
        <f t="shared" si="29"/>
        <v>0</v>
      </c>
      <c r="L51" s="50">
        <f t="shared" si="29"/>
        <v>0</v>
      </c>
      <c r="M51" s="50">
        <f t="shared" si="29"/>
        <v>0</v>
      </c>
      <c r="N51" s="50">
        <f t="shared" si="29"/>
        <v>0</v>
      </c>
      <c r="O51" s="50">
        <f t="shared" si="29"/>
        <v>0</v>
      </c>
      <c r="P51" s="50">
        <f t="shared" si="29"/>
        <v>0</v>
      </c>
      <c r="Q51" s="50">
        <f t="shared" si="29"/>
        <v>0</v>
      </c>
      <c r="R51" s="50">
        <f t="shared" si="29"/>
        <v>0</v>
      </c>
      <c r="S51" s="50">
        <f t="shared" si="29"/>
        <v>0</v>
      </c>
      <c r="T51" s="50">
        <f t="shared" si="29"/>
        <v>0</v>
      </c>
      <c r="U51" s="50">
        <f t="shared" si="29"/>
        <v>0</v>
      </c>
      <c r="V51" s="50">
        <f t="shared" si="29"/>
        <v>0</v>
      </c>
      <c r="W51" s="50">
        <f t="shared" si="29"/>
        <v>0</v>
      </c>
      <c r="X51" s="50">
        <f t="shared" si="29"/>
        <v>0</v>
      </c>
      <c r="Y51" s="51">
        <f t="shared" si="26"/>
        <v>7762.7</v>
      </c>
    </row>
    <row r="52" spans="1:33" ht="35.1" customHeight="1">
      <c r="B52" s="46" t="s">
        <v>42</v>
      </c>
      <c r="C52" s="65" t="s">
        <v>91</v>
      </c>
      <c r="D52" s="66" t="s">
        <v>92</v>
      </c>
      <c r="E52" s="49">
        <f t="shared" si="29"/>
        <v>0</v>
      </c>
      <c r="F52" s="50">
        <f t="shared" si="29"/>
        <v>0</v>
      </c>
      <c r="G52" s="50">
        <f t="shared" si="29"/>
        <v>0</v>
      </c>
      <c r="H52" s="50">
        <f t="shared" si="29"/>
        <v>0</v>
      </c>
      <c r="I52" s="50">
        <f t="shared" si="29"/>
        <v>0</v>
      </c>
      <c r="J52" s="50">
        <f t="shared" si="29"/>
        <v>0</v>
      </c>
      <c r="K52" s="50">
        <f t="shared" si="29"/>
        <v>0</v>
      </c>
      <c r="L52" s="50">
        <f t="shared" si="29"/>
        <v>790.6</v>
      </c>
      <c r="M52" s="50">
        <f t="shared" si="29"/>
        <v>0</v>
      </c>
      <c r="N52" s="50">
        <f t="shared" si="29"/>
        <v>0</v>
      </c>
      <c r="O52" s="50">
        <f t="shared" si="29"/>
        <v>0</v>
      </c>
      <c r="P52" s="50">
        <f t="shared" si="29"/>
        <v>0</v>
      </c>
      <c r="Q52" s="50">
        <f t="shared" si="29"/>
        <v>0</v>
      </c>
      <c r="R52" s="50">
        <f t="shared" si="29"/>
        <v>0</v>
      </c>
      <c r="S52" s="50">
        <f t="shared" si="29"/>
        <v>0</v>
      </c>
      <c r="T52" s="50">
        <f t="shared" si="29"/>
        <v>0</v>
      </c>
      <c r="U52" s="50">
        <f t="shared" si="29"/>
        <v>0</v>
      </c>
      <c r="V52" s="50">
        <f t="shared" si="29"/>
        <v>0</v>
      </c>
      <c r="W52" s="50">
        <f t="shared" si="29"/>
        <v>0</v>
      </c>
      <c r="X52" s="50">
        <f t="shared" si="29"/>
        <v>0</v>
      </c>
      <c r="Y52" s="51">
        <f t="shared" si="26"/>
        <v>790.6</v>
      </c>
    </row>
    <row r="53" spans="1:33" ht="35.1" customHeight="1">
      <c r="B53" s="46">
        <v>11</v>
      </c>
      <c r="C53" s="67" t="s">
        <v>93</v>
      </c>
      <c r="D53" s="66" t="s">
        <v>94</v>
      </c>
      <c r="E53" s="49">
        <f>+E139</f>
        <v>0</v>
      </c>
      <c r="F53" s="50">
        <f t="shared" ref="F53:X53" si="30">+F139</f>
        <v>0</v>
      </c>
      <c r="G53" s="50">
        <f t="shared" si="30"/>
        <v>0</v>
      </c>
      <c r="H53" s="50">
        <f t="shared" si="30"/>
        <v>0</v>
      </c>
      <c r="I53" s="50">
        <f t="shared" si="30"/>
        <v>0</v>
      </c>
      <c r="J53" s="50">
        <f t="shared" si="30"/>
        <v>0</v>
      </c>
      <c r="K53" s="50">
        <f t="shared" si="30"/>
        <v>0</v>
      </c>
      <c r="L53" s="50">
        <f t="shared" si="30"/>
        <v>0</v>
      </c>
      <c r="M53" s="50">
        <f t="shared" si="30"/>
        <v>0</v>
      </c>
      <c r="N53" s="50">
        <f t="shared" si="30"/>
        <v>0</v>
      </c>
      <c r="O53" s="50">
        <f t="shared" si="30"/>
        <v>0</v>
      </c>
      <c r="P53" s="50">
        <f t="shared" si="30"/>
        <v>0</v>
      </c>
      <c r="Q53" s="50">
        <f t="shared" si="30"/>
        <v>0</v>
      </c>
      <c r="R53" s="50">
        <f t="shared" si="30"/>
        <v>0</v>
      </c>
      <c r="S53" s="50">
        <f t="shared" si="30"/>
        <v>0</v>
      </c>
      <c r="T53" s="50">
        <f t="shared" si="30"/>
        <v>0</v>
      </c>
      <c r="U53" s="50">
        <f t="shared" si="30"/>
        <v>0</v>
      </c>
      <c r="V53" s="50">
        <f t="shared" si="30"/>
        <v>0</v>
      </c>
      <c r="W53" s="50">
        <f t="shared" si="30"/>
        <v>0</v>
      </c>
      <c r="X53" s="50">
        <f t="shared" si="30"/>
        <v>0</v>
      </c>
      <c r="Y53" s="51">
        <f t="shared" si="26"/>
        <v>0</v>
      </c>
    </row>
    <row r="54" spans="1:33" ht="35.1" customHeight="1">
      <c r="B54" s="46">
        <v>12</v>
      </c>
      <c r="C54" s="67" t="s">
        <v>95</v>
      </c>
      <c r="D54" s="66" t="s">
        <v>96</v>
      </c>
      <c r="E54" s="49">
        <f>+E197</f>
        <v>0</v>
      </c>
      <c r="F54" s="50">
        <f t="shared" ref="F54:X54" si="31">+F197</f>
        <v>0</v>
      </c>
      <c r="G54" s="50">
        <f t="shared" si="31"/>
        <v>0</v>
      </c>
      <c r="H54" s="50">
        <f t="shared" si="31"/>
        <v>0</v>
      </c>
      <c r="I54" s="50">
        <f t="shared" si="31"/>
        <v>0</v>
      </c>
      <c r="J54" s="50">
        <f t="shared" si="31"/>
        <v>0</v>
      </c>
      <c r="K54" s="50">
        <f t="shared" si="31"/>
        <v>0</v>
      </c>
      <c r="L54" s="50">
        <f t="shared" si="31"/>
        <v>0</v>
      </c>
      <c r="M54" s="50">
        <f t="shared" si="31"/>
        <v>0</v>
      </c>
      <c r="N54" s="50">
        <f t="shared" si="31"/>
        <v>53664.73</v>
      </c>
      <c r="O54" s="50">
        <f t="shared" si="31"/>
        <v>0</v>
      </c>
      <c r="P54" s="50">
        <f t="shared" si="31"/>
        <v>0</v>
      </c>
      <c r="Q54" s="50">
        <f t="shared" si="31"/>
        <v>0</v>
      </c>
      <c r="R54" s="50">
        <f t="shared" si="31"/>
        <v>0</v>
      </c>
      <c r="S54" s="50">
        <f t="shared" si="31"/>
        <v>0</v>
      </c>
      <c r="T54" s="50">
        <f t="shared" si="31"/>
        <v>0</v>
      </c>
      <c r="U54" s="50">
        <f t="shared" si="31"/>
        <v>0</v>
      </c>
      <c r="V54" s="50">
        <f t="shared" si="31"/>
        <v>0</v>
      </c>
      <c r="W54" s="50">
        <f t="shared" si="31"/>
        <v>0</v>
      </c>
      <c r="X54" s="50">
        <f t="shared" si="31"/>
        <v>66410.210000000006</v>
      </c>
      <c r="Y54" s="51">
        <f t="shared" si="26"/>
        <v>120074.94</v>
      </c>
    </row>
    <row r="55" spans="1:33" s="29" customFormat="1" ht="35.1" customHeight="1">
      <c r="A55" s="1" t="s">
        <v>0</v>
      </c>
      <c r="B55" s="24" t="s">
        <v>97</v>
      </c>
      <c r="C55" s="57" t="s">
        <v>98</v>
      </c>
      <c r="D55" s="58"/>
      <c r="E55" s="27">
        <f t="shared" ref="E55:Y55" si="32">SUM(E56:E81)</f>
        <v>0</v>
      </c>
      <c r="F55" s="28">
        <f t="shared" si="32"/>
        <v>22371.809999999998</v>
      </c>
      <c r="G55" s="28">
        <f t="shared" si="32"/>
        <v>6528.57</v>
      </c>
      <c r="H55" s="28">
        <f t="shared" si="32"/>
        <v>401962.28</v>
      </c>
      <c r="I55" s="28">
        <f t="shared" si="32"/>
        <v>116531.59000000001</v>
      </c>
      <c r="J55" s="28">
        <f t="shared" si="32"/>
        <v>602707.86</v>
      </c>
      <c r="K55" s="28">
        <f>SUM(K56:K81)</f>
        <v>12318.92</v>
      </c>
      <c r="L55" s="28">
        <f t="shared" si="32"/>
        <v>32587.770000000004</v>
      </c>
      <c r="M55" s="28">
        <f t="shared" si="32"/>
        <v>28204.66</v>
      </c>
      <c r="N55" s="28">
        <f t="shared" si="32"/>
        <v>2441</v>
      </c>
      <c r="O55" s="28">
        <f t="shared" si="32"/>
        <v>63105.99</v>
      </c>
      <c r="P55" s="28">
        <f t="shared" si="32"/>
        <v>22579.360000000001</v>
      </c>
      <c r="Q55" s="28">
        <f t="shared" si="32"/>
        <v>158167.64000000001</v>
      </c>
      <c r="R55" s="28">
        <f t="shared" si="32"/>
        <v>-4220.84</v>
      </c>
      <c r="S55" s="28">
        <f t="shared" si="32"/>
        <v>157569.94</v>
      </c>
      <c r="T55" s="28">
        <f t="shared" si="32"/>
        <v>1052442.5799999998</v>
      </c>
      <c r="U55" s="28">
        <f t="shared" si="32"/>
        <v>138057.34</v>
      </c>
      <c r="V55" s="28">
        <f t="shared" si="32"/>
        <v>1164.1600000000001</v>
      </c>
      <c r="W55" s="28">
        <f t="shared" si="32"/>
        <v>717126.01000000013</v>
      </c>
      <c r="X55" s="28">
        <f t="shared" si="32"/>
        <v>951373.10999999987</v>
      </c>
      <c r="Y55" s="28">
        <f t="shared" si="32"/>
        <v>4483019.75</v>
      </c>
      <c r="AA55" s="30"/>
      <c r="AG55" s="30"/>
    </row>
    <row r="56" spans="1:33" ht="35.1" customHeight="1">
      <c r="B56" s="46">
        <v>11</v>
      </c>
      <c r="C56" s="67" t="s">
        <v>99</v>
      </c>
      <c r="D56" s="66" t="s">
        <v>100</v>
      </c>
      <c r="E56" s="49">
        <f>+E141</f>
        <v>0</v>
      </c>
      <c r="F56" s="50">
        <f t="shared" ref="F56:X56" si="33">+F141</f>
        <v>0</v>
      </c>
      <c r="G56" s="50">
        <f t="shared" si="33"/>
        <v>0</v>
      </c>
      <c r="H56" s="50">
        <f t="shared" si="33"/>
        <v>0</v>
      </c>
      <c r="I56" s="50">
        <f t="shared" si="33"/>
        <v>0</v>
      </c>
      <c r="J56" s="50">
        <f t="shared" si="33"/>
        <v>331815.65999999997</v>
      </c>
      <c r="K56" s="50">
        <f t="shared" si="33"/>
        <v>0</v>
      </c>
      <c r="L56" s="50">
        <f t="shared" si="33"/>
        <v>0</v>
      </c>
      <c r="M56" s="50">
        <f t="shared" si="33"/>
        <v>0</v>
      </c>
      <c r="N56" s="50">
        <f t="shared" si="33"/>
        <v>0</v>
      </c>
      <c r="O56" s="50">
        <f t="shared" si="33"/>
        <v>0</v>
      </c>
      <c r="P56" s="50">
        <f t="shared" si="33"/>
        <v>22466.04</v>
      </c>
      <c r="Q56" s="50">
        <f t="shared" si="33"/>
        <v>0</v>
      </c>
      <c r="R56" s="50">
        <f t="shared" si="33"/>
        <v>0</v>
      </c>
      <c r="S56" s="50">
        <f t="shared" si="33"/>
        <v>0</v>
      </c>
      <c r="T56" s="50">
        <f t="shared" si="33"/>
        <v>0</v>
      </c>
      <c r="U56" s="50">
        <f t="shared" si="33"/>
        <v>0</v>
      </c>
      <c r="V56" s="50">
        <f t="shared" si="33"/>
        <v>0</v>
      </c>
      <c r="W56" s="50">
        <f t="shared" si="33"/>
        <v>0</v>
      </c>
      <c r="X56" s="50">
        <f t="shared" si="33"/>
        <v>0</v>
      </c>
      <c r="Y56" s="51">
        <f t="shared" ref="Y56:Y72" si="34">SUM(E56:X56)</f>
        <v>354281.69999999995</v>
      </c>
    </row>
    <row r="57" spans="1:33" ht="35.1" customHeight="1">
      <c r="B57" s="46" t="s">
        <v>42</v>
      </c>
      <c r="C57" s="67" t="s">
        <v>101</v>
      </c>
      <c r="D57" s="66" t="s">
        <v>102</v>
      </c>
      <c r="E57" s="49">
        <f t="shared" ref="E57:X57" si="35">+E142+E202</f>
        <v>0</v>
      </c>
      <c r="F57" s="50">
        <f t="shared" si="35"/>
        <v>0</v>
      </c>
      <c r="G57" s="50">
        <f t="shared" si="35"/>
        <v>1655.61</v>
      </c>
      <c r="H57" s="50">
        <f t="shared" si="35"/>
        <v>270143.87</v>
      </c>
      <c r="I57" s="50">
        <f t="shared" si="35"/>
        <v>0</v>
      </c>
      <c r="J57" s="50">
        <f t="shared" si="35"/>
        <v>12559.2</v>
      </c>
      <c r="K57" s="50">
        <f t="shared" si="35"/>
        <v>0</v>
      </c>
      <c r="L57" s="50">
        <f t="shared" si="35"/>
        <v>1565.43</v>
      </c>
      <c r="M57" s="50">
        <f t="shared" si="35"/>
        <v>0</v>
      </c>
      <c r="N57" s="50">
        <f t="shared" si="35"/>
        <v>0</v>
      </c>
      <c r="O57" s="50">
        <f t="shared" si="35"/>
        <v>0</v>
      </c>
      <c r="P57" s="50">
        <f t="shared" si="35"/>
        <v>0</v>
      </c>
      <c r="Q57" s="50">
        <f t="shared" si="35"/>
        <v>0</v>
      </c>
      <c r="R57" s="50">
        <f t="shared" si="35"/>
        <v>0</v>
      </c>
      <c r="S57" s="50">
        <f t="shared" si="35"/>
        <v>0</v>
      </c>
      <c r="T57" s="50">
        <f t="shared" si="35"/>
        <v>0</v>
      </c>
      <c r="U57" s="50">
        <f t="shared" si="35"/>
        <v>0</v>
      </c>
      <c r="V57" s="50">
        <f t="shared" si="35"/>
        <v>0</v>
      </c>
      <c r="W57" s="50">
        <f t="shared" si="35"/>
        <v>0</v>
      </c>
      <c r="X57" s="50">
        <f t="shared" si="35"/>
        <v>0</v>
      </c>
      <c r="Y57" s="51">
        <f t="shared" si="34"/>
        <v>285924.11</v>
      </c>
    </row>
    <row r="58" spans="1:33" ht="35.1" customHeight="1">
      <c r="B58" s="46" t="s">
        <v>103</v>
      </c>
      <c r="C58" s="67" t="s">
        <v>104</v>
      </c>
      <c r="D58" s="66" t="s">
        <v>105</v>
      </c>
      <c r="E58" s="49">
        <f t="shared" ref="E58:X59" si="36">+E143+E203+E217</f>
        <v>0</v>
      </c>
      <c r="F58" s="50">
        <f t="shared" si="36"/>
        <v>693.38</v>
      </c>
      <c r="G58" s="50">
        <f t="shared" si="36"/>
        <v>91.8</v>
      </c>
      <c r="H58" s="50">
        <f t="shared" si="36"/>
        <v>0</v>
      </c>
      <c r="I58" s="50">
        <f t="shared" si="36"/>
        <v>56349.42</v>
      </c>
      <c r="J58" s="50">
        <f t="shared" si="36"/>
        <v>0</v>
      </c>
      <c r="K58" s="50">
        <f t="shared" si="36"/>
        <v>0</v>
      </c>
      <c r="L58" s="50">
        <f t="shared" si="36"/>
        <v>0</v>
      </c>
      <c r="M58" s="50">
        <f t="shared" si="36"/>
        <v>0</v>
      </c>
      <c r="N58" s="50">
        <f t="shared" si="36"/>
        <v>0</v>
      </c>
      <c r="O58" s="50">
        <f t="shared" si="36"/>
        <v>0</v>
      </c>
      <c r="P58" s="50">
        <f t="shared" si="36"/>
        <v>0</v>
      </c>
      <c r="Q58" s="50">
        <f t="shared" si="36"/>
        <v>26144.46</v>
      </c>
      <c r="R58" s="50">
        <f t="shared" si="36"/>
        <v>0</v>
      </c>
      <c r="S58" s="50">
        <f t="shared" si="36"/>
        <v>0</v>
      </c>
      <c r="T58" s="50">
        <f t="shared" si="36"/>
        <v>0</v>
      </c>
      <c r="U58" s="50">
        <f t="shared" si="36"/>
        <v>1113.22</v>
      </c>
      <c r="V58" s="50">
        <f t="shared" si="36"/>
        <v>0</v>
      </c>
      <c r="W58" s="50">
        <f t="shared" si="36"/>
        <v>163.65</v>
      </c>
      <c r="X58" s="50">
        <f t="shared" si="36"/>
        <v>0</v>
      </c>
      <c r="Y58" s="51">
        <f t="shared" si="34"/>
        <v>84555.93</v>
      </c>
    </row>
    <row r="59" spans="1:33" ht="35.1" customHeight="1">
      <c r="B59" s="46" t="s">
        <v>103</v>
      </c>
      <c r="C59" s="67" t="s">
        <v>106</v>
      </c>
      <c r="D59" s="66" t="s">
        <v>107</v>
      </c>
      <c r="E59" s="49">
        <f t="shared" si="36"/>
        <v>0</v>
      </c>
      <c r="F59" s="50">
        <f t="shared" si="36"/>
        <v>0</v>
      </c>
      <c r="G59" s="50">
        <f t="shared" si="36"/>
        <v>0</v>
      </c>
      <c r="H59" s="50">
        <f t="shared" si="36"/>
        <v>105491.2</v>
      </c>
      <c r="I59" s="50">
        <f t="shared" si="36"/>
        <v>15065.43</v>
      </c>
      <c r="J59" s="50">
        <f t="shared" si="36"/>
        <v>0</v>
      </c>
      <c r="K59" s="50">
        <f t="shared" si="36"/>
        <v>0</v>
      </c>
      <c r="L59" s="50">
        <f t="shared" si="36"/>
        <v>26745.25</v>
      </c>
      <c r="M59" s="50">
        <f t="shared" si="36"/>
        <v>0</v>
      </c>
      <c r="N59" s="50">
        <f t="shared" si="36"/>
        <v>0</v>
      </c>
      <c r="O59" s="50">
        <f t="shared" si="36"/>
        <v>22129.95</v>
      </c>
      <c r="P59" s="50">
        <f t="shared" si="36"/>
        <v>0</v>
      </c>
      <c r="Q59" s="50">
        <f t="shared" si="36"/>
        <v>0</v>
      </c>
      <c r="R59" s="50">
        <f t="shared" si="36"/>
        <v>0</v>
      </c>
      <c r="S59" s="50">
        <f t="shared" si="36"/>
        <v>0</v>
      </c>
      <c r="T59" s="50">
        <f t="shared" si="36"/>
        <v>0</v>
      </c>
      <c r="U59" s="50">
        <f t="shared" si="36"/>
        <v>30150.42</v>
      </c>
      <c r="V59" s="50">
        <f t="shared" si="36"/>
        <v>0</v>
      </c>
      <c r="W59" s="50">
        <f t="shared" si="36"/>
        <v>0</v>
      </c>
      <c r="X59" s="50">
        <f t="shared" si="36"/>
        <v>0</v>
      </c>
      <c r="Y59" s="51">
        <f t="shared" si="34"/>
        <v>199582.25</v>
      </c>
    </row>
    <row r="60" spans="1:33" ht="35.1" customHeight="1">
      <c r="B60" s="46" t="s">
        <v>42</v>
      </c>
      <c r="C60" s="67" t="s">
        <v>108</v>
      </c>
      <c r="D60" s="66" t="s">
        <v>109</v>
      </c>
      <c r="E60" s="49">
        <f t="shared" ref="E60:X60" si="37">+E145+E205</f>
        <v>0</v>
      </c>
      <c r="F60" s="50">
        <f t="shared" si="37"/>
        <v>14918.55</v>
      </c>
      <c r="G60" s="50">
        <f t="shared" si="37"/>
        <v>2429.2399999999998</v>
      </c>
      <c r="H60" s="50">
        <f t="shared" si="37"/>
        <v>22363.21</v>
      </c>
      <c r="I60" s="50">
        <f t="shared" si="37"/>
        <v>0</v>
      </c>
      <c r="J60" s="50">
        <f t="shared" si="37"/>
        <v>0</v>
      </c>
      <c r="K60" s="50">
        <f t="shared" si="37"/>
        <v>10807.58</v>
      </c>
      <c r="L60" s="50">
        <f t="shared" si="37"/>
        <v>0</v>
      </c>
      <c r="M60" s="50">
        <f t="shared" si="37"/>
        <v>3216.93</v>
      </c>
      <c r="N60" s="50">
        <f t="shared" si="37"/>
        <v>0</v>
      </c>
      <c r="O60" s="50">
        <f t="shared" si="37"/>
        <v>2069.54</v>
      </c>
      <c r="P60" s="50">
        <f t="shared" si="37"/>
        <v>0</v>
      </c>
      <c r="Q60" s="50">
        <f t="shared" si="37"/>
        <v>40392.36</v>
      </c>
      <c r="R60" s="50">
        <f t="shared" si="37"/>
        <v>0</v>
      </c>
      <c r="S60" s="50">
        <f t="shared" si="37"/>
        <v>0</v>
      </c>
      <c r="T60" s="50">
        <f t="shared" si="37"/>
        <v>0</v>
      </c>
      <c r="U60" s="50">
        <f t="shared" si="37"/>
        <v>0</v>
      </c>
      <c r="V60" s="50">
        <f t="shared" si="37"/>
        <v>44.62</v>
      </c>
      <c r="W60" s="50">
        <f t="shared" si="37"/>
        <v>0</v>
      </c>
      <c r="X60" s="50">
        <f t="shared" si="37"/>
        <v>0</v>
      </c>
      <c r="Y60" s="51">
        <f t="shared" si="34"/>
        <v>96242.03</v>
      </c>
    </row>
    <row r="61" spans="1:33" ht="35.1" customHeight="1">
      <c r="B61" s="46">
        <v>11</v>
      </c>
      <c r="C61" s="67" t="s">
        <v>110</v>
      </c>
      <c r="D61" s="66" t="s">
        <v>111</v>
      </c>
      <c r="E61" s="49">
        <f>+E146</f>
        <v>0</v>
      </c>
      <c r="F61" s="50">
        <f t="shared" ref="F61:X63" si="38">+F146</f>
        <v>3685.62</v>
      </c>
      <c r="G61" s="50">
        <f t="shared" si="38"/>
        <v>0</v>
      </c>
      <c r="H61" s="50">
        <f t="shared" si="38"/>
        <v>0</v>
      </c>
      <c r="I61" s="50">
        <f t="shared" si="38"/>
        <v>2980</v>
      </c>
      <c r="J61" s="50">
        <f t="shared" si="38"/>
        <v>0</v>
      </c>
      <c r="K61" s="50">
        <f t="shared" si="38"/>
        <v>0</v>
      </c>
      <c r="L61" s="50">
        <f t="shared" si="38"/>
        <v>3463.02</v>
      </c>
      <c r="M61" s="50">
        <f t="shared" si="38"/>
        <v>0</v>
      </c>
      <c r="N61" s="50">
        <f t="shared" si="38"/>
        <v>0</v>
      </c>
      <c r="O61" s="50">
        <f t="shared" si="38"/>
        <v>3579.09</v>
      </c>
      <c r="P61" s="50">
        <f t="shared" si="38"/>
        <v>0</v>
      </c>
      <c r="Q61" s="50">
        <f t="shared" si="38"/>
        <v>0</v>
      </c>
      <c r="R61" s="50">
        <f t="shared" si="38"/>
        <v>0</v>
      </c>
      <c r="S61" s="50">
        <f t="shared" si="38"/>
        <v>0</v>
      </c>
      <c r="T61" s="50">
        <f t="shared" si="38"/>
        <v>0</v>
      </c>
      <c r="U61" s="50">
        <f t="shared" si="38"/>
        <v>0</v>
      </c>
      <c r="V61" s="50">
        <f t="shared" si="38"/>
        <v>0</v>
      </c>
      <c r="W61" s="50">
        <f t="shared" si="38"/>
        <v>0</v>
      </c>
      <c r="X61" s="50">
        <f t="shared" si="38"/>
        <v>0</v>
      </c>
      <c r="Y61" s="51">
        <f t="shared" si="34"/>
        <v>13707.73</v>
      </c>
    </row>
    <row r="62" spans="1:33" ht="35.1" customHeight="1">
      <c r="B62" s="46">
        <v>11</v>
      </c>
      <c r="C62" s="67" t="s">
        <v>112</v>
      </c>
      <c r="D62" s="66" t="s">
        <v>113</v>
      </c>
      <c r="E62" s="49">
        <f>+E147</f>
        <v>0</v>
      </c>
      <c r="F62" s="50">
        <f t="shared" si="38"/>
        <v>0</v>
      </c>
      <c r="G62" s="50">
        <f t="shared" si="38"/>
        <v>0</v>
      </c>
      <c r="H62" s="50">
        <f t="shared" si="38"/>
        <v>1874</v>
      </c>
      <c r="I62" s="50">
        <f t="shared" si="38"/>
        <v>0</v>
      </c>
      <c r="J62" s="50">
        <f t="shared" si="38"/>
        <v>75210</v>
      </c>
      <c r="K62" s="50">
        <f t="shared" si="38"/>
        <v>0</v>
      </c>
      <c r="L62" s="50">
        <f t="shared" si="38"/>
        <v>0</v>
      </c>
      <c r="M62" s="50">
        <f t="shared" si="38"/>
        <v>0</v>
      </c>
      <c r="N62" s="50">
        <f t="shared" si="38"/>
        <v>0</v>
      </c>
      <c r="O62" s="50">
        <f t="shared" si="38"/>
        <v>0</v>
      </c>
      <c r="P62" s="50">
        <f t="shared" si="38"/>
        <v>0</v>
      </c>
      <c r="Q62" s="50">
        <f t="shared" si="38"/>
        <v>0</v>
      </c>
      <c r="R62" s="50">
        <f t="shared" si="38"/>
        <v>11036.33</v>
      </c>
      <c r="S62" s="50">
        <f t="shared" si="38"/>
        <v>0</v>
      </c>
      <c r="T62" s="50">
        <f t="shared" si="38"/>
        <v>0</v>
      </c>
      <c r="U62" s="50">
        <f t="shared" si="38"/>
        <v>0</v>
      </c>
      <c r="V62" s="50">
        <f t="shared" si="38"/>
        <v>70.540000000000006</v>
      </c>
      <c r="W62" s="50">
        <f t="shared" si="38"/>
        <v>0</v>
      </c>
      <c r="X62" s="50">
        <f t="shared" si="38"/>
        <v>178863.7</v>
      </c>
      <c r="Y62" s="51">
        <f t="shared" si="34"/>
        <v>267054.57</v>
      </c>
    </row>
    <row r="63" spans="1:33" s="29" customFormat="1" ht="35.1" customHeight="1">
      <c r="A63" s="1" t="s">
        <v>0</v>
      </c>
      <c r="B63" s="24"/>
      <c r="C63" s="57" t="s">
        <v>114</v>
      </c>
      <c r="D63" s="58"/>
      <c r="E63" s="27">
        <v>0</v>
      </c>
      <c r="F63" s="28">
        <v>0</v>
      </c>
      <c r="G63" s="28">
        <v>0</v>
      </c>
      <c r="H63" s="28">
        <v>0</v>
      </c>
      <c r="I63" s="28">
        <v>0</v>
      </c>
      <c r="J63" s="28">
        <v>0</v>
      </c>
      <c r="K63" s="28">
        <v>0</v>
      </c>
      <c r="L63" s="28">
        <v>0</v>
      </c>
      <c r="M63" s="28">
        <v>0</v>
      </c>
      <c r="N63" s="28">
        <v>0</v>
      </c>
      <c r="O63" s="28">
        <v>0</v>
      </c>
      <c r="P63" s="28">
        <v>0</v>
      </c>
      <c r="Q63" s="28">
        <v>0</v>
      </c>
      <c r="R63" s="28">
        <v>0</v>
      </c>
      <c r="S63" s="28">
        <v>0</v>
      </c>
      <c r="T63" s="28">
        <v>0</v>
      </c>
      <c r="U63" s="28">
        <v>0</v>
      </c>
      <c r="V63" s="28">
        <v>0</v>
      </c>
      <c r="W63" s="28">
        <v>0</v>
      </c>
      <c r="X63" s="28">
        <f t="shared" si="38"/>
        <v>69508.179999999993</v>
      </c>
      <c r="Y63" s="28">
        <f t="shared" si="34"/>
        <v>69508.179999999993</v>
      </c>
      <c r="AA63" s="30"/>
      <c r="AG63" s="30"/>
    </row>
    <row r="64" spans="1:33" ht="35.1" customHeight="1">
      <c r="B64" s="46">
        <v>11</v>
      </c>
      <c r="C64" s="67" t="s">
        <v>115</v>
      </c>
      <c r="D64" s="66" t="s">
        <v>116</v>
      </c>
      <c r="E64" s="49">
        <f t="shared" ref="E64:X73" si="39">+E149</f>
        <v>0</v>
      </c>
      <c r="F64" s="50">
        <f t="shared" si="39"/>
        <v>0</v>
      </c>
      <c r="G64" s="50">
        <f t="shared" si="39"/>
        <v>0</v>
      </c>
      <c r="H64" s="50">
        <f t="shared" si="39"/>
        <v>0</v>
      </c>
      <c r="I64" s="50">
        <f t="shared" si="39"/>
        <v>0</v>
      </c>
      <c r="J64" s="50">
        <f t="shared" si="39"/>
        <v>0</v>
      </c>
      <c r="K64" s="50">
        <f t="shared" si="39"/>
        <v>0</v>
      </c>
      <c r="L64" s="50">
        <f t="shared" si="39"/>
        <v>0</v>
      </c>
      <c r="M64" s="50">
        <f t="shared" si="39"/>
        <v>0</v>
      </c>
      <c r="N64" s="50">
        <f t="shared" si="39"/>
        <v>0</v>
      </c>
      <c r="O64" s="50">
        <f t="shared" si="39"/>
        <v>0</v>
      </c>
      <c r="P64" s="50">
        <f t="shared" si="39"/>
        <v>0</v>
      </c>
      <c r="Q64" s="50">
        <f t="shared" si="39"/>
        <v>0</v>
      </c>
      <c r="R64" s="50">
        <f t="shared" si="39"/>
        <v>0</v>
      </c>
      <c r="S64" s="50">
        <f t="shared" si="39"/>
        <v>0</v>
      </c>
      <c r="T64" s="50">
        <f t="shared" si="39"/>
        <v>0</v>
      </c>
      <c r="U64" s="50">
        <f t="shared" si="39"/>
        <v>0</v>
      </c>
      <c r="V64" s="50">
        <f t="shared" si="39"/>
        <v>0</v>
      </c>
      <c r="W64" s="50">
        <f t="shared" si="39"/>
        <v>0</v>
      </c>
      <c r="X64" s="50">
        <f t="shared" si="39"/>
        <v>0</v>
      </c>
      <c r="Y64" s="51">
        <f t="shared" si="34"/>
        <v>0</v>
      </c>
    </row>
    <row r="65" spans="2:25" ht="35.1" customHeight="1">
      <c r="B65" s="46">
        <v>11</v>
      </c>
      <c r="C65" s="67" t="s">
        <v>117</v>
      </c>
      <c r="D65" s="66" t="s">
        <v>118</v>
      </c>
      <c r="E65" s="49">
        <f t="shared" si="39"/>
        <v>0</v>
      </c>
      <c r="F65" s="50">
        <f t="shared" si="39"/>
        <v>0</v>
      </c>
      <c r="G65" s="50">
        <f t="shared" si="39"/>
        <v>2328.4499999999998</v>
      </c>
      <c r="H65" s="50">
        <f t="shared" si="39"/>
        <v>160.6</v>
      </c>
      <c r="I65" s="50">
        <f t="shared" si="39"/>
        <v>0</v>
      </c>
      <c r="J65" s="50">
        <f t="shared" si="39"/>
        <v>0</v>
      </c>
      <c r="K65" s="50">
        <f t="shared" si="39"/>
        <v>0</v>
      </c>
      <c r="L65" s="50">
        <f t="shared" si="39"/>
        <v>0</v>
      </c>
      <c r="M65" s="50">
        <f t="shared" si="39"/>
        <v>585</v>
      </c>
      <c r="N65" s="50">
        <f t="shared" si="39"/>
        <v>0</v>
      </c>
      <c r="O65" s="50">
        <f t="shared" si="39"/>
        <v>0</v>
      </c>
      <c r="P65" s="50">
        <f t="shared" si="39"/>
        <v>0</v>
      </c>
      <c r="Q65" s="50">
        <f t="shared" si="39"/>
        <v>0</v>
      </c>
      <c r="R65" s="50">
        <f t="shared" si="39"/>
        <v>0</v>
      </c>
      <c r="S65" s="50">
        <f t="shared" si="39"/>
        <v>0</v>
      </c>
      <c r="T65" s="50">
        <f t="shared" si="39"/>
        <v>312</v>
      </c>
      <c r="U65" s="50">
        <f t="shared" si="39"/>
        <v>0</v>
      </c>
      <c r="V65" s="50">
        <f t="shared" si="39"/>
        <v>0</v>
      </c>
      <c r="W65" s="50">
        <f t="shared" si="39"/>
        <v>0</v>
      </c>
      <c r="X65" s="50">
        <f t="shared" si="39"/>
        <v>0</v>
      </c>
      <c r="Y65" s="51">
        <f t="shared" si="34"/>
        <v>3386.0499999999997</v>
      </c>
    </row>
    <row r="66" spans="2:25" ht="35.1" customHeight="1">
      <c r="B66" s="46">
        <v>11</v>
      </c>
      <c r="C66" s="67" t="s">
        <v>119</v>
      </c>
      <c r="D66" s="66" t="s">
        <v>120</v>
      </c>
      <c r="E66" s="49">
        <f t="shared" si="39"/>
        <v>0</v>
      </c>
      <c r="F66" s="50">
        <f t="shared" si="39"/>
        <v>0</v>
      </c>
      <c r="G66" s="50">
        <f t="shared" si="39"/>
        <v>0</v>
      </c>
      <c r="H66" s="50">
        <f t="shared" si="39"/>
        <v>0</v>
      </c>
      <c r="I66" s="50">
        <f t="shared" si="39"/>
        <v>0</v>
      </c>
      <c r="J66" s="50">
        <f t="shared" si="39"/>
        <v>0</v>
      </c>
      <c r="K66" s="50">
        <f t="shared" si="39"/>
        <v>0</v>
      </c>
      <c r="L66" s="50">
        <f t="shared" si="39"/>
        <v>0</v>
      </c>
      <c r="M66" s="50">
        <f t="shared" si="39"/>
        <v>0</v>
      </c>
      <c r="N66" s="50">
        <f t="shared" si="39"/>
        <v>0</v>
      </c>
      <c r="O66" s="50">
        <f t="shared" si="39"/>
        <v>0</v>
      </c>
      <c r="P66" s="50">
        <f t="shared" si="39"/>
        <v>0</v>
      </c>
      <c r="Q66" s="50">
        <f t="shared" si="39"/>
        <v>0</v>
      </c>
      <c r="R66" s="50">
        <f t="shared" si="39"/>
        <v>0</v>
      </c>
      <c r="S66" s="50">
        <f t="shared" si="39"/>
        <v>0</v>
      </c>
      <c r="T66" s="50">
        <f t="shared" si="39"/>
        <v>0</v>
      </c>
      <c r="U66" s="50">
        <f t="shared" si="39"/>
        <v>0</v>
      </c>
      <c r="V66" s="50">
        <f t="shared" si="39"/>
        <v>0</v>
      </c>
      <c r="W66" s="50">
        <f t="shared" si="39"/>
        <v>0</v>
      </c>
      <c r="X66" s="50">
        <f t="shared" si="39"/>
        <v>0</v>
      </c>
      <c r="Y66" s="51">
        <f t="shared" si="34"/>
        <v>0</v>
      </c>
    </row>
    <row r="67" spans="2:25" ht="35.1" customHeight="1">
      <c r="B67" s="46">
        <v>11</v>
      </c>
      <c r="C67" s="69" t="s">
        <v>121</v>
      </c>
      <c r="D67" s="66" t="s">
        <v>122</v>
      </c>
      <c r="E67" s="49">
        <f t="shared" si="39"/>
        <v>0</v>
      </c>
      <c r="F67" s="50">
        <f t="shared" si="39"/>
        <v>3008.28</v>
      </c>
      <c r="G67" s="50">
        <f t="shared" si="39"/>
        <v>0</v>
      </c>
      <c r="H67" s="50">
        <f t="shared" si="39"/>
        <v>0</v>
      </c>
      <c r="I67" s="50">
        <f t="shared" si="39"/>
        <v>175</v>
      </c>
      <c r="J67" s="50">
        <f t="shared" si="39"/>
        <v>0</v>
      </c>
      <c r="K67" s="50">
        <f t="shared" si="39"/>
        <v>0</v>
      </c>
      <c r="L67" s="50">
        <f t="shared" si="39"/>
        <v>0</v>
      </c>
      <c r="M67" s="50">
        <f t="shared" si="39"/>
        <v>0</v>
      </c>
      <c r="N67" s="50">
        <f t="shared" si="39"/>
        <v>0</v>
      </c>
      <c r="O67" s="50">
        <f t="shared" si="39"/>
        <v>0</v>
      </c>
      <c r="P67" s="50">
        <f t="shared" si="39"/>
        <v>0</v>
      </c>
      <c r="Q67" s="50">
        <f t="shared" si="39"/>
        <v>0</v>
      </c>
      <c r="R67" s="50">
        <f t="shared" si="39"/>
        <v>400</v>
      </c>
      <c r="S67" s="50">
        <f t="shared" si="39"/>
        <v>5891.4</v>
      </c>
      <c r="T67" s="50">
        <f t="shared" si="39"/>
        <v>0</v>
      </c>
      <c r="U67" s="50">
        <f t="shared" si="39"/>
        <v>0</v>
      </c>
      <c r="V67" s="50">
        <f t="shared" si="39"/>
        <v>0</v>
      </c>
      <c r="W67" s="50">
        <f t="shared" si="39"/>
        <v>0</v>
      </c>
      <c r="X67" s="50">
        <f t="shared" si="39"/>
        <v>0</v>
      </c>
      <c r="Y67" s="51">
        <f t="shared" si="34"/>
        <v>9474.68</v>
      </c>
    </row>
    <row r="68" spans="2:25" ht="35.1" customHeight="1">
      <c r="B68" s="46">
        <v>11</v>
      </c>
      <c r="C68" s="67" t="s">
        <v>123</v>
      </c>
      <c r="D68" s="66" t="s">
        <v>124</v>
      </c>
      <c r="E68" s="49">
        <f t="shared" si="39"/>
        <v>0</v>
      </c>
      <c r="F68" s="50">
        <f t="shared" si="39"/>
        <v>0</v>
      </c>
      <c r="G68" s="50">
        <f t="shared" si="39"/>
        <v>0</v>
      </c>
      <c r="H68" s="50">
        <f t="shared" si="39"/>
        <v>0</v>
      </c>
      <c r="I68" s="50">
        <f t="shared" si="39"/>
        <v>0</v>
      </c>
      <c r="J68" s="50">
        <f t="shared" si="39"/>
        <v>0</v>
      </c>
      <c r="K68" s="50">
        <f t="shared" si="39"/>
        <v>0</v>
      </c>
      <c r="L68" s="50">
        <f t="shared" si="39"/>
        <v>56.2</v>
      </c>
      <c r="M68" s="50">
        <f t="shared" si="39"/>
        <v>0</v>
      </c>
      <c r="N68" s="50">
        <f t="shared" si="39"/>
        <v>0</v>
      </c>
      <c r="O68" s="50">
        <f t="shared" si="39"/>
        <v>0</v>
      </c>
      <c r="P68" s="50">
        <f t="shared" si="39"/>
        <v>90</v>
      </c>
      <c r="Q68" s="50">
        <f t="shared" si="39"/>
        <v>0</v>
      </c>
      <c r="R68" s="50">
        <f t="shared" si="39"/>
        <v>0</v>
      </c>
      <c r="S68" s="50">
        <f t="shared" si="39"/>
        <v>0</v>
      </c>
      <c r="T68" s="50">
        <f t="shared" si="39"/>
        <v>0</v>
      </c>
      <c r="U68" s="50">
        <f t="shared" si="39"/>
        <v>0</v>
      </c>
      <c r="V68" s="50">
        <f t="shared" si="39"/>
        <v>0</v>
      </c>
      <c r="W68" s="50">
        <f t="shared" si="39"/>
        <v>0</v>
      </c>
      <c r="X68" s="50">
        <f t="shared" si="39"/>
        <v>0</v>
      </c>
      <c r="Y68" s="51">
        <f t="shared" si="34"/>
        <v>146.19999999999999</v>
      </c>
    </row>
    <row r="69" spans="2:25" ht="35.1" customHeight="1">
      <c r="B69" s="46">
        <v>11</v>
      </c>
      <c r="C69" s="69" t="s">
        <v>125</v>
      </c>
      <c r="D69" s="66" t="s">
        <v>126</v>
      </c>
      <c r="E69" s="49">
        <f t="shared" si="39"/>
        <v>0</v>
      </c>
      <c r="F69" s="50">
        <f t="shared" si="39"/>
        <v>50</v>
      </c>
      <c r="G69" s="50">
        <f t="shared" si="39"/>
        <v>0</v>
      </c>
      <c r="H69" s="50">
        <f t="shared" si="39"/>
        <v>1920</v>
      </c>
      <c r="I69" s="50">
        <f t="shared" si="39"/>
        <v>812.6</v>
      </c>
      <c r="J69" s="50">
        <f t="shared" si="39"/>
        <v>918.55</v>
      </c>
      <c r="K69" s="50">
        <f t="shared" si="39"/>
        <v>1500</v>
      </c>
      <c r="L69" s="50">
        <f t="shared" si="39"/>
        <v>708.04</v>
      </c>
      <c r="M69" s="50">
        <f t="shared" si="39"/>
        <v>0</v>
      </c>
      <c r="N69" s="50">
        <f t="shared" si="39"/>
        <v>2400.4</v>
      </c>
      <c r="O69" s="50">
        <f t="shared" si="39"/>
        <v>2279.87</v>
      </c>
      <c r="P69" s="50">
        <f t="shared" si="39"/>
        <v>0</v>
      </c>
      <c r="Q69" s="50">
        <f t="shared" si="39"/>
        <v>2250</v>
      </c>
      <c r="R69" s="50">
        <f t="shared" si="39"/>
        <v>97.8</v>
      </c>
      <c r="S69" s="50">
        <f t="shared" si="39"/>
        <v>0</v>
      </c>
      <c r="T69" s="50">
        <f t="shared" si="39"/>
        <v>2218.73</v>
      </c>
      <c r="U69" s="50">
        <f t="shared" si="39"/>
        <v>0</v>
      </c>
      <c r="V69" s="50">
        <f t="shared" si="39"/>
        <v>1007.58</v>
      </c>
      <c r="W69" s="50">
        <f t="shared" si="39"/>
        <v>1512</v>
      </c>
      <c r="X69" s="50">
        <f t="shared" si="39"/>
        <v>1049</v>
      </c>
      <c r="Y69" s="51">
        <f t="shared" si="34"/>
        <v>18724.57</v>
      </c>
    </row>
    <row r="70" spans="2:25" ht="35.1" customHeight="1">
      <c r="B70" s="46">
        <v>11</v>
      </c>
      <c r="C70" s="69" t="s">
        <v>127</v>
      </c>
      <c r="D70" s="66" t="s">
        <v>128</v>
      </c>
      <c r="E70" s="49">
        <f t="shared" si="39"/>
        <v>0</v>
      </c>
      <c r="F70" s="50">
        <f t="shared" si="39"/>
        <v>0</v>
      </c>
      <c r="G70" s="50">
        <f t="shared" si="39"/>
        <v>0</v>
      </c>
      <c r="H70" s="50">
        <f t="shared" si="39"/>
        <v>0</v>
      </c>
      <c r="I70" s="50">
        <f t="shared" si="39"/>
        <v>39000</v>
      </c>
      <c r="J70" s="50">
        <f t="shared" si="39"/>
        <v>182159.09</v>
      </c>
      <c r="K70" s="50">
        <f t="shared" si="39"/>
        <v>0</v>
      </c>
      <c r="L70" s="50">
        <f t="shared" si="39"/>
        <v>0</v>
      </c>
      <c r="M70" s="50">
        <f t="shared" si="39"/>
        <v>0</v>
      </c>
      <c r="N70" s="50">
        <f t="shared" si="39"/>
        <v>0</v>
      </c>
      <c r="O70" s="50">
        <f t="shared" si="39"/>
        <v>33000</v>
      </c>
      <c r="P70" s="50">
        <f t="shared" si="39"/>
        <v>0</v>
      </c>
      <c r="Q70" s="50">
        <f t="shared" si="39"/>
        <v>89362.72</v>
      </c>
      <c r="R70" s="50">
        <f t="shared" si="39"/>
        <v>0</v>
      </c>
      <c r="S70" s="50">
        <f t="shared" si="39"/>
        <v>150000</v>
      </c>
      <c r="T70" s="50">
        <f t="shared" si="39"/>
        <v>0</v>
      </c>
      <c r="U70" s="50">
        <f t="shared" si="39"/>
        <v>110797.56999999999</v>
      </c>
      <c r="V70" s="50">
        <f t="shared" si="39"/>
        <v>0</v>
      </c>
      <c r="W70" s="50">
        <f t="shared" si="39"/>
        <v>706926.83000000007</v>
      </c>
      <c r="X70" s="50">
        <f t="shared" si="39"/>
        <v>0</v>
      </c>
      <c r="Y70" s="51">
        <f t="shared" si="34"/>
        <v>1311246.21</v>
      </c>
    </row>
    <row r="71" spans="2:25" ht="35.1" customHeight="1">
      <c r="B71" s="46">
        <v>11</v>
      </c>
      <c r="C71" s="69" t="s">
        <v>129</v>
      </c>
      <c r="D71" s="66" t="s">
        <v>130</v>
      </c>
      <c r="E71" s="49">
        <f t="shared" si="39"/>
        <v>0</v>
      </c>
      <c r="F71" s="50">
        <f t="shared" si="39"/>
        <v>0</v>
      </c>
      <c r="G71" s="50">
        <f t="shared" si="39"/>
        <v>0</v>
      </c>
      <c r="H71" s="50">
        <f t="shared" si="39"/>
        <v>0</v>
      </c>
      <c r="I71" s="50">
        <f t="shared" si="39"/>
        <v>2108.25</v>
      </c>
      <c r="J71" s="50">
        <f t="shared" si="39"/>
        <v>0</v>
      </c>
      <c r="K71" s="50">
        <f t="shared" si="39"/>
        <v>0</v>
      </c>
      <c r="L71" s="50">
        <f t="shared" si="39"/>
        <v>0</v>
      </c>
      <c r="M71" s="50">
        <f t="shared" si="39"/>
        <v>24402.73</v>
      </c>
      <c r="N71" s="50">
        <f t="shared" si="39"/>
        <v>0</v>
      </c>
      <c r="O71" s="50">
        <f t="shared" si="39"/>
        <v>0</v>
      </c>
      <c r="P71" s="50">
        <f t="shared" si="39"/>
        <v>0</v>
      </c>
      <c r="Q71" s="50">
        <f t="shared" si="39"/>
        <v>0</v>
      </c>
      <c r="R71" s="50">
        <f t="shared" si="39"/>
        <v>-15773.07</v>
      </c>
      <c r="S71" s="50">
        <f t="shared" si="39"/>
        <v>1673.8999999999999</v>
      </c>
      <c r="T71" s="50">
        <f t="shared" si="39"/>
        <v>16212.6</v>
      </c>
      <c r="U71" s="50">
        <f t="shared" si="39"/>
        <v>-4003.87</v>
      </c>
      <c r="V71" s="50">
        <f t="shared" si="39"/>
        <v>0</v>
      </c>
      <c r="W71" s="50">
        <f t="shared" si="39"/>
        <v>8500</v>
      </c>
      <c r="X71" s="50">
        <f t="shared" si="39"/>
        <v>0</v>
      </c>
      <c r="Y71" s="51">
        <f t="shared" si="34"/>
        <v>33120.54</v>
      </c>
    </row>
    <row r="72" spans="2:25" ht="35.1" customHeight="1">
      <c r="B72" s="46">
        <v>11</v>
      </c>
      <c r="C72" s="67" t="s">
        <v>131</v>
      </c>
      <c r="D72" s="66" t="s">
        <v>132</v>
      </c>
      <c r="E72" s="49">
        <f t="shared" si="39"/>
        <v>0</v>
      </c>
      <c r="F72" s="50">
        <f t="shared" si="39"/>
        <v>0</v>
      </c>
      <c r="G72" s="50">
        <f t="shared" si="39"/>
        <v>0</v>
      </c>
      <c r="H72" s="50">
        <f t="shared" si="39"/>
        <v>0</v>
      </c>
      <c r="I72" s="50">
        <f t="shared" si="39"/>
        <v>0</v>
      </c>
      <c r="J72" s="50">
        <f t="shared" si="39"/>
        <v>0</v>
      </c>
      <c r="K72" s="50">
        <f t="shared" si="39"/>
        <v>0</v>
      </c>
      <c r="L72" s="50">
        <f t="shared" si="39"/>
        <v>0</v>
      </c>
      <c r="M72" s="50">
        <f t="shared" si="39"/>
        <v>0</v>
      </c>
      <c r="N72" s="50">
        <f t="shared" si="39"/>
        <v>0</v>
      </c>
      <c r="O72" s="50">
        <f t="shared" si="39"/>
        <v>0</v>
      </c>
      <c r="P72" s="50">
        <f t="shared" si="39"/>
        <v>0</v>
      </c>
      <c r="Q72" s="50">
        <f t="shared" si="39"/>
        <v>0</v>
      </c>
      <c r="R72" s="50">
        <f t="shared" si="39"/>
        <v>0</v>
      </c>
      <c r="S72" s="50">
        <f t="shared" si="39"/>
        <v>0</v>
      </c>
      <c r="T72" s="50">
        <f t="shared" si="39"/>
        <v>0</v>
      </c>
      <c r="U72" s="50">
        <f t="shared" si="39"/>
        <v>0</v>
      </c>
      <c r="V72" s="50">
        <f t="shared" si="39"/>
        <v>0</v>
      </c>
      <c r="W72" s="50">
        <f t="shared" si="39"/>
        <v>0</v>
      </c>
      <c r="X72" s="50">
        <f t="shared" si="39"/>
        <v>0</v>
      </c>
      <c r="Y72" s="51">
        <f t="shared" si="34"/>
        <v>0</v>
      </c>
    </row>
    <row r="73" spans="2:25" ht="35.1" customHeight="1">
      <c r="B73" s="46" t="s">
        <v>133</v>
      </c>
      <c r="C73" s="67" t="s">
        <v>134</v>
      </c>
      <c r="D73" s="66" t="s">
        <v>135</v>
      </c>
      <c r="E73" s="49">
        <f>+E158+E226</f>
        <v>0</v>
      </c>
      <c r="F73" s="50">
        <f>+F158</f>
        <v>0</v>
      </c>
      <c r="G73" s="50">
        <f t="shared" si="39"/>
        <v>0</v>
      </c>
      <c r="H73" s="50">
        <f t="shared" si="39"/>
        <v>0</v>
      </c>
      <c r="I73" s="50">
        <f t="shared" si="39"/>
        <v>0</v>
      </c>
      <c r="J73" s="50">
        <f t="shared" si="39"/>
        <v>0</v>
      </c>
      <c r="K73" s="50">
        <f t="shared" si="39"/>
        <v>0</v>
      </c>
      <c r="L73" s="50">
        <f t="shared" si="39"/>
        <v>0</v>
      </c>
      <c r="M73" s="50">
        <f t="shared" si="39"/>
        <v>0</v>
      </c>
      <c r="N73" s="50">
        <f t="shared" si="39"/>
        <v>0</v>
      </c>
      <c r="O73" s="50">
        <f t="shared" si="39"/>
        <v>0</v>
      </c>
      <c r="P73" s="50">
        <f t="shared" si="39"/>
        <v>0</v>
      </c>
      <c r="Q73" s="50">
        <f t="shared" si="39"/>
        <v>0</v>
      </c>
      <c r="R73" s="50">
        <f t="shared" si="39"/>
        <v>0</v>
      </c>
      <c r="S73" s="50">
        <f t="shared" si="39"/>
        <v>0</v>
      </c>
      <c r="T73" s="50">
        <f t="shared" si="39"/>
        <v>0</v>
      </c>
      <c r="U73" s="50">
        <f t="shared" si="39"/>
        <v>0</v>
      </c>
      <c r="V73" s="50">
        <f t="shared" si="39"/>
        <v>0</v>
      </c>
      <c r="W73" s="50">
        <f t="shared" si="39"/>
        <v>0</v>
      </c>
      <c r="X73" s="50">
        <f t="shared" si="39"/>
        <v>0</v>
      </c>
      <c r="Y73" s="51">
        <f>+Y158+Y226</f>
        <v>0</v>
      </c>
    </row>
    <row r="74" spans="2:25" ht="35.1" customHeight="1">
      <c r="B74" s="46" t="s">
        <v>136</v>
      </c>
      <c r="C74" s="67" t="s">
        <v>137</v>
      </c>
      <c r="D74" s="66" t="s">
        <v>138</v>
      </c>
      <c r="E74" s="49">
        <f t="shared" ref="E74:T81" si="40">+E159</f>
        <v>0</v>
      </c>
      <c r="F74" s="50">
        <f>+F159+F227</f>
        <v>0</v>
      </c>
      <c r="G74" s="50">
        <f t="shared" ref="G74:X74" si="41">+G159+G227</f>
        <v>0</v>
      </c>
      <c r="H74" s="50">
        <f t="shared" si="41"/>
        <v>0</v>
      </c>
      <c r="I74" s="50">
        <f t="shared" si="41"/>
        <v>0</v>
      </c>
      <c r="J74" s="50">
        <f t="shared" si="41"/>
        <v>0</v>
      </c>
      <c r="K74" s="50">
        <f t="shared" si="41"/>
        <v>0</v>
      </c>
      <c r="L74" s="50">
        <f t="shared" si="41"/>
        <v>0</v>
      </c>
      <c r="M74" s="50">
        <f t="shared" si="41"/>
        <v>0</v>
      </c>
      <c r="N74" s="50">
        <f t="shared" si="41"/>
        <v>0</v>
      </c>
      <c r="O74" s="50">
        <f t="shared" si="41"/>
        <v>0</v>
      </c>
      <c r="P74" s="50">
        <f t="shared" si="41"/>
        <v>0</v>
      </c>
      <c r="Q74" s="50">
        <f t="shared" si="41"/>
        <v>0</v>
      </c>
      <c r="R74" s="50">
        <f t="shared" si="41"/>
        <v>0</v>
      </c>
      <c r="S74" s="50">
        <f t="shared" si="41"/>
        <v>0</v>
      </c>
      <c r="T74" s="50">
        <f t="shared" si="41"/>
        <v>0</v>
      </c>
      <c r="U74" s="50">
        <f t="shared" si="41"/>
        <v>0</v>
      </c>
      <c r="V74" s="50">
        <f t="shared" si="41"/>
        <v>0</v>
      </c>
      <c r="W74" s="50">
        <f t="shared" si="41"/>
        <v>0</v>
      </c>
      <c r="X74" s="50">
        <f t="shared" si="41"/>
        <v>51.69</v>
      </c>
      <c r="Y74" s="51">
        <f t="shared" ref="Y74:Y81" si="42">SUM(E74:X74)</f>
        <v>51.69</v>
      </c>
    </row>
    <row r="75" spans="2:25" ht="35.1" customHeight="1">
      <c r="B75" s="46">
        <v>11</v>
      </c>
      <c r="C75" s="67" t="s">
        <v>139</v>
      </c>
      <c r="D75" s="66" t="s">
        <v>140</v>
      </c>
      <c r="E75" s="49">
        <f t="shared" si="40"/>
        <v>0</v>
      </c>
      <c r="F75" s="50">
        <f t="shared" si="40"/>
        <v>0</v>
      </c>
      <c r="G75" s="50">
        <f t="shared" si="40"/>
        <v>0</v>
      </c>
      <c r="H75" s="50">
        <f t="shared" si="40"/>
        <v>0</v>
      </c>
      <c r="I75" s="50">
        <f t="shared" si="40"/>
        <v>0</v>
      </c>
      <c r="J75" s="50">
        <f t="shared" si="40"/>
        <v>0</v>
      </c>
      <c r="K75" s="50">
        <f t="shared" si="40"/>
        <v>0</v>
      </c>
      <c r="L75" s="50">
        <f t="shared" si="40"/>
        <v>0</v>
      </c>
      <c r="M75" s="50">
        <f t="shared" si="40"/>
        <v>0</v>
      </c>
      <c r="N75" s="50">
        <f t="shared" si="40"/>
        <v>0</v>
      </c>
      <c r="O75" s="50">
        <f t="shared" si="40"/>
        <v>0</v>
      </c>
      <c r="P75" s="50">
        <f t="shared" si="40"/>
        <v>0</v>
      </c>
      <c r="Q75" s="50">
        <f t="shared" si="40"/>
        <v>0</v>
      </c>
      <c r="R75" s="50">
        <f t="shared" si="40"/>
        <v>0</v>
      </c>
      <c r="S75" s="50">
        <f t="shared" si="40"/>
        <v>0</v>
      </c>
      <c r="T75" s="50">
        <f t="shared" si="40"/>
        <v>849605.09</v>
      </c>
      <c r="U75" s="50">
        <f t="shared" ref="U75:AM81" si="43">+U160</f>
        <v>0</v>
      </c>
      <c r="V75" s="50">
        <f t="shared" si="43"/>
        <v>0</v>
      </c>
      <c r="W75" s="50">
        <f t="shared" si="43"/>
        <v>0</v>
      </c>
      <c r="X75" s="50">
        <f t="shared" si="43"/>
        <v>0</v>
      </c>
      <c r="Y75" s="51">
        <f t="shared" si="42"/>
        <v>849605.09</v>
      </c>
    </row>
    <row r="76" spans="2:25" ht="35.1" customHeight="1">
      <c r="B76" s="46">
        <v>11</v>
      </c>
      <c r="C76" s="67" t="s">
        <v>141</v>
      </c>
      <c r="D76" s="66" t="s">
        <v>142</v>
      </c>
      <c r="E76" s="49">
        <f t="shared" si="40"/>
        <v>0</v>
      </c>
      <c r="F76" s="50">
        <f t="shared" si="40"/>
        <v>0</v>
      </c>
      <c r="G76" s="50">
        <f t="shared" si="40"/>
        <v>0</v>
      </c>
      <c r="H76" s="50">
        <f t="shared" si="40"/>
        <v>0</v>
      </c>
      <c r="I76" s="50">
        <f t="shared" si="40"/>
        <v>0</v>
      </c>
      <c r="J76" s="50">
        <f t="shared" si="40"/>
        <v>0</v>
      </c>
      <c r="K76" s="50">
        <f t="shared" si="40"/>
        <v>0</v>
      </c>
      <c r="L76" s="50">
        <f t="shared" si="40"/>
        <v>0</v>
      </c>
      <c r="M76" s="50">
        <f t="shared" si="40"/>
        <v>0</v>
      </c>
      <c r="N76" s="50">
        <f t="shared" si="40"/>
        <v>0</v>
      </c>
      <c r="O76" s="50">
        <f t="shared" si="40"/>
        <v>0</v>
      </c>
      <c r="P76" s="50">
        <f t="shared" si="40"/>
        <v>0</v>
      </c>
      <c r="Q76" s="50">
        <f t="shared" si="40"/>
        <v>0</v>
      </c>
      <c r="R76" s="50">
        <f t="shared" si="40"/>
        <v>0</v>
      </c>
      <c r="S76" s="50">
        <f t="shared" si="40"/>
        <v>0</v>
      </c>
      <c r="T76" s="50">
        <f t="shared" si="40"/>
        <v>184081.11</v>
      </c>
      <c r="U76" s="50">
        <f t="shared" si="43"/>
        <v>0</v>
      </c>
      <c r="V76" s="50">
        <f t="shared" si="43"/>
        <v>0</v>
      </c>
      <c r="W76" s="50">
        <f t="shared" si="43"/>
        <v>0</v>
      </c>
      <c r="X76" s="50">
        <f t="shared" si="43"/>
        <v>0</v>
      </c>
      <c r="Y76" s="51">
        <f t="shared" si="42"/>
        <v>184081.11</v>
      </c>
    </row>
    <row r="77" spans="2:25" ht="35.1" customHeight="1">
      <c r="B77" s="46">
        <v>11</v>
      </c>
      <c r="C77" s="67" t="s">
        <v>143</v>
      </c>
      <c r="D77" s="66" t="s">
        <v>144</v>
      </c>
      <c r="E77" s="49">
        <f t="shared" si="40"/>
        <v>0</v>
      </c>
      <c r="F77" s="50">
        <f t="shared" si="40"/>
        <v>0</v>
      </c>
      <c r="G77" s="50">
        <f t="shared" si="40"/>
        <v>0</v>
      </c>
      <c r="H77" s="50">
        <f t="shared" si="40"/>
        <v>0</v>
      </c>
      <c r="I77" s="50">
        <f t="shared" si="40"/>
        <v>0</v>
      </c>
      <c r="J77" s="50">
        <f t="shared" si="40"/>
        <v>0</v>
      </c>
      <c r="K77" s="50">
        <f t="shared" si="40"/>
        <v>0</v>
      </c>
      <c r="L77" s="50">
        <f t="shared" si="40"/>
        <v>0</v>
      </c>
      <c r="M77" s="50">
        <f t="shared" si="40"/>
        <v>0</v>
      </c>
      <c r="N77" s="50">
        <f t="shared" si="40"/>
        <v>0</v>
      </c>
      <c r="O77" s="50">
        <f t="shared" si="40"/>
        <v>0</v>
      </c>
      <c r="P77" s="50">
        <f t="shared" si="40"/>
        <v>0</v>
      </c>
      <c r="Q77" s="50">
        <f t="shared" si="40"/>
        <v>0</v>
      </c>
      <c r="R77" s="50">
        <f t="shared" si="40"/>
        <v>0</v>
      </c>
      <c r="S77" s="50">
        <f t="shared" si="40"/>
        <v>0</v>
      </c>
      <c r="T77" s="50">
        <f t="shared" si="40"/>
        <v>0</v>
      </c>
      <c r="U77" s="50">
        <f t="shared" si="43"/>
        <v>0</v>
      </c>
      <c r="V77" s="50">
        <f t="shared" si="43"/>
        <v>0</v>
      </c>
      <c r="W77" s="50">
        <f t="shared" si="43"/>
        <v>0</v>
      </c>
      <c r="X77" s="50">
        <f t="shared" si="43"/>
        <v>612545.31999999995</v>
      </c>
      <c r="Y77" s="51">
        <f t="shared" si="42"/>
        <v>612545.31999999995</v>
      </c>
    </row>
    <row r="78" spans="2:25" ht="35.1" customHeight="1">
      <c r="B78" s="46">
        <v>11</v>
      </c>
      <c r="C78" s="67" t="s">
        <v>145</v>
      </c>
      <c r="D78" s="66" t="s">
        <v>146</v>
      </c>
      <c r="E78" s="49">
        <f t="shared" si="40"/>
        <v>0</v>
      </c>
      <c r="F78" s="50">
        <f t="shared" si="40"/>
        <v>0</v>
      </c>
      <c r="G78" s="50">
        <f t="shared" si="40"/>
        <v>0</v>
      </c>
      <c r="H78" s="50">
        <f t="shared" si="40"/>
        <v>0</v>
      </c>
      <c r="I78" s="50">
        <f t="shared" si="40"/>
        <v>0</v>
      </c>
      <c r="J78" s="50">
        <f t="shared" si="40"/>
        <v>0</v>
      </c>
      <c r="K78" s="50">
        <f t="shared" si="40"/>
        <v>0</v>
      </c>
      <c r="L78" s="50">
        <f t="shared" si="40"/>
        <v>0</v>
      </c>
      <c r="M78" s="50">
        <f t="shared" si="40"/>
        <v>0</v>
      </c>
      <c r="N78" s="50">
        <f t="shared" si="40"/>
        <v>0</v>
      </c>
      <c r="O78" s="50">
        <f t="shared" si="40"/>
        <v>0</v>
      </c>
      <c r="P78" s="50">
        <f t="shared" si="40"/>
        <v>0</v>
      </c>
      <c r="Q78" s="50">
        <f t="shared" si="40"/>
        <v>0</v>
      </c>
      <c r="R78" s="50">
        <f t="shared" si="40"/>
        <v>0</v>
      </c>
      <c r="S78" s="50">
        <f t="shared" si="40"/>
        <v>0</v>
      </c>
      <c r="T78" s="50">
        <f t="shared" si="40"/>
        <v>0</v>
      </c>
      <c r="U78" s="50">
        <f t="shared" si="43"/>
        <v>0</v>
      </c>
      <c r="V78" s="50">
        <f t="shared" si="43"/>
        <v>0</v>
      </c>
      <c r="W78" s="50">
        <f t="shared" si="43"/>
        <v>0</v>
      </c>
      <c r="X78" s="50">
        <f t="shared" si="43"/>
        <v>0</v>
      </c>
      <c r="Y78" s="51">
        <f t="shared" si="42"/>
        <v>0</v>
      </c>
    </row>
    <row r="79" spans="2:25" ht="35.1" customHeight="1">
      <c r="B79" s="46">
        <v>11</v>
      </c>
      <c r="C79" s="67" t="s">
        <v>147</v>
      </c>
      <c r="D79" s="66" t="s">
        <v>148</v>
      </c>
      <c r="E79" s="49">
        <f t="shared" si="40"/>
        <v>0</v>
      </c>
      <c r="F79" s="50">
        <f t="shared" si="40"/>
        <v>0</v>
      </c>
      <c r="G79" s="50">
        <f t="shared" si="40"/>
        <v>0</v>
      </c>
      <c r="H79" s="50">
        <f t="shared" si="40"/>
        <v>0</v>
      </c>
      <c r="I79" s="50">
        <f t="shared" si="40"/>
        <v>0</v>
      </c>
      <c r="J79" s="50">
        <f t="shared" si="40"/>
        <v>0</v>
      </c>
      <c r="K79" s="50">
        <f t="shared" si="40"/>
        <v>0</v>
      </c>
      <c r="L79" s="50">
        <f t="shared" si="40"/>
        <v>0</v>
      </c>
      <c r="M79" s="50">
        <f t="shared" si="40"/>
        <v>0</v>
      </c>
      <c r="N79" s="50">
        <f t="shared" si="40"/>
        <v>0</v>
      </c>
      <c r="O79" s="50">
        <f t="shared" si="40"/>
        <v>0</v>
      </c>
      <c r="P79" s="50">
        <f t="shared" si="40"/>
        <v>0</v>
      </c>
      <c r="Q79" s="50">
        <f t="shared" si="40"/>
        <v>0</v>
      </c>
      <c r="R79" s="50">
        <f t="shared" si="40"/>
        <v>0</v>
      </c>
      <c r="S79" s="50">
        <f t="shared" si="40"/>
        <v>0</v>
      </c>
      <c r="T79" s="50">
        <f t="shared" si="40"/>
        <v>0</v>
      </c>
      <c r="U79" s="50">
        <f t="shared" si="43"/>
        <v>0</v>
      </c>
      <c r="V79" s="50">
        <f t="shared" si="43"/>
        <v>0</v>
      </c>
      <c r="W79" s="50">
        <f t="shared" si="43"/>
        <v>0</v>
      </c>
      <c r="X79" s="50">
        <f t="shared" si="43"/>
        <v>0</v>
      </c>
      <c r="Y79" s="51">
        <f t="shared" si="42"/>
        <v>0</v>
      </c>
    </row>
    <row r="80" spans="2:25" ht="35.1" customHeight="1">
      <c r="B80" s="46">
        <v>11</v>
      </c>
      <c r="C80" s="67" t="s">
        <v>149</v>
      </c>
      <c r="D80" s="66" t="s">
        <v>150</v>
      </c>
      <c r="E80" s="49">
        <f t="shared" si="40"/>
        <v>0</v>
      </c>
      <c r="F80" s="50">
        <f t="shared" si="40"/>
        <v>0</v>
      </c>
      <c r="G80" s="50">
        <f t="shared" si="40"/>
        <v>0</v>
      </c>
      <c r="H80" s="50">
        <f t="shared" si="40"/>
        <v>0</v>
      </c>
      <c r="I80" s="50">
        <f t="shared" si="40"/>
        <v>0</v>
      </c>
      <c r="J80" s="50">
        <f t="shared" si="40"/>
        <v>0</v>
      </c>
      <c r="K80" s="50">
        <f t="shared" si="40"/>
        <v>0</v>
      </c>
      <c r="L80" s="50">
        <f t="shared" si="40"/>
        <v>0</v>
      </c>
      <c r="M80" s="50">
        <f t="shared" si="40"/>
        <v>0</v>
      </c>
      <c r="N80" s="50">
        <f t="shared" si="40"/>
        <v>0</v>
      </c>
      <c r="O80" s="50">
        <f t="shared" si="40"/>
        <v>0</v>
      </c>
      <c r="P80" s="50">
        <f t="shared" si="40"/>
        <v>0</v>
      </c>
      <c r="Q80" s="50">
        <f t="shared" si="40"/>
        <v>0</v>
      </c>
      <c r="R80" s="50">
        <f t="shared" si="40"/>
        <v>0</v>
      </c>
      <c r="S80" s="50">
        <f t="shared" si="40"/>
        <v>0</v>
      </c>
      <c r="T80" s="50">
        <f t="shared" si="40"/>
        <v>0</v>
      </c>
      <c r="U80" s="50">
        <f t="shared" si="43"/>
        <v>0</v>
      </c>
      <c r="V80" s="50">
        <f t="shared" si="43"/>
        <v>0</v>
      </c>
      <c r="W80" s="50">
        <f t="shared" si="43"/>
        <v>0</v>
      </c>
      <c r="X80" s="50">
        <f t="shared" si="43"/>
        <v>89312.15</v>
      </c>
      <c r="Y80" s="51">
        <f t="shared" si="42"/>
        <v>89312.15</v>
      </c>
    </row>
    <row r="81" spans="1:33" ht="35.1" customHeight="1">
      <c r="B81" s="46">
        <v>11</v>
      </c>
      <c r="C81" s="67" t="s">
        <v>151</v>
      </c>
      <c r="D81" s="66" t="s">
        <v>152</v>
      </c>
      <c r="E81" s="49">
        <f t="shared" si="40"/>
        <v>0</v>
      </c>
      <c r="F81" s="50">
        <f t="shared" si="40"/>
        <v>15.98</v>
      </c>
      <c r="G81" s="50">
        <f t="shared" si="40"/>
        <v>23.47</v>
      </c>
      <c r="H81" s="50">
        <f t="shared" si="40"/>
        <v>9.4</v>
      </c>
      <c r="I81" s="50">
        <f t="shared" si="40"/>
        <v>40.89</v>
      </c>
      <c r="J81" s="50">
        <f t="shared" si="40"/>
        <v>45.36</v>
      </c>
      <c r="K81" s="50">
        <f t="shared" si="40"/>
        <v>11.34</v>
      </c>
      <c r="L81" s="50">
        <f t="shared" si="40"/>
        <v>49.83</v>
      </c>
      <c r="M81" s="50">
        <f t="shared" si="40"/>
        <v>0</v>
      </c>
      <c r="N81" s="50">
        <f t="shared" si="40"/>
        <v>40.6</v>
      </c>
      <c r="O81" s="50">
        <f t="shared" si="40"/>
        <v>47.54</v>
      </c>
      <c r="P81" s="50">
        <f t="shared" si="40"/>
        <v>23.32</v>
      </c>
      <c r="Q81" s="50">
        <f t="shared" si="40"/>
        <v>18.100000000000001</v>
      </c>
      <c r="R81" s="50">
        <f t="shared" si="40"/>
        <v>18.100000000000001</v>
      </c>
      <c r="S81" s="50">
        <f t="shared" si="40"/>
        <v>4.6399999999999997</v>
      </c>
      <c r="T81" s="50">
        <f t="shared" si="40"/>
        <v>13.05</v>
      </c>
      <c r="U81" s="50">
        <f t="shared" si="43"/>
        <v>0</v>
      </c>
      <c r="V81" s="50">
        <f t="shared" si="43"/>
        <v>41.42</v>
      </c>
      <c r="W81" s="50">
        <f t="shared" si="43"/>
        <v>23.53</v>
      </c>
      <c r="X81" s="50">
        <f t="shared" si="43"/>
        <v>43.07</v>
      </c>
      <c r="Y81" s="51">
        <f t="shared" si="42"/>
        <v>469.64000000000004</v>
      </c>
    </row>
    <row r="82" spans="1:33" s="29" customFormat="1" ht="35.1" customHeight="1">
      <c r="A82" s="1" t="s">
        <v>0</v>
      </c>
      <c r="B82" s="24" t="s">
        <v>153</v>
      </c>
      <c r="C82" s="57" t="s">
        <v>154</v>
      </c>
      <c r="D82" s="58"/>
      <c r="E82" s="27">
        <f t="shared" ref="E82:Y82" si="44">SUM(E83:E95)</f>
        <v>0</v>
      </c>
      <c r="F82" s="28">
        <f t="shared" si="44"/>
        <v>195149.05000000002</v>
      </c>
      <c r="G82" s="28">
        <f t="shared" si="44"/>
        <v>120969.68</v>
      </c>
      <c r="H82" s="28">
        <f t="shared" si="44"/>
        <v>199248.16999999998</v>
      </c>
      <c r="I82" s="28">
        <f t="shared" si="44"/>
        <v>540694.89</v>
      </c>
      <c r="J82" s="28">
        <f t="shared" si="44"/>
        <v>25577.53</v>
      </c>
      <c r="K82" s="28">
        <f>SUM(K83:K95)</f>
        <v>13428.45</v>
      </c>
      <c r="L82" s="28">
        <f t="shared" si="44"/>
        <v>18802.64</v>
      </c>
      <c r="M82" s="28">
        <f t="shared" si="44"/>
        <v>26359.52</v>
      </c>
      <c r="N82" s="28">
        <f t="shared" si="44"/>
        <v>0</v>
      </c>
      <c r="O82" s="28">
        <f t="shared" si="44"/>
        <v>231781.17</v>
      </c>
      <c r="P82" s="28">
        <f t="shared" si="44"/>
        <v>209637.1</v>
      </c>
      <c r="Q82" s="28">
        <f t="shared" si="44"/>
        <v>102337.07999999999</v>
      </c>
      <c r="R82" s="28">
        <f t="shared" si="44"/>
        <v>7405</v>
      </c>
      <c r="S82" s="28">
        <f t="shared" si="44"/>
        <v>0</v>
      </c>
      <c r="T82" s="28">
        <f t="shared" si="44"/>
        <v>12669.75</v>
      </c>
      <c r="U82" s="28">
        <f t="shared" si="44"/>
        <v>1371474.92</v>
      </c>
      <c r="V82" s="28">
        <f t="shared" si="44"/>
        <v>150399.44</v>
      </c>
      <c r="W82" s="28">
        <f t="shared" si="44"/>
        <v>0</v>
      </c>
      <c r="X82" s="28">
        <f t="shared" si="44"/>
        <v>490</v>
      </c>
      <c r="Y82" s="28">
        <f t="shared" si="44"/>
        <v>3226424.3899999997</v>
      </c>
      <c r="AA82" s="30"/>
      <c r="AG82" s="30"/>
    </row>
    <row r="83" spans="1:33" ht="35.1" customHeight="1">
      <c r="B83" s="46" t="s">
        <v>42</v>
      </c>
      <c r="C83" s="67" t="s">
        <v>155</v>
      </c>
      <c r="D83" s="66" t="s">
        <v>156</v>
      </c>
      <c r="E83" s="49">
        <f>+E168+E207</f>
        <v>0</v>
      </c>
      <c r="F83" s="50">
        <f t="shared" ref="F83:X86" si="45">+F168+F207</f>
        <v>3507.53</v>
      </c>
      <c r="G83" s="50">
        <f t="shared" si="45"/>
        <v>4224.6000000000004</v>
      </c>
      <c r="H83" s="50">
        <f t="shared" si="45"/>
        <v>63774.35</v>
      </c>
      <c r="I83" s="50">
        <f t="shared" si="45"/>
        <v>0</v>
      </c>
      <c r="J83" s="50">
        <f t="shared" si="45"/>
        <v>8043.28</v>
      </c>
      <c r="K83" s="50">
        <f t="shared" si="45"/>
        <v>13428.45</v>
      </c>
      <c r="L83" s="50">
        <f t="shared" si="45"/>
        <v>777.31999999999994</v>
      </c>
      <c r="M83" s="50">
        <f t="shared" si="45"/>
        <v>0</v>
      </c>
      <c r="N83" s="50">
        <f t="shared" si="45"/>
        <v>0</v>
      </c>
      <c r="O83" s="50">
        <f t="shared" si="45"/>
        <v>82271.03</v>
      </c>
      <c r="P83" s="50">
        <f t="shared" si="45"/>
        <v>6952.3899999999994</v>
      </c>
      <c r="Q83" s="50">
        <f t="shared" si="45"/>
        <v>658.06</v>
      </c>
      <c r="R83" s="50">
        <f t="shared" si="45"/>
        <v>0</v>
      </c>
      <c r="S83" s="50">
        <f t="shared" si="45"/>
        <v>0</v>
      </c>
      <c r="T83" s="50">
        <f t="shared" si="45"/>
        <v>12669.75</v>
      </c>
      <c r="U83" s="50">
        <f t="shared" si="45"/>
        <v>0</v>
      </c>
      <c r="V83" s="50">
        <f t="shared" si="45"/>
        <v>0</v>
      </c>
      <c r="W83" s="50">
        <f t="shared" si="45"/>
        <v>0</v>
      </c>
      <c r="X83" s="50">
        <f t="shared" si="45"/>
        <v>0</v>
      </c>
      <c r="Y83" s="51">
        <f t="shared" ref="Y83:Y95" si="46">SUM(E83:X83)</f>
        <v>196306.76</v>
      </c>
    </row>
    <row r="84" spans="1:33" ht="35.1" customHeight="1">
      <c r="B84" s="46" t="s">
        <v>42</v>
      </c>
      <c r="C84" s="67" t="s">
        <v>157</v>
      </c>
      <c r="D84" s="66" t="s">
        <v>158</v>
      </c>
      <c r="E84" s="49">
        <f>+E169+E208</f>
        <v>0</v>
      </c>
      <c r="F84" s="50">
        <f t="shared" si="45"/>
        <v>0</v>
      </c>
      <c r="G84" s="50">
        <f t="shared" si="45"/>
        <v>0</v>
      </c>
      <c r="H84" s="50">
        <f t="shared" si="45"/>
        <v>0</v>
      </c>
      <c r="I84" s="50">
        <f t="shared" si="45"/>
        <v>507151.89</v>
      </c>
      <c r="J84" s="50">
        <f t="shared" si="45"/>
        <v>0</v>
      </c>
      <c r="K84" s="50">
        <f t="shared" si="45"/>
        <v>0</v>
      </c>
      <c r="L84" s="50">
        <f t="shared" si="45"/>
        <v>12459.33</v>
      </c>
      <c r="M84" s="50">
        <f t="shared" si="45"/>
        <v>0</v>
      </c>
      <c r="N84" s="50">
        <f t="shared" si="45"/>
        <v>0</v>
      </c>
      <c r="O84" s="50">
        <f t="shared" si="45"/>
        <v>0</v>
      </c>
      <c r="P84" s="50">
        <f t="shared" si="45"/>
        <v>104325.51</v>
      </c>
      <c r="Q84" s="50">
        <f t="shared" si="45"/>
        <v>0</v>
      </c>
      <c r="R84" s="50">
        <f t="shared" si="45"/>
        <v>0</v>
      </c>
      <c r="S84" s="50">
        <f t="shared" si="45"/>
        <v>0</v>
      </c>
      <c r="T84" s="50">
        <f t="shared" si="45"/>
        <v>0</v>
      </c>
      <c r="U84" s="50">
        <f t="shared" si="45"/>
        <v>0</v>
      </c>
      <c r="V84" s="50">
        <f t="shared" si="45"/>
        <v>0</v>
      </c>
      <c r="W84" s="50">
        <f t="shared" si="45"/>
        <v>0</v>
      </c>
      <c r="X84" s="50">
        <f t="shared" si="45"/>
        <v>0</v>
      </c>
      <c r="Y84" s="51">
        <f t="shared" si="46"/>
        <v>623936.73</v>
      </c>
    </row>
    <row r="85" spans="1:33" ht="35.1" customHeight="1">
      <c r="B85" s="46" t="s">
        <v>42</v>
      </c>
      <c r="C85" s="67" t="s">
        <v>159</v>
      </c>
      <c r="D85" s="66" t="s">
        <v>160</v>
      </c>
      <c r="E85" s="49">
        <f>+E170+E209</f>
        <v>0</v>
      </c>
      <c r="F85" s="50">
        <f t="shared" si="45"/>
        <v>0</v>
      </c>
      <c r="G85" s="50">
        <f t="shared" si="45"/>
        <v>0</v>
      </c>
      <c r="H85" s="50">
        <f t="shared" si="45"/>
        <v>16105.35</v>
      </c>
      <c r="I85" s="50">
        <f t="shared" si="45"/>
        <v>0</v>
      </c>
      <c r="J85" s="50">
        <f t="shared" si="45"/>
        <v>17534.25</v>
      </c>
      <c r="K85" s="50">
        <f t="shared" si="45"/>
        <v>0</v>
      </c>
      <c r="L85" s="50">
        <f t="shared" si="45"/>
        <v>847.65</v>
      </c>
      <c r="M85" s="50">
        <f t="shared" si="45"/>
        <v>0</v>
      </c>
      <c r="N85" s="50">
        <f t="shared" si="45"/>
        <v>0</v>
      </c>
      <c r="O85" s="50">
        <f t="shared" si="45"/>
        <v>0</v>
      </c>
      <c r="P85" s="50">
        <f t="shared" si="45"/>
        <v>0</v>
      </c>
      <c r="Q85" s="50">
        <f t="shared" si="45"/>
        <v>0</v>
      </c>
      <c r="R85" s="50">
        <f t="shared" si="45"/>
        <v>0</v>
      </c>
      <c r="S85" s="50">
        <f t="shared" si="45"/>
        <v>0</v>
      </c>
      <c r="T85" s="50">
        <f t="shared" si="45"/>
        <v>0</v>
      </c>
      <c r="U85" s="50">
        <f t="shared" si="45"/>
        <v>6700</v>
      </c>
      <c r="V85" s="50">
        <f t="shared" si="45"/>
        <v>0</v>
      </c>
      <c r="W85" s="50">
        <f t="shared" si="45"/>
        <v>0</v>
      </c>
      <c r="X85" s="50">
        <f t="shared" si="45"/>
        <v>0</v>
      </c>
      <c r="Y85" s="51">
        <f t="shared" si="46"/>
        <v>41187.25</v>
      </c>
    </row>
    <row r="86" spans="1:33" ht="35.1" customHeight="1">
      <c r="B86" s="46" t="s">
        <v>42</v>
      </c>
      <c r="C86" s="67" t="s">
        <v>161</v>
      </c>
      <c r="D86" s="66" t="s">
        <v>162</v>
      </c>
      <c r="E86" s="49">
        <f>+E171</f>
        <v>0</v>
      </c>
      <c r="F86" s="50">
        <f>+F171+F210</f>
        <v>0</v>
      </c>
      <c r="G86" s="50">
        <f t="shared" si="45"/>
        <v>0</v>
      </c>
      <c r="H86" s="50">
        <f t="shared" si="45"/>
        <v>1800.04</v>
      </c>
      <c r="I86" s="50">
        <f t="shared" si="45"/>
        <v>0</v>
      </c>
      <c r="J86" s="50">
        <f t="shared" si="45"/>
        <v>0</v>
      </c>
      <c r="K86" s="50">
        <f t="shared" si="45"/>
        <v>0</v>
      </c>
      <c r="L86" s="50">
        <f t="shared" si="45"/>
        <v>0</v>
      </c>
      <c r="M86" s="50">
        <f t="shared" si="45"/>
        <v>0</v>
      </c>
      <c r="N86" s="50">
        <f t="shared" si="45"/>
        <v>0</v>
      </c>
      <c r="O86" s="50">
        <f t="shared" si="45"/>
        <v>0</v>
      </c>
      <c r="P86" s="50">
        <f t="shared" si="45"/>
        <v>155.46</v>
      </c>
      <c r="Q86" s="50">
        <f t="shared" si="45"/>
        <v>0</v>
      </c>
      <c r="R86" s="50">
        <f t="shared" si="45"/>
        <v>0</v>
      </c>
      <c r="S86" s="50">
        <f t="shared" si="45"/>
        <v>0</v>
      </c>
      <c r="T86" s="50">
        <f t="shared" si="45"/>
        <v>0</v>
      </c>
      <c r="U86" s="50">
        <f t="shared" si="45"/>
        <v>2346.25</v>
      </c>
      <c r="V86" s="50">
        <f t="shared" si="45"/>
        <v>0</v>
      </c>
      <c r="W86" s="50">
        <f t="shared" si="45"/>
        <v>0</v>
      </c>
      <c r="X86" s="50">
        <f t="shared" si="45"/>
        <v>0</v>
      </c>
      <c r="Y86" s="51">
        <f t="shared" si="46"/>
        <v>4301.75</v>
      </c>
    </row>
    <row r="87" spans="1:33" ht="35.1" customHeight="1">
      <c r="B87" s="46">
        <v>11</v>
      </c>
      <c r="C87" s="67" t="s">
        <v>163</v>
      </c>
      <c r="D87" s="66" t="s">
        <v>164</v>
      </c>
      <c r="E87" s="49">
        <f>+E172</f>
        <v>0</v>
      </c>
      <c r="F87" s="50">
        <f t="shared" ref="F87:X87" si="47">+F172</f>
        <v>0</v>
      </c>
      <c r="G87" s="50">
        <f t="shared" si="47"/>
        <v>0</v>
      </c>
      <c r="H87" s="50">
        <f t="shared" si="47"/>
        <v>0</v>
      </c>
      <c r="I87" s="50">
        <f t="shared" si="47"/>
        <v>33543</v>
      </c>
      <c r="J87" s="50">
        <f t="shared" si="47"/>
        <v>0</v>
      </c>
      <c r="K87" s="50">
        <f t="shared" si="47"/>
        <v>0</v>
      </c>
      <c r="L87" s="50">
        <f t="shared" si="47"/>
        <v>0</v>
      </c>
      <c r="M87" s="50">
        <f t="shared" si="47"/>
        <v>0</v>
      </c>
      <c r="N87" s="50">
        <f t="shared" si="47"/>
        <v>0</v>
      </c>
      <c r="O87" s="50">
        <f t="shared" si="47"/>
        <v>0</v>
      </c>
      <c r="P87" s="50">
        <f t="shared" si="47"/>
        <v>0</v>
      </c>
      <c r="Q87" s="50">
        <f t="shared" si="47"/>
        <v>0</v>
      </c>
      <c r="R87" s="50">
        <f t="shared" si="47"/>
        <v>0</v>
      </c>
      <c r="S87" s="50">
        <f t="shared" si="47"/>
        <v>0</v>
      </c>
      <c r="T87" s="50">
        <f t="shared" si="47"/>
        <v>0</v>
      </c>
      <c r="U87" s="50">
        <f t="shared" si="47"/>
        <v>0</v>
      </c>
      <c r="V87" s="50">
        <f t="shared" si="47"/>
        <v>33559.31</v>
      </c>
      <c r="W87" s="50">
        <f t="shared" si="47"/>
        <v>0</v>
      </c>
      <c r="X87" s="50">
        <f t="shared" si="47"/>
        <v>0</v>
      </c>
      <c r="Y87" s="51">
        <f t="shared" si="46"/>
        <v>67102.31</v>
      </c>
    </row>
    <row r="88" spans="1:33" ht="35.1" customHeight="1">
      <c r="B88" s="46" t="s">
        <v>42</v>
      </c>
      <c r="C88" s="67" t="s">
        <v>165</v>
      </c>
      <c r="D88" s="66" t="s">
        <v>166</v>
      </c>
      <c r="E88" s="49">
        <f>+E173+E211</f>
        <v>0</v>
      </c>
      <c r="F88" s="50">
        <f t="shared" ref="F88:X89" si="48">+F173+F211</f>
        <v>0</v>
      </c>
      <c r="G88" s="50">
        <f t="shared" si="48"/>
        <v>11746.46</v>
      </c>
      <c r="H88" s="50">
        <f t="shared" si="48"/>
        <v>686.72</v>
      </c>
      <c r="I88" s="50">
        <f t="shared" si="48"/>
        <v>0</v>
      </c>
      <c r="J88" s="50">
        <f t="shared" si="48"/>
        <v>0</v>
      </c>
      <c r="K88" s="50">
        <f t="shared" si="48"/>
        <v>0</v>
      </c>
      <c r="L88" s="50">
        <f t="shared" si="48"/>
        <v>0</v>
      </c>
      <c r="M88" s="50">
        <f t="shared" si="48"/>
        <v>0</v>
      </c>
      <c r="N88" s="50">
        <f t="shared" si="48"/>
        <v>0</v>
      </c>
      <c r="O88" s="50">
        <f t="shared" si="48"/>
        <v>0</v>
      </c>
      <c r="P88" s="50">
        <f t="shared" si="48"/>
        <v>0</v>
      </c>
      <c r="Q88" s="50">
        <f t="shared" si="48"/>
        <v>0</v>
      </c>
      <c r="R88" s="50">
        <f t="shared" si="48"/>
        <v>0</v>
      </c>
      <c r="S88" s="50">
        <f t="shared" si="48"/>
        <v>0</v>
      </c>
      <c r="T88" s="50">
        <f t="shared" si="48"/>
        <v>0</v>
      </c>
      <c r="U88" s="50">
        <f t="shared" si="48"/>
        <v>0</v>
      </c>
      <c r="V88" s="50">
        <f t="shared" si="48"/>
        <v>0</v>
      </c>
      <c r="W88" s="50">
        <f t="shared" si="48"/>
        <v>0</v>
      </c>
      <c r="X88" s="50">
        <f t="shared" si="48"/>
        <v>0</v>
      </c>
      <c r="Y88" s="51">
        <f t="shared" si="46"/>
        <v>12433.179999999998</v>
      </c>
    </row>
    <row r="89" spans="1:33" ht="35.1" customHeight="1">
      <c r="B89" s="46" t="s">
        <v>42</v>
      </c>
      <c r="C89" s="67" t="s">
        <v>167</v>
      </c>
      <c r="D89" s="66" t="s">
        <v>168</v>
      </c>
      <c r="E89" s="49">
        <f>+E174+E212</f>
        <v>0</v>
      </c>
      <c r="F89" s="50">
        <f t="shared" si="48"/>
        <v>0</v>
      </c>
      <c r="G89" s="50">
        <f t="shared" si="48"/>
        <v>0</v>
      </c>
      <c r="H89" s="50">
        <f t="shared" si="48"/>
        <v>510</v>
      </c>
      <c r="I89" s="50">
        <f t="shared" si="48"/>
        <v>0</v>
      </c>
      <c r="J89" s="50">
        <f t="shared" si="48"/>
        <v>0</v>
      </c>
      <c r="K89" s="50">
        <f t="shared" si="48"/>
        <v>0</v>
      </c>
      <c r="L89" s="50">
        <f t="shared" si="48"/>
        <v>0</v>
      </c>
      <c r="M89" s="50">
        <f t="shared" si="48"/>
        <v>0</v>
      </c>
      <c r="N89" s="50">
        <f t="shared" si="48"/>
        <v>0</v>
      </c>
      <c r="O89" s="50">
        <f t="shared" si="48"/>
        <v>0</v>
      </c>
      <c r="P89" s="50">
        <f t="shared" si="48"/>
        <v>0</v>
      </c>
      <c r="Q89" s="50">
        <f t="shared" si="48"/>
        <v>0</v>
      </c>
      <c r="R89" s="50">
        <f t="shared" si="48"/>
        <v>0</v>
      </c>
      <c r="S89" s="50">
        <f t="shared" si="48"/>
        <v>0</v>
      </c>
      <c r="T89" s="50">
        <f t="shared" si="48"/>
        <v>0</v>
      </c>
      <c r="U89" s="50">
        <f t="shared" si="48"/>
        <v>0</v>
      </c>
      <c r="V89" s="50">
        <f t="shared" si="48"/>
        <v>0</v>
      </c>
      <c r="W89" s="50">
        <f t="shared" si="48"/>
        <v>0</v>
      </c>
      <c r="X89" s="50">
        <f t="shared" si="48"/>
        <v>0</v>
      </c>
      <c r="Y89" s="51">
        <f t="shared" si="46"/>
        <v>510</v>
      </c>
    </row>
    <row r="90" spans="1:33" ht="35.1" customHeight="1">
      <c r="B90" s="46" t="s">
        <v>169</v>
      </c>
      <c r="C90" s="67" t="s">
        <v>170</v>
      </c>
      <c r="D90" s="66" t="s">
        <v>171</v>
      </c>
      <c r="E90" s="49">
        <f>+E175+E222</f>
        <v>0</v>
      </c>
      <c r="F90" s="50">
        <f t="shared" ref="F90:X90" si="49">+F175+F222</f>
        <v>0</v>
      </c>
      <c r="G90" s="50">
        <f t="shared" si="49"/>
        <v>0</v>
      </c>
      <c r="H90" s="50">
        <f t="shared" si="49"/>
        <v>2204.9499999999998</v>
      </c>
      <c r="I90" s="50">
        <f t="shared" si="49"/>
        <v>0</v>
      </c>
      <c r="J90" s="50">
        <f t="shared" si="49"/>
        <v>0</v>
      </c>
      <c r="K90" s="50">
        <f t="shared" si="49"/>
        <v>0</v>
      </c>
      <c r="L90" s="50">
        <f t="shared" si="49"/>
        <v>116.05</v>
      </c>
      <c r="M90" s="50">
        <f t="shared" si="49"/>
        <v>0</v>
      </c>
      <c r="N90" s="50">
        <f t="shared" si="49"/>
        <v>0</v>
      </c>
      <c r="O90" s="50">
        <f t="shared" si="49"/>
        <v>0</v>
      </c>
      <c r="P90" s="50">
        <f t="shared" si="49"/>
        <v>0</v>
      </c>
      <c r="Q90" s="50">
        <f t="shared" si="49"/>
        <v>101679.01999999999</v>
      </c>
      <c r="R90" s="50">
        <f t="shared" si="49"/>
        <v>0</v>
      </c>
      <c r="S90" s="50">
        <f t="shared" si="49"/>
        <v>0</v>
      </c>
      <c r="T90" s="50">
        <f t="shared" si="49"/>
        <v>0</v>
      </c>
      <c r="U90" s="50">
        <f t="shared" si="49"/>
        <v>0</v>
      </c>
      <c r="V90" s="50">
        <f t="shared" si="49"/>
        <v>0</v>
      </c>
      <c r="W90" s="50">
        <f t="shared" si="49"/>
        <v>0</v>
      </c>
      <c r="X90" s="50">
        <f t="shared" si="49"/>
        <v>0</v>
      </c>
      <c r="Y90" s="51">
        <f t="shared" si="46"/>
        <v>104000.01999999999</v>
      </c>
    </row>
    <row r="91" spans="1:33" ht="35.1" customHeight="1">
      <c r="B91" s="46" t="s">
        <v>42</v>
      </c>
      <c r="C91" s="67" t="s">
        <v>172</v>
      </c>
      <c r="D91" s="66" t="s">
        <v>173</v>
      </c>
      <c r="E91" s="49">
        <f>+E176+E213</f>
        <v>0</v>
      </c>
      <c r="F91" s="50">
        <f t="shared" ref="F91:X92" si="50">+F176+F213</f>
        <v>191641.52000000002</v>
      </c>
      <c r="G91" s="50">
        <f t="shared" si="50"/>
        <v>0</v>
      </c>
      <c r="H91" s="50">
        <f t="shared" si="50"/>
        <v>0</v>
      </c>
      <c r="I91" s="50">
        <f t="shared" si="50"/>
        <v>0</v>
      </c>
      <c r="J91" s="50">
        <f t="shared" si="50"/>
        <v>0</v>
      </c>
      <c r="K91" s="50">
        <f t="shared" si="50"/>
        <v>0</v>
      </c>
      <c r="L91" s="50">
        <f t="shared" si="50"/>
        <v>4602.29</v>
      </c>
      <c r="M91" s="50">
        <f t="shared" si="50"/>
        <v>0</v>
      </c>
      <c r="N91" s="50">
        <f t="shared" si="50"/>
        <v>0</v>
      </c>
      <c r="O91" s="50">
        <f t="shared" si="50"/>
        <v>0</v>
      </c>
      <c r="P91" s="50">
        <f t="shared" si="50"/>
        <v>33871.18</v>
      </c>
      <c r="Q91" s="50">
        <f t="shared" si="50"/>
        <v>0</v>
      </c>
      <c r="R91" s="50">
        <f t="shared" si="50"/>
        <v>0</v>
      </c>
      <c r="S91" s="50">
        <f t="shared" si="50"/>
        <v>0</v>
      </c>
      <c r="T91" s="50">
        <f t="shared" si="50"/>
        <v>0</v>
      </c>
      <c r="U91" s="50">
        <f t="shared" si="50"/>
        <v>0</v>
      </c>
      <c r="V91" s="50">
        <f t="shared" si="50"/>
        <v>0</v>
      </c>
      <c r="W91" s="50">
        <f t="shared" si="50"/>
        <v>0</v>
      </c>
      <c r="X91" s="50">
        <f t="shared" si="50"/>
        <v>0</v>
      </c>
      <c r="Y91" s="51">
        <f t="shared" si="46"/>
        <v>230114.99000000002</v>
      </c>
    </row>
    <row r="92" spans="1:33" ht="35.1" customHeight="1">
      <c r="B92" s="46" t="s">
        <v>42</v>
      </c>
      <c r="C92" s="67" t="s">
        <v>174</v>
      </c>
      <c r="D92" s="66" t="s">
        <v>175</v>
      </c>
      <c r="E92" s="49">
        <f>+E177+E214</f>
        <v>0</v>
      </c>
      <c r="F92" s="50">
        <f t="shared" si="50"/>
        <v>0</v>
      </c>
      <c r="G92" s="50">
        <f t="shared" si="50"/>
        <v>0</v>
      </c>
      <c r="H92" s="50">
        <f t="shared" si="50"/>
        <v>2450</v>
      </c>
      <c r="I92" s="50">
        <f t="shared" si="50"/>
        <v>0</v>
      </c>
      <c r="J92" s="50">
        <f t="shared" si="50"/>
        <v>0</v>
      </c>
      <c r="K92" s="50">
        <f t="shared" si="50"/>
        <v>0</v>
      </c>
      <c r="L92" s="50">
        <f t="shared" si="50"/>
        <v>0</v>
      </c>
      <c r="M92" s="50">
        <f t="shared" si="50"/>
        <v>0</v>
      </c>
      <c r="N92" s="50">
        <f t="shared" si="50"/>
        <v>0</v>
      </c>
      <c r="O92" s="50">
        <f t="shared" si="50"/>
        <v>0</v>
      </c>
      <c r="P92" s="50">
        <f t="shared" si="50"/>
        <v>0</v>
      </c>
      <c r="Q92" s="50">
        <f t="shared" si="50"/>
        <v>0</v>
      </c>
      <c r="R92" s="50">
        <f t="shared" si="50"/>
        <v>7405</v>
      </c>
      <c r="S92" s="50">
        <f t="shared" si="50"/>
        <v>0</v>
      </c>
      <c r="T92" s="50">
        <f t="shared" si="50"/>
        <v>0</v>
      </c>
      <c r="U92" s="50">
        <f t="shared" si="50"/>
        <v>0</v>
      </c>
      <c r="V92" s="50">
        <f t="shared" si="50"/>
        <v>0</v>
      </c>
      <c r="W92" s="50">
        <f t="shared" si="50"/>
        <v>0</v>
      </c>
      <c r="X92" s="50">
        <f t="shared" si="50"/>
        <v>490</v>
      </c>
      <c r="Y92" s="51">
        <f t="shared" si="46"/>
        <v>10345</v>
      </c>
    </row>
    <row r="93" spans="1:33" ht="35.1" customHeight="1">
      <c r="B93" s="46">
        <v>14</v>
      </c>
      <c r="C93" s="67" t="s">
        <v>176</v>
      </c>
      <c r="D93" s="66" t="s">
        <v>177</v>
      </c>
      <c r="E93" s="49">
        <f>+E220</f>
        <v>0</v>
      </c>
      <c r="F93" s="50">
        <f t="shared" ref="F93:X94" si="51">+F220</f>
        <v>0</v>
      </c>
      <c r="G93" s="50">
        <f t="shared" si="51"/>
        <v>0</v>
      </c>
      <c r="H93" s="50">
        <f t="shared" si="51"/>
        <v>0</v>
      </c>
      <c r="I93" s="50">
        <f t="shared" si="51"/>
        <v>0</v>
      </c>
      <c r="J93" s="50">
        <f t="shared" si="51"/>
        <v>0</v>
      </c>
      <c r="K93" s="50">
        <f t="shared" si="51"/>
        <v>0</v>
      </c>
      <c r="L93" s="50">
        <f t="shared" si="51"/>
        <v>0</v>
      </c>
      <c r="M93" s="50">
        <f t="shared" si="51"/>
        <v>0</v>
      </c>
      <c r="N93" s="50">
        <f t="shared" si="51"/>
        <v>0</v>
      </c>
      <c r="O93" s="50">
        <f t="shared" si="51"/>
        <v>0</v>
      </c>
      <c r="P93" s="50">
        <f t="shared" si="51"/>
        <v>0</v>
      </c>
      <c r="Q93" s="50">
        <f t="shared" si="51"/>
        <v>0</v>
      </c>
      <c r="R93" s="50">
        <f t="shared" si="51"/>
        <v>0</v>
      </c>
      <c r="S93" s="50">
        <f t="shared" si="51"/>
        <v>0</v>
      </c>
      <c r="T93" s="50">
        <f t="shared" si="51"/>
        <v>0</v>
      </c>
      <c r="U93" s="50">
        <f t="shared" si="51"/>
        <v>0</v>
      </c>
      <c r="V93" s="50">
        <f t="shared" si="51"/>
        <v>0</v>
      </c>
      <c r="W93" s="50">
        <f t="shared" si="51"/>
        <v>0</v>
      </c>
      <c r="X93" s="50">
        <f t="shared" si="51"/>
        <v>0</v>
      </c>
      <c r="Y93" s="51">
        <f t="shared" si="46"/>
        <v>0</v>
      </c>
    </row>
    <row r="94" spans="1:33" ht="35.1" customHeight="1">
      <c r="B94" s="46">
        <v>14</v>
      </c>
      <c r="C94" s="67" t="s">
        <v>178</v>
      </c>
      <c r="D94" s="66" t="s">
        <v>179</v>
      </c>
      <c r="E94" s="49">
        <f>+E221</f>
        <v>0</v>
      </c>
      <c r="F94" s="50">
        <f t="shared" si="51"/>
        <v>0</v>
      </c>
      <c r="G94" s="50">
        <f t="shared" si="51"/>
        <v>104998.62</v>
      </c>
      <c r="H94" s="50">
        <f t="shared" si="51"/>
        <v>0</v>
      </c>
      <c r="I94" s="50">
        <f t="shared" si="51"/>
        <v>0</v>
      </c>
      <c r="J94" s="50">
        <f t="shared" si="51"/>
        <v>0</v>
      </c>
      <c r="K94" s="50">
        <f t="shared" si="51"/>
        <v>0</v>
      </c>
      <c r="L94" s="50">
        <f t="shared" si="51"/>
        <v>0</v>
      </c>
      <c r="M94" s="50">
        <f t="shared" si="51"/>
        <v>0</v>
      </c>
      <c r="N94" s="50">
        <f t="shared" si="51"/>
        <v>0</v>
      </c>
      <c r="O94" s="50">
        <f t="shared" si="51"/>
        <v>0</v>
      </c>
      <c r="P94" s="50">
        <f t="shared" si="51"/>
        <v>0</v>
      </c>
      <c r="Q94" s="50">
        <f t="shared" si="51"/>
        <v>0</v>
      </c>
      <c r="R94" s="50">
        <f t="shared" si="51"/>
        <v>0</v>
      </c>
      <c r="S94" s="50">
        <f t="shared" si="51"/>
        <v>0</v>
      </c>
      <c r="T94" s="50">
        <f t="shared" si="51"/>
        <v>0</v>
      </c>
      <c r="U94" s="50">
        <f t="shared" si="51"/>
        <v>0</v>
      </c>
      <c r="V94" s="50">
        <f t="shared" si="51"/>
        <v>116840.13</v>
      </c>
      <c r="W94" s="50">
        <f t="shared" si="51"/>
        <v>0</v>
      </c>
      <c r="X94" s="50">
        <f t="shared" si="51"/>
        <v>0</v>
      </c>
      <c r="Y94" s="51">
        <f t="shared" si="46"/>
        <v>221838.75</v>
      </c>
    </row>
    <row r="95" spans="1:33" ht="35.1" customHeight="1">
      <c r="B95" s="46">
        <v>14</v>
      </c>
      <c r="C95" s="67" t="s">
        <v>180</v>
      </c>
      <c r="D95" s="66" t="s">
        <v>181</v>
      </c>
      <c r="E95" s="49">
        <f>+E223</f>
        <v>0</v>
      </c>
      <c r="F95" s="50">
        <f t="shared" ref="F95:X95" si="52">+F223</f>
        <v>0</v>
      </c>
      <c r="G95" s="50">
        <f t="shared" si="52"/>
        <v>0</v>
      </c>
      <c r="H95" s="50">
        <f t="shared" si="52"/>
        <v>111716.76</v>
      </c>
      <c r="I95" s="50">
        <f t="shared" si="52"/>
        <v>0</v>
      </c>
      <c r="J95" s="50">
        <f t="shared" si="52"/>
        <v>0</v>
      </c>
      <c r="K95" s="50">
        <f t="shared" si="52"/>
        <v>0</v>
      </c>
      <c r="L95" s="50">
        <f t="shared" si="52"/>
        <v>0</v>
      </c>
      <c r="M95" s="50">
        <f t="shared" si="52"/>
        <v>26359.52</v>
      </c>
      <c r="N95" s="50">
        <f t="shared" si="52"/>
        <v>0</v>
      </c>
      <c r="O95" s="50">
        <f t="shared" si="52"/>
        <v>149510.14000000001</v>
      </c>
      <c r="P95" s="50">
        <f t="shared" si="52"/>
        <v>64332.56</v>
      </c>
      <c r="Q95" s="50">
        <f t="shared" si="52"/>
        <v>0</v>
      </c>
      <c r="R95" s="50">
        <f t="shared" si="52"/>
        <v>0</v>
      </c>
      <c r="S95" s="50">
        <f t="shared" si="52"/>
        <v>0</v>
      </c>
      <c r="T95" s="50">
        <f t="shared" si="52"/>
        <v>0</v>
      </c>
      <c r="U95" s="50">
        <f t="shared" si="52"/>
        <v>1362428.67</v>
      </c>
      <c r="V95" s="50">
        <f t="shared" si="52"/>
        <v>0</v>
      </c>
      <c r="W95" s="50">
        <f t="shared" si="52"/>
        <v>0</v>
      </c>
      <c r="X95" s="50">
        <f t="shared" si="52"/>
        <v>0</v>
      </c>
      <c r="Y95" s="51">
        <f t="shared" si="46"/>
        <v>1714347.65</v>
      </c>
    </row>
    <row r="96" spans="1:33" s="29" customFormat="1" ht="35.1" customHeight="1">
      <c r="A96" s="1" t="s">
        <v>0</v>
      </c>
      <c r="B96" s="24" t="s">
        <v>182</v>
      </c>
      <c r="C96" s="57" t="s">
        <v>183</v>
      </c>
      <c r="D96" s="58"/>
      <c r="E96" s="27">
        <f>SUM(E97:E101)</f>
        <v>0</v>
      </c>
      <c r="F96" s="28">
        <f>SUM(F97:F99)</f>
        <v>0</v>
      </c>
      <c r="G96" s="28">
        <f t="shared" ref="G96:Y96" si="53">SUM(G97:G99)</f>
        <v>13599</v>
      </c>
      <c r="H96" s="28">
        <f t="shared" si="53"/>
        <v>2950</v>
      </c>
      <c r="I96" s="28">
        <f t="shared" si="53"/>
        <v>0</v>
      </c>
      <c r="J96" s="28">
        <f t="shared" si="53"/>
        <v>0</v>
      </c>
      <c r="K96" s="28">
        <f t="shared" si="53"/>
        <v>0</v>
      </c>
      <c r="L96" s="28">
        <f t="shared" si="53"/>
        <v>0</v>
      </c>
      <c r="M96" s="28">
        <f t="shared" si="53"/>
        <v>0</v>
      </c>
      <c r="N96" s="28">
        <f t="shared" si="53"/>
        <v>0</v>
      </c>
      <c r="O96" s="28">
        <f t="shared" si="53"/>
        <v>0</v>
      </c>
      <c r="P96" s="28">
        <f t="shared" si="53"/>
        <v>6736.92</v>
      </c>
      <c r="Q96" s="28">
        <f t="shared" si="53"/>
        <v>0</v>
      </c>
      <c r="R96" s="28">
        <f t="shared" si="53"/>
        <v>0</v>
      </c>
      <c r="S96" s="28">
        <f t="shared" si="53"/>
        <v>0</v>
      </c>
      <c r="T96" s="28">
        <f t="shared" si="53"/>
        <v>0</v>
      </c>
      <c r="U96" s="28">
        <f t="shared" si="53"/>
        <v>0</v>
      </c>
      <c r="V96" s="28">
        <f t="shared" si="53"/>
        <v>3950.25</v>
      </c>
      <c r="W96" s="28">
        <f t="shared" si="53"/>
        <v>0</v>
      </c>
      <c r="X96" s="28">
        <f t="shared" si="53"/>
        <v>0</v>
      </c>
      <c r="Y96" s="28">
        <f t="shared" si="53"/>
        <v>27236.17</v>
      </c>
      <c r="AA96" s="30"/>
      <c r="AG96" s="30"/>
    </row>
    <row r="97" spans="1:33" ht="35.1" customHeight="1">
      <c r="B97" s="46" t="s">
        <v>184</v>
      </c>
      <c r="C97" s="67" t="s">
        <v>185</v>
      </c>
      <c r="D97" s="66" t="s">
        <v>186</v>
      </c>
      <c r="E97" s="49">
        <f>+E229</f>
        <v>0</v>
      </c>
      <c r="F97" s="50">
        <f t="shared" ref="F97:X99" si="54">+F229</f>
        <v>0</v>
      </c>
      <c r="G97" s="50">
        <f t="shared" si="54"/>
        <v>0</v>
      </c>
      <c r="H97" s="50">
        <f t="shared" si="54"/>
        <v>2950</v>
      </c>
      <c r="I97" s="50">
        <f t="shared" si="54"/>
        <v>0</v>
      </c>
      <c r="J97" s="50">
        <f t="shared" si="54"/>
        <v>0</v>
      </c>
      <c r="K97" s="50">
        <f t="shared" si="54"/>
        <v>0</v>
      </c>
      <c r="L97" s="50">
        <f t="shared" si="54"/>
        <v>0</v>
      </c>
      <c r="M97" s="50">
        <f t="shared" si="54"/>
        <v>0</v>
      </c>
      <c r="N97" s="50">
        <f t="shared" si="54"/>
        <v>0</v>
      </c>
      <c r="O97" s="50">
        <f t="shared" si="54"/>
        <v>0</v>
      </c>
      <c r="P97" s="50">
        <f t="shared" si="54"/>
        <v>6736.92</v>
      </c>
      <c r="Q97" s="50">
        <f t="shared" si="54"/>
        <v>0</v>
      </c>
      <c r="R97" s="50">
        <f t="shared" si="54"/>
        <v>0</v>
      </c>
      <c r="S97" s="50">
        <f t="shared" si="54"/>
        <v>0</v>
      </c>
      <c r="T97" s="50">
        <f t="shared" si="54"/>
        <v>0</v>
      </c>
      <c r="U97" s="50">
        <f t="shared" si="54"/>
        <v>0</v>
      </c>
      <c r="V97" s="50">
        <f t="shared" si="54"/>
        <v>0</v>
      </c>
      <c r="W97" s="50">
        <f t="shared" si="54"/>
        <v>0</v>
      </c>
      <c r="X97" s="50">
        <f t="shared" si="54"/>
        <v>0</v>
      </c>
      <c r="Y97" s="51">
        <f>SUM(E97:X97)</f>
        <v>9686.92</v>
      </c>
    </row>
    <row r="98" spans="1:33" ht="35.1" customHeight="1">
      <c r="B98" s="46" t="s">
        <v>184</v>
      </c>
      <c r="C98" s="67" t="s">
        <v>187</v>
      </c>
      <c r="D98" s="66" t="s">
        <v>188</v>
      </c>
      <c r="E98" s="49">
        <f>+E230</f>
        <v>0</v>
      </c>
      <c r="F98" s="50">
        <f t="shared" si="54"/>
        <v>0</v>
      </c>
      <c r="G98" s="50">
        <f t="shared" si="54"/>
        <v>13599</v>
      </c>
      <c r="H98" s="50">
        <f t="shared" si="54"/>
        <v>0</v>
      </c>
      <c r="I98" s="50">
        <f t="shared" si="54"/>
        <v>0</v>
      </c>
      <c r="J98" s="50">
        <f t="shared" si="54"/>
        <v>0</v>
      </c>
      <c r="K98" s="50">
        <f t="shared" si="54"/>
        <v>0</v>
      </c>
      <c r="L98" s="50">
        <f t="shared" si="54"/>
        <v>0</v>
      </c>
      <c r="M98" s="50">
        <f t="shared" si="54"/>
        <v>0</v>
      </c>
      <c r="N98" s="50">
        <f t="shared" si="54"/>
        <v>0</v>
      </c>
      <c r="O98" s="50">
        <f t="shared" si="54"/>
        <v>0</v>
      </c>
      <c r="P98" s="50">
        <f t="shared" si="54"/>
        <v>0</v>
      </c>
      <c r="Q98" s="50">
        <f t="shared" si="54"/>
        <v>0</v>
      </c>
      <c r="R98" s="50">
        <f t="shared" si="54"/>
        <v>0</v>
      </c>
      <c r="S98" s="50">
        <f t="shared" si="54"/>
        <v>0</v>
      </c>
      <c r="T98" s="50">
        <f t="shared" si="54"/>
        <v>0</v>
      </c>
      <c r="U98" s="50">
        <f t="shared" si="54"/>
        <v>0</v>
      </c>
      <c r="V98" s="50">
        <f t="shared" si="54"/>
        <v>3950.25</v>
      </c>
      <c r="W98" s="50">
        <f t="shared" si="54"/>
        <v>0</v>
      </c>
      <c r="X98" s="50">
        <f t="shared" si="54"/>
        <v>0</v>
      </c>
      <c r="Y98" s="51">
        <f>SUM(E98:X98)</f>
        <v>17549.25</v>
      </c>
    </row>
    <row r="99" spans="1:33" ht="35.1" customHeight="1">
      <c r="B99" s="46" t="s">
        <v>184</v>
      </c>
      <c r="C99" s="67" t="s">
        <v>189</v>
      </c>
      <c r="D99" s="66" t="s">
        <v>190</v>
      </c>
      <c r="E99" s="49">
        <f>+E231</f>
        <v>0</v>
      </c>
      <c r="F99" s="50">
        <f t="shared" si="54"/>
        <v>0</v>
      </c>
      <c r="G99" s="50">
        <f t="shared" si="54"/>
        <v>0</v>
      </c>
      <c r="H99" s="50">
        <f t="shared" si="54"/>
        <v>0</v>
      </c>
      <c r="I99" s="50">
        <f t="shared" si="54"/>
        <v>0</v>
      </c>
      <c r="J99" s="50">
        <f t="shared" si="54"/>
        <v>0</v>
      </c>
      <c r="K99" s="50">
        <f t="shared" si="54"/>
        <v>0</v>
      </c>
      <c r="L99" s="50">
        <f t="shared" si="54"/>
        <v>0</v>
      </c>
      <c r="M99" s="50">
        <f t="shared" si="54"/>
        <v>0</v>
      </c>
      <c r="N99" s="50">
        <f t="shared" si="54"/>
        <v>0</v>
      </c>
      <c r="O99" s="50">
        <f t="shared" si="54"/>
        <v>0</v>
      </c>
      <c r="P99" s="50">
        <f t="shared" si="54"/>
        <v>0</v>
      </c>
      <c r="Q99" s="50">
        <f t="shared" si="54"/>
        <v>0</v>
      </c>
      <c r="R99" s="50">
        <f t="shared" si="54"/>
        <v>0</v>
      </c>
      <c r="S99" s="50">
        <f t="shared" si="54"/>
        <v>0</v>
      </c>
      <c r="T99" s="50">
        <f t="shared" si="54"/>
        <v>0</v>
      </c>
      <c r="U99" s="50">
        <f t="shared" si="54"/>
        <v>0</v>
      </c>
      <c r="V99" s="50">
        <f t="shared" si="54"/>
        <v>0</v>
      </c>
      <c r="W99" s="50">
        <f t="shared" si="54"/>
        <v>0</v>
      </c>
      <c r="X99" s="50">
        <f t="shared" si="54"/>
        <v>0</v>
      </c>
      <c r="Y99" s="51">
        <f>SUM(E99:X99)</f>
        <v>0</v>
      </c>
    </row>
    <row r="100" spans="1:33" s="29" customFormat="1" ht="35.1" customHeight="1">
      <c r="A100" s="1" t="s">
        <v>0</v>
      </c>
      <c r="B100" s="24" t="s">
        <v>191</v>
      </c>
      <c r="C100" s="70" t="s">
        <v>192</v>
      </c>
      <c r="D100" s="71"/>
      <c r="E100" s="28">
        <f>+E101</f>
        <v>0</v>
      </c>
      <c r="F100" s="28">
        <f>+F101</f>
        <v>0</v>
      </c>
      <c r="G100" s="28">
        <f t="shared" ref="G100:Y100" si="55">+G101</f>
        <v>0</v>
      </c>
      <c r="H100" s="28">
        <f t="shared" si="55"/>
        <v>0</v>
      </c>
      <c r="I100" s="28">
        <f t="shared" si="55"/>
        <v>0</v>
      </c>
      <c r="J100" s="28">
        <f t="shared" si="55"/>
        <v>0</v>
      </c>
      <c r="K100" s="28">
        <f t="shared" si="55"/>
        <v>0</v>
      </c>
      <c r="L100" s="28">
        <f t="shared" si="55"/>
        <v>0</v>
      </c>
      <c r="M100" s="28">
        <f t="shared" si="55"/>
        <v>0</v>
      </c>
      <c r="N100" s="28">
        <f t="shared" si="55"/>
        <v>0</v>
      </c>
      <c r="O100" s="28">
        <f t="shared" si="55"/>
        <v>0</v>
      </c>
      <c r="P100" s="28">
        <f t="shared" si="55"/>
        <v>0</v>
      </c>
      <c r="Q100" s="28">
        <f t="shared" si="55"/>
        <v>0</v>
      </c>
      <c r="R100" s="28">
        <f t="shared" si="55"/>
        <v>0</v>
      </c>
      <c r="S100" s="28">
        <f t="shared" si="55"/>
        <v>0</v>
      </c>
      <c r="T100" s="28">
        <f t="shared" si="55"/>
        <v>0</v>
      </c>
      <c r="U100" s="28">
        <f t="shared" si="55"/>
        <v>0</v>
      </c>
      <c r="V100" s="28">
        <f t="shared" si="55"/>
        <v>0</v>
      </c>
      <c r="W100" s="28">
        <f t="shared" si="55"/>
        <v>0</v>
      </c>
      <c r="X100" s="28">
        <f t="shared" si="55"/>
        <v>0</v>
      </c>
      <c r="Y100" s="28">
        <f t="shared" si="55"/>
        <v>0</v>
      </c>
      <c r="AA100" s="30"/>
      <c r="AG100" s="30"/>
    </row>
    <row r="101" spans="1:33" ht="35.1" customHeight="1">
      <c r="B101" s="46" t="s">
        <v>184</v>
      </c>
      <c r="C101" s="67" t="s">
        <v>193</v>
      </c>
      <c r="D101" s="66" t="s">
        <v>194</v>
      </c>
      <c r="E101" s="49">
        <f>+E233</f>
        <v>0</v>
      </c>
      <c r="F101" s="50">
        <f>+F233</f>
        <v>0</v>
      </c>
      <c r="G101" s="50">
        <f t="shared" ref="G101:X101" si="56">+G233</f>
        <v>0</v>
      </c>
      <c r="H101" s="50">
        <f t="shared" si="56"/>
        <v>0</v>
      </c>
      <c r="I101" s="50">
        <f t="shared" si="56"/>
        <v>0</v>
      </c>
      <c r="J101" s="50">
        <f t="shared" si="56"/>
        <v>0</v>
      </c>
      <c r="K101" s="50">
        <f t="shared" si="56"/>
        <v>0</v>
      </c>
      <c r="L101" s="50">
        <f t="shared" si="56"/>
        <v>0</v>
      </c>
      <c r="M101" s="50">
        <f t="shared" si="56"/>
        <v>0</v>
      </c>
      <c r="N101" s="50">
        <f t="shared" si="56"/>
        <v>0</v>
      </c>
      <c r="O101" s="50">
        <f t="shared" si="56"/>
        <v>0</v>
      </c>
      <c r="P101" s="50">
        <f t="shared" si="56"/>
        <v>0</v>
      </c>
      <c r="Q101" s="50">
        <f t="shared" si="56"/>
        <v>0</v>
      </c>
      <c r="R101" s="50">
        <f t="shared" si="56"/>
        <v>0</v>
      </c>
      <c r="S101" s="50">
        <f t="shared" si="56"/>
        <v>0</v>
      </c>
      <c r="T101" s="50">
        <f t="shared" si="56"/>
        <v>0</v>
      </c>
      <c r="U101" s="50">
        <f t="shared" si="56"/>
        <v>0</v>
      </c>
      <c r="V101" s="50">
        <f t="shared" si="56"/>
        <v>0</v>
      </c>
      <c r="W101" s="50">
        <f t="shared" si="56"/>
        <v>0</v>
      </c>
      <c r="X101" s="50">
        <f t="shared" si="56"/>
        <v>0</v>
      </c>
      <c r="Y101" s="51">
        <f>SUM(E101:X101)</f>
        <v>0</v>
      </c>
    </row>
    <row r="102" spans="1:33" s="29" customFormat="1" ht="35.1" customHeight="1">
      <c r="A102" s="1" t="s">
        <v>0</v>
      </c>
      <c r="B102" s="37" t="s">
        <v>195</v>
      </c>
      <c r="C102" s="72" t="s">
        <v>196</v>
      </c>
      <c r="D102" s="73"/>
      <c r="E102" s="42"/>
      <c r="F102" s="42">
        <f t="shared" ref="F102:Y102" si="57">+F5-F25</f>
        <v>-243685.12000000002</v>
      </c>
      <c r="G102" s="42">
        <f t="shared" si="57"/>
        <v>-147834.09</v>
      </c>
      <c r="H102" s="42">
        <f t="shared" si="57"/>
        <v>489958.83999999973</v>
      </c>
      <c r="I102" s="42">
        <f t="shared" si="57"/>
        <v>-1903258.31</v>
      </c>
      <c r="J102" s="42">
        <f t="shared" si="57"/>
        <v>-1118839.92</v>
      </c>
      <c r="K102" s="42">
        <f t="shared" si="57"/>
        <v>-48512.78</v>
      </c>
      <c r="L102" s="42">
        <f t="shared" si="57"/>
        <v>376921.20999999996</v>
      </c>
      <c r="M102" s="42">
        <f t="shared" si="57"/>
        <v>295839.11999999976</v>
      </c>
      <c r="N102" s="42">
        <f t="shared" si="57"/>
        <v>-8725259.6599999983</v>
      </c>
      <c r="O102" s="42">
        <f t="shared" si="57"/>
        <v>-354346.04000000004</v>
      </c>
      <c r="P102" s="42">
        <f t="shared" si="57"/>
        <v>-5259434.5999999996</v>
      </c>
      <c r="Q102" s="42">
        <f t="shared" si="57"/>
        <v>-296823.88999999996</v>
      </c>
      <c r="R102" s="42">
        <f t="shared" si="57"/>
        <v>-9606.3500000000058</v>
      </c>
      <c r="S102" s="42">
        <f t="shared" si="57"/>
        <v>-172062.47</v>
      </c>
      <c r="T102" s="42">
        <f t="shared" si="57"/>
        <v>-1064211.0299999998</v>
      </c>
      <c r="U102" s="42">
        <f t="shared" si="57"/>
        <v>-1506251.22</v>
      </c>
      <c r="V102" s="42">
        <f t="shared" si="57"/>
        <v>502981.3</v>
      </c>
      <c r="W102" s="42">
        <f t="shared" si="57"/>
        <v>-7494820.669999999</v>
      </c>
      <c r="X102" s="42">
        <f t="shared" si="57"/>
        <v>-3483513.5500000007</v>
      </c>
      <c r="Y102" s="42">
        <f t="shared" si="57"/>
        <v>-30162759.229999997</v>
      </c>
      <c r="AA102" s="74"/>
      <c r="AB102" s="75"/>
      <c r="AC102" s="75"/>
      <c r="AD102" s="76"/>
      <c r="AF102" s="75"/>
      <c r="AG102" s="74"/>
    </row>
    <row r="103" spans="1:33" s="29" customFormat="1" ht="35.1" customHeight="1">
      <c r="A103" s="1" t="s">
        <v>0</v>
      </c>
      <c r="B103" s="37" t="s">
        <v>197</v>
      </c>
      <c r="C103" s="72" t="s">
        <v>198</v>
      </c>
      <c r="D103" s="73"/>
      <c r="E103" s="77">
        <f>SUM(E104:E105)</f>
        <v>0</v>
      </c>
      <c r="F103" s="42">
        <f t="shared" ref="F103:Y103" si="58">SUM(F104:F105)</f>
        <v>0</v>
      </c>
      <c r="G103" s="42">
        <f t="shared" si="58"/>
        <v>0</v>
      </c>
      <c r="H103" s="42">
        <f t="shared" si="58"/>
        <v>6981565.3200000003</v>
      </c>
      <c r="I103" s="42">
        <f t="shared" si="58"/>
        <v>0</v>
      </c>
      <c r="J103" s="42">
        <f t="shared" si="58"/>
        <v>0</v>
      </c>
      <c r="K103" s="42">
        <f t="shared" si="58"/>
        <v>0</v>
      </c>
      <c r="L103" s="42">
        <f t="shared" si="58"/>
        <v>8000000</v>
      </c>
      <c r="M103" s="42">
        <f t="shared" si="58"/>
        <v>0</v>
      </c>
      <c r="N103" s="42">
        <f t="shared" si="58"/>
        <v>0</v>
      </c>
      <c r="O103" s="42">
        <f t="shared" si="58"/>
        <v>10000000</v>
      </c>
      <c r="P103" s="42">
        <f t="shared" si="58"/>
        <v>0</v>
      </c>
      <c r="Q103" s="42">
        <f t="shared" si="58"/>
        <v>0</v>
      </c>
      <c r="R103" s="42">
        <f t="shared" si="58"/>
        <v>0</v>
      </c>
      <c r="S103" s="42">
        <f t="shared" si="58"/>
        <v>0</v>
      </c>
      <c r="T103" s="42">
        <f t="shared" si="58"/>
        <v>0</v>
      </c>
      <c r="U103" s="42">
        <f t="shared" si="58"/>
        <v>0</v>
      </c>
      <c r="V103" s="42">
        <f t="shared" si="58"/>
        <v>7900590.29</v>
      </c>
      <c r="W103" s="42">
        <f t="shared" si="58"/>
        <v>0</v>
      </c>
      <c r="X103" s="42">
        <f t="shared" si="58"/>
        <v>5000000</v>
      </c>
      <c r="Y103" s="42">
        <f t="shared" si="58"/>
        <v>37882155.609999999</v>
      </c>
      <c r="AA103" s="74"/>
      <c r="AB103" s="75"/>
      <c r="AC103" s="75"/>
      <c r="AD103" s="76"/>
      <c r="AF103" s="75"/>
      <c r="AG103" s="74"/>
    </row>
    <row r="104" spans="1:33" ht="35.1" customHeight="1">
      <c r="A104" s="1" t="s">
        <v>0</v>
      </c>
      <c r="B104" s="46" t="s">
        <v>199</v>
      </c>
      <c r="C104" s="67"/>
      <c r="D104" s="78" t="s">
        <v>200</v>
      </c>
      <c r="E104" s="79"/>
      <c r="F104" s="80">
        <v>0</v>
      </c>
      <c r="G104" s="80">
        <v>0</v>
      </c>
      <c r="H104" s="80">
        <f>2743953.18+2237612.14+2000000</f>
        <v>6981565.3200000003</v>
      </c>
      <c r="I104" s="80">
        <v>0</v>
      </c>
      <c r="J104" s="80">
        <v>0</v>
      </c>
      <c r="K104" s="80">
        <v>0</v>
      </c>
      <c r="L104" s="80">
        <v>8000000</v>
      </c>
      <c r="M104" s="80">
        <v>0</v>
      </c>
      <c r="N104" s="80">
        <v>0</v>
      </c>
      <c r="O104" s="80">
        <v>10000000</v>
      </c>
      <c r="P104" s="80">
        <v>0</v>
      </c>
      <c r="Q104" s="80">
        <v>0</v>
      </c>
      <c r="R104" s="80">
        <v>0</v>
      </c>
      <c r="S104" s="80">
        <v>0</v>
      </c>
      <c r="T104" s="80">
        <v>0</v>
      </c>
      <c r="U104" s="80">
        <v>0</v>
      </c>
      <c r="V104" s="80">
        <v>7900590.29</v>
      </c>
      <c r="W104" s="80">
        <v>0</v>
      </c>
      <c r="X104" s="80">
        <v>5000000</v>
      </c>
      <c r="Y104" s="51">
        <f>SUM(E104:X104)</f>
        <v>37882155.609999999</v>
      </c>
      <c r="AA104" s="43">
        <v>34538143</v>
      </c>
      <c r="AB104" s="10">
        <f t="shared" ref="AB104:AB105" si="59">+Y104-AA104</f>
        <v>3344012.6099999994</v>
      </c>
      <c r="AC104" s="44" t="s">
        <v>6</v>
      </c>
      <c r="AD104" s="45">
        <v>1</v>
      </c>
      <c r="AF104" s="10">
        <v>25333947</v>
      </c>
      <c r="AG104" s="9">
        <v>24361774</v>
      </c>
    </row>
    <row r="105" spans="1:33" ht="35.1" customHeight="1">
      <c r="A105" s="1" t="s">
        <v>0</v>
      </c>
      <c r="B105" s="46" t="s">
        <v>201</v>
      </c>
      <c r="C105" s="67"/>
      <c r="D105" s="78" t="s">
        <v>202</v>
      </c>
      <c r="E105" s="79"/>
      <c r="F105" s="80">
        <v>0</v>
      </c>
      <c r="G105" s="80">
        <v>0</v>
      </c>
      <c r="H105" s="80">
        <v>0</v>
      </c>
      <c r="I105" s="80">
        <v>0</v>
      </c>
      <c r="J105" s="80">
        <v>0</v>
      </c>
      <c r="K105" s="80">
        <v>0</v>
      </c>
      <c r="L105" s="80">
        <v>0</v>
      </c>
      <c r="M105" s="80">
        <v>0</v>
      </c>
      <c r="N105" s="80">
        <v>0</v>
      </c>
      <c r="O105" s="80">
        <v>0</v>
      </c>
      <c r="P105" s="80">
        <v>0</v>
      </c>
      <c r="Q105" s="80">
        <v>0</v>
      </c>
      <c r="R105" s="80">
        <v>0</v>
      </c>
      <c r="S105" s="80">
        <v>0</v>
      </c>
      <c r="T105" s="80">
        <v>0</v>
      </c>
      <c r="U105" s="80">
        <v>0</v>
      </c>
      <c r="V105" s="80">
        <v>0</v>
      </c>
      <c r="W105" s="80">
        <v>0</v>
      </c>
      <c r="X105" s="80">
        <v>0</v>
      </c>
      <c r="Y105" s="51">
        <f>SUM(E105:X105)</f>
        <v>0</v>
      </c>
      <c r="AA105" s="43">
        <v>0</v>
      </c>
      <c r="AB105" s="10">
        <f t="shared" si="59"/>
        <v>0</v>
      </c>
      <c r="AC105" s="44" t="s">
        <v>6</v>
      </c>
      <c r="AD105" s="45">
        <v>1</v>
      </c>
      <c r="AF105" s="10">
        <v>0</v>
      </c>
      <c r="AG105" s="9">
        <v>1585719</v>
      </c>
    </row>
    <row r="106" spans="1:33" s="29" customFormat="1" ht="35.1" customHeight="1">
      <c r="A106" s="1" t="s">
        <v>0</v>
      </c>
      <c r="B106" s="37" t="s">
        <v>203</v>
      </c>
      <c r="C106" s="72" t="s">
        <v>204</v>
      </c>
      <c r="D106" s="81"/>
      <c r="E106" s="77">
        <v>0</v>
      </c>
      <c r="F106" s="42">
        <v>0</v>
      </c>
      <c r="G106" s="42">
        <v>0</v>
      </c>
      <c r="H106" s="42">
        <v>0</v>
      </c>
      <c r="I106" s="42">
        <v>0</v>
      </c>
      <c r="J106" s="42">
        <v>0</v>
      </c>
      <c r="K106" s="42">
        <v>0</v>
      </c>
      <c r="L106" s="42">
        <v>0</v>
      </c>
      <c r="M106" s="42">
        <v>0</v>
      </c>
      <c r="N106" s="42">
        <v>0</v>
      </c>
      <c r="O106" s="42">
        <v>0</v>
      </c>
      <c r="P106" s="42">
        <v>0</v>
      </c>
      <c r="Q106" s="42">
        <v>0</v>
      </c>
      <c r="R106" s="42">
        <v>0</v>
      </c>
      <c r="S106" s="42">
        <v>0</v>
      </c>
      <c r="T106" s="42">
        <v>0</v>
      </c>
      <c r="U106" s="42">
        <v>0</v>
      </c>
      <c r="V106" s="42">
        <v>0</v>
      </c>
      <c r="W106" s="42">
        <v>0</v>
      </c>
      <c r="X106" s="42">
        <v>0</v>
      </c>
      <c r="Y106" s="42">
        <f>SUM(E106:X106)</f>
        <v>0</v>
      </c>
      <c r="AA106" s="74"/>
      <c r="AB106" s="75"/>
      <c r="AC106" s="75"/>
      <c r="AD106" s="76"/>
      <c r="AF106" s="75"/>
      <c r="AG106" s="74"/>
    </row>
    <row r="107" spans="1:33" s="29" customFormat="1" ht="35.1" customHeight="1">
      <c r="A107" s="1" t="s">
        <v>0</v>
      </c>
      <c r="B107" s="37" t="s">
        <v>205</v>
      </c>
      <c r="C107" s="72" t="s">
        <v>206</v>
      </c>
      <c r="D107" s="81"/>
      <c r="E107" s="77">
        <v>0</v>
      </c>
      <c r="F107" s="42">
        <v>0</v>
      </c>
      <c r="G107" s="42">
        <v>0</v>
      </c>
      <c r="H107" s="42">
        <v>0</v>
      </c>
      <c r="I107" s="42">
        <v>0</v>
      </c>
      <c r="J107" s="42">
        <v>0</v>
      </c>
      <c r="K107" s="42">
        <v>0</v>
      </c>
      <c r="L107" s="42">
        <v>0</v>
      </c>
      <c r="M107" s="42">
        <v>0</v>
      </c>
      <c r="N107" s="42">
        <v>0</v>
      </c>
      <c r="O107" s="42">
        <v>0</v>
      </c>
      <c r="P107" s="42">
        <v>0</v>
      </c>
      <c r="Q107" s="42">
        <v>0</v>
      </c>
      <c r="R107" s="42">
        <v>0</v>
      </c>
      <c r="S107" s="42">
        <v>0</v>
      </c>
      <c r="T107" s="42">
        <v>0</v>
      </c>
      <c r="U107" s="42">
        <v>0</v>
      </c>
      <c r="V107" s="42">
        <v>0</v>
      </c>
      <c r="W107" s="42">
        <v>0</v>
      </c>
      <c r="X107" s="42">
        <v>0</v>
      </c>
      <c r="Y107" s="42">
        <f>SUM(E107:X107)</f>
        <v>0</v>
      </c>
      <c r="AA107" s="74"/>
      <c r="AB107" s="75"/>
      <c r="AC107" s="75"/>
      <c r="AD107" s="76"/>
      <c r="AF107" s="75"/>
      <c r="AG107" s="74"/>
    </row>
    <row r="108" spans="1:33" s="29" customFormat="1" ht="35.1" customHeight="1">
      <c r="A108" s="1" t="s">
        <v>0</v>
      </c>
      <c r="B108" s="24" t="s">
        <v>207</v>
      </c>
      <c r="C108" s="25" t="s">
        <v>208</v>
      </c>
      <c r="D108" s="26"/>
      <c r="E108" s="27">
        <v>2950663.3460000716</v>
      </c>
      <c r="F108" s="28">
        <f t="shared" ref="F108:Y108" si="60">+F4+F102+F103+F106+F107</f>
        <v>2706978.2260000715</v>
      </c>
      <c r="G108" s="28">
        <f t="shared" si="60"/>
        <v>2559144.1360000717</v>
      </c>
      <c r="H108" s="28">
        <f t="shared" si="60"/>
        <v>10030668.296000071</v>
      </c>
      <c r="I108" s="28">
        <f t="shared" si="60"/>
        <v>8127409.9860000703</v>
      </c>
      <c r="J108" s="28">
        <f t="shared" si="60"/>
        <v>7008570.0660000704</v>
      </c>
      <c r="K108" s="28">
        <f t="shared" si="60"/>
        <v>6960057.2860000702</v>
      </c>
      <c r="L108" s="28">
        <f t="shared" si="60"/>
        <v>15336978.49600007</v>
      </c>
      <c r="M108" s="28">
        <f t="shared" si="60"/>
        <v>15632817.616000069</v>
      </c>
      <c r="N108" s="28">
        <f t="shared" si="60"/>
        <v>6907557.956000071</v>
      </c>
      <c r="O108" s="28">
        <f t="shared" si="60"/>
        <v>16553211.916000072</v>
      </c>
      <c r="P108" s="28">
        <f t="shared" si="60"/>
        <v>11293777.316000072</v>
      </c>
      <c r="Q108" s="28">
        <f t="shared" si="60"/>
        <v>10996953.426000072</v>
      </c>
      <c r="R108" s="28">
        <f t="shared" si="60"/>
        <v>10987347.076000072</v>
      </c>
      <c r="S108" s="28">
        <f t="shared" si="60"/>
        <v>10815284.606000071</v>
      </c>
      <c r="T108" s="28">
        <f t="shared" si="60"/>
        <v>9751073.5760000721</v>
      </c>
      <c r="U108" s="28">
        <f t="shared" si="60"/>
        <v>8244822.3560000723</v>
      </c>
      <c r="V108" s="28">
        <f t="shared" si="60"/>
        <v>16648393.946000073</v>
      </c>
      <c r="W108" s="28">
        <f t="shared" si="60"/>
        <v>9153573.276000075</v>
      </c>
      <c r="X108" s="28">
        <f t="shared" si="60"/>
        <v>10670059.726000074</v>
      </c>
      <c r="Y108" s="28">
        <f t="shared" si="60"/>
        <v>10670059.726000074</v>
      </c>
      <c r="AA108" s="30"/>
      <c r="AG108" s="30"/>
    </row>
    <row r="109" spans="1:33" s="82" customFormat="1" ht="35.1" customHeight="1">
      <c r="A109" s="1"/>
      <c r="B109" s="1"/>
      <c r="C109" s="1"/>
      <c r="E109" s="83"/>
      <c r="F109" s="84"/>
      <c r="G109" s="84"/>
      <c r="H109" s="84"/>
      <c r="I109" s="84"/>
      <c r="J109" s="84"/>
      <c r="K109" s="84"/>
      <c r="L109" s="84"/>
      <c r="M109" s="84"/>
      <c r="N109" s="84"/>
      <c r="O109" s="84"/>
      <c r="P109" s="84">
        <f>+P108-11293777.32</f>
        <v>-3.9999280124902725E-3</v>
      </c>
      <c r="Q109" s="84"/>
      <c r="R109" s="84"/>
      <c r="S109" s="84"/>
      <c r="T109" s="84"/>
      <c r="U109" s="84"/>
      <c r="V109" s="84"/>
      <c r="W109" s="84"/>
      <c r="X109" s="84"/>
      <c r="Y109" s="85"/>
      <c r="AA109" s="1"/>
      <c r="AB109" s="1"/>
      <c r="AC109" s="1"/>
      <c r="AD109" s="1"/>
      <c r="AE109" s="1"/>
      <c r="AF109" s="1"/>
      <c r="AG109" s="1"/>
    </row>
    <row r="110" spans="1:33" s="29" customFormat="1" ht="35.1" customHeight="1">
      <c r="A110" s="86" t="s">
        <v>209</v>
      </c>
      <c r="B110" s="52" t="s">
        <v>36</v>
      </c>
      <c r="C110" s="53" t="s">
        <v>210</v>
      </c>
      <c r="D110" s="54"/>
      <c r="E110" s="55">
        <f>+E111+E178+E215+E224+E148</f>
        <v>0</v>
      </c>
      <c r="F110" s="56">
        <f t="shared" ref="F110:Y110" si="61">+F111+F178+F215+F224</f>
        <v>295088.65000000002</v>
      </c>
      <c r="G110" s="56">
        <f t="shared" si="61"/>
        <v>157448.03</v>
      </c>
      <c r="H110" s="56">
        <f t="shared" si="61"/>
        <v>635511.89999999991</v>
      </c>
      <c r="I110" s="56">
        <f t="shared" si="61"/>
        <v>1967668.27</v>
      </c>
      <c r="J110" s="56">
        <f t="shared" si="61"/>
        <v>1132732.92</v>
      </c>
      <c r="K110" s="56">
        <f t="shared" si="61"/>
        <v>61906.729999999996</v>
      </c>
      <c r="L110" s="56">
        <f t="shared" si="61"/>
        <v>128928.39</v>
      </c>
      <c r="M110" s="56">
        <f t="shared" si="61"/>
        <v>54564.180000000204</v>
      </c>
      <c r="N110" s="56">
        <f t="shared" si="61"/>
        <v>8887972.7200000007</v>
      </c>
      <c r="O110" s="56">
        <f t="shared" si="61"/>
        <v>404496.16</v>
      </c>
      <c r="P110" s="56">
        <f t="shared" si="61"/>
        <v>5342986.8899999997</v>
      </c>
      <c r="Q110" s="56">
        <f t="shared" si="61"/>
        <v>314630.94999999995</v>
      </c>
      <c r="R110" s="56">
        <f t="shared" si="61"/>
        <v>39519.270000000004</v>
      </c>
      <c r="S110" s="56">
        <f t="shared" si="61"/>
        <v>184443.23</v>
      </c>
      <c r="T110" s="56">
        <f t="shared" si="61"/>
        <v>1075826.8999999999</v>
      </c>
      <c r="U110" s="56">
        <f t="shared" si="61"/>
        <v>1514890.69</v>
      </c>
      <c r="V110" s="56">
        <f t="shared" si="61"/>
        <v>207212.45</v>
      </c>
      <c r="W110" s="56">
        <f t="shared" si="61"/>
        <v>7511527.7899999991</v>
      </c>
      <c r="X110" s="56">
        <f t="shared" si="61"/>
        <v>6299422.5299999993</v>
      </c>
      <c r="Y110" s="56">
        <f t="shared" si="61"/>
        <v>36216778.649999999</v>
      </c>
      <c r="Z110" s="87"/>
      <c r="AA110" s="30"/>
      <c r="AG110" s="30"/>
    </row>
    <row r="111" spans="1:33" s="29" customFormat="1" ht="35.1" customHeight="1">
      <c r="A111" s="88"/>
      <c r="B111" s="89" t="s">
        <v>211</v>
      </c>
      <c r="C111" s="90"/>
      <c r="D111" s="91"/>
      <c r="E111" s="92">
        <f t="shared" ref="E111:Y111" si="62">+E112+E133+E140+E167</f>
        <v>0</v>
      </c>
      <c r="F111" s="93">
        <f t="shared" si="62"/>
        <v>80999.89</v>
      </c>
      <c r="G111" s="93">
        <f t="shared" si="62"/>
        <v>21921.479999999996</v>
      </c>
      <c r="H111" s="93">
        <f t="shared" si="62"/>
        <v>148371.11000000002</v>
      </c>
      <c r="I111" s="93">
        <f t="shared" si="62"/>
        <v>969771.86</v>
      </c>
      <c r="J111" s="93">
        <f t="shared" si="62"/>
        <v>748698.46</v>
      </c>
      <c r="K111" s="93">
        <f t="shared" si="62"/>
        <v>32599.57</v>
      </c>
      <c r="L111" s="93">
        <f t="shared" si="62"/>
        <v>60277.77</v>
      </c>
      <c r="M111" s="93">
        <f t="shared" si="62"/>
        <v>28098.250000000127</v>
      </c>
      <c r="N111" s="93">
        <f t="shared" si="62"/>
        <v>2406683.6</v>
      </c>
      <c r="O111" s="93">
        <f t="shared" si="62"/>
        <v>172259.59999999998</v>
      </c>
      <c r="P111" s="93">
        <f t="shared" si="62"/>
        <v>1641058.7100000002</v>
      </c>
      <c r="Q111" s="93">
        <f t="shared" si="62"/>
        <v>215430.02999999997</v>
      </c>
      <c r="R111" s="93">
        <f t="shared" si="62"/>
        <v>14891.07</v>
      </c>
      <c r="S111" s="93">
        <f t="shared" si="62"/>
        <v>184443.23</v>
      </c>
      <c r="T111" s="93">
        <f t="shared" si="62"/>
        <v>1059387.3399999999</v>
      </c>
      <c r="U111" s="93">
        <f t="shared" si="62"/>
        <v>118752.23999999999</v>
      </c>
      <c r="V111" s="93">
        <f t="shared" si="62"/>
        <v>74450.179999999993</v>
      </c>
      <c r="W111" s="93">
        <f t="shared" si="62"/>
        <v>2541648.44</v>
      </c>
      <c r="X111" s="93">
        <f t="shared" si="62"/>
        <v>2145393.1199999996</v>
      </c>
      <c r="Y111" s="93">
        <f t="shared" si="62"/>
        <v>12665135.950000001</v>
      </c>
      <c r="Z111" s="87"/>
      <c r="AA111" s="30"/>
      <c r="AG111" s="30"/>
    </row>
    <row r="112" spans="1:33" s="29" customFormat="1" ht="35.1" customHeight="1">
      <c r="A112" s="88"/>
      <c r="B112" s="59" t="s">
        <v>38</v>
      </c>
      <c r="C112" s="94" t="s">
        <v>39</v>
      </c>
      <c r="D112" s="95"/>
      <c r="E112" s="62">
        <f t="shared" ref="E112:Y112" si="63">+E113+E120+E125+E130</f>
        <v>0</v>
      </c>
      <c r="F112" s="63">
        <f>+F113+F120+F125+F130</f>
        <v>663.25</v>
      </c>
      <c r="G112" s="63">
        <f t="shared" si="63"/>
        <v>6594.55</v>
      </c>
      <c r="H112" s="63">
        <f t="shared" si="63"/>
        <v>2477.7199999999998</v>
      </c>
      <c r="I112" s="63">
        <f t="shared" si="63"/>
        <v>357450.31</v>
      </c>
      <c r="J112" s="63">
        <f t="shared" si="63"/>
        <v>119668.17</v>
      </c>
      <c r="K112" s="63">
        <f t="shared" si="63"/>
        <v>0</v>
      </c>
      <c r="L112" s="63">
        <f t="shared" si="63"/>
        <v>40581.29</v>
      </c>
      <c r="M112" s="63">
        <f t="shared" si="63"/>
        <v>1.2602185961441137E-10</v>
      </c>
      <c r="N112" s="63">
        <f t="shared" si="63"/>
        <v>2404242.6</v>
      </c>
      <c r="O112" s="63">
        <f t="shared" si="63"/>
        <v>2717.31</v>
      </c>
      <c r="P112" s="63">
        <f t="shared" si="63"/>
        <v>1495220.12</v>
      </c>
      <c r="Q112" s="63">
        <f t="shared" si="63"/>
        <v>48955.63</v>
      </c>
      <c r="R112" s="63">
        <f t="shared" si="63"/>
        <v>10471.91</v>
      </c>
      <c r="S112" s="63">
        <f t="shared" si="63"/>
        <v>0</v>
      </c>
      <c r="T112" s="63">
        <f t="shared" si="63"/>
        <v>4692.8099999999995</v>
      </c>
      <c r="U112" s="63">
        <f t="shared" si="63"/>
        <v>2018.37</v>
      </c>
      <c r="V112" s="63">
        <f t="shared" si="63"/>
        <v>39276.71</v>
      </c>
      <c r="W112" s="63">
        <f t="shared" si="63"/>
        <v>1824522.43</v>
      </c>
      <c r="X112" s="63">
        <f t="shared" si="63"/>
        <v>1189124.8099999998</v>
      </c>
      <c r="Y112" s="63">
        <f t="shared" si="63"/>
        <v>7548677.9900000012</v>
      </c>
      <c r="Z112" s="87"/>
      <c r="AA112" s="30"/>
      <c r="AG112" s="30"/>
    </row>
    <row r="113" spans="1:33" s="29" customFormat="1" ht="35.1" customHeight="1">
      <c r="A113" s="88"/>
      <c r="B113" s="46"/>
      <c r="C113" s="96" t="s">
        <v>212</v>
      </c>
      <c r="D113" s="71"/>
      <c r="E113" s="27">
        <f t="shared" ref="E113:X113" si="64">SUM(E114:E119)</f>
        <v>0</v>
      </c>
      <c r="F113" s="28">
        <f t="shared" si="64"/>
        <v>0</v>
      </c>
      <c r="G113" s="28">
        <f t="shared" si="64"/>
        <v>5126.43</v>
      </c>
      <c r="H113" s="28">
        <f t="shared" si="64"/>
        <v>2477.7199999999998</v>
      </c>
      <c r="I113" s="28">
        <f t="shared" si="64"/>
        <v>69831.009999999995</v>
      </c>
      <c r="J113" s="28">
        <f t="shared" si="64"/>
        <v>119631.99</v>
      </c>
      <c r="K113" s="28">
        <f t="shared" si="64"/>
        <v>0</v>
      </c>
      <c r="L113" s="28">
        <f t="shared" si="64"/>
        <v>38818.839999999997</v>
      </c>
      <c r="M113" s="28">
        <f t="shared" si="64"/>
        <v>1.2602185961441137E-10</v>
      </c>
      <c r="N113" s="28">
        <f t="shared" si="64"/>
        <v>2388202.23</v>
      </c>
      <c r="O113" s="28">
        <f t="shared" si="64"/>
        <v>0</v>
      </c>
      <c r="P113" s="28">
        <f t="shared" si="64"/>
        <v>0</v>
      </c>
      <c r="Q113" s="28">
        <f t="shared" si="64"/>
        <v>46707.93</v>
      </c>
      <c r="R113" s="28">
        <f t="shared" si="64"/>
        <v>7662.45</v>
      </c>
      <c r="S113" s="28">
        <f t="shared" si="64"/>
        <v>0</v>
      </c>
      <c r="T113" s="28">
        <f t="shared" si="64"/>
        <v>0</v>
      </c>
      <c r="U113" s="28">
        <f t="shared" si="64"/>
        <v>0</v>
      </c>
      <c r="V113" s="28">
        <f t="shared" si="64"/>
        <v>39276.71</v>
      </c>
      <c r="W113" s="28">
        <f t="shared" si="64"/>
        <v>1824077.17</v>
      </c>
      <c r="X113" s="28">
        <f t="shared" si="64"/>
        <v>16951.63</v>
      </c>
      <c r="Y113" s="28">
        <f t="shared" ref="Y113:Y119" si="65">SUM(E113:X113)</f>
        <v>4558764.1100000003</v>
      </c>
      <c r="Z113" s="87"/>
      <c r="AA113" s="30"/>
      <c r="AG113" s="30"/>
    </row>
    <row r="114" spans="1:33" ht="35.1" customHeight="1">
      <c r="A114" s="88"/>
      <c r="B114" s="46" t="s">
        <v>133</v>
      </c>
      <c r="C114" s="69" t="s">
        <v>43</v>
      </c>
      <c r="D114" s="66" t="s">
        <v>44</v>
      </c>
      <c r="E114" s="97">
        <v>0</v>
      </c>
      <c r="F114" s="98">
        <v>0</v>
      </c>
      <c r="G114" s="98">
        <v>5126.43</v>
      </c>
      <c r="H114" s="98">
        <v>0</v>
      </c>
      <c r="I114" s="98">
        <v>0</v>
      </c>
      <c r="J114" s="98">
        <v>2000</v>
      </c>
      <c r="K114" s="98">
        <v>0</v>
      </c>
      <c r="L114" s="98">
        <v>0</v>
      </c>
      <c r="M114" s="99">
        <f>1322304.45-4000-1296587.13-21717.32</f>
        <v>6.5483618527650833E-11</v>
      </c>
      <c r="N114" s="98">
        <f>1322304.45</f>
        <v>1322304.45</v>
      </c>
      <c r="O114" s="98">
        <v>0</v>
      </c>
      <c r="P114" s="98">
        <v>0</v>
      </c>
      <c r="Q114" s="98">
        <v>0</v>
      </c>
      <c r="R114" s="98">
        <v>0</v>
      </c>
      <c r="S114" s="98">
        <v>0</v>
      </c>
      <c r="T114" s="98">
        <v>0</v>
      </c>
      <c r="U114" s="98">
        <v>0</v>
      </c>
      <c r="V114" s="98">
        <v>0</v>
      </c>
      <c r="W114" s="98">
        <f>1210861.79-100636.11</f>
        <v>1110225.68</v>
      </c>
      <c r="X114" s="98">
        <f>2028+100636.11-100636.11-3501.48</f>
        <v>-1473.48</v>
      </c>
      <c r="Y114" s="51">
        <f t="shared" si="65"/>
        <v>2438183.08</v>
      </c>
      <c r="Z114" s="100"/>
      <c r="AA114" s="43">
        <f>8481181+800000</f>
        <v>9281181</v>
      </c>
      <c r="AB114" s="10">
        <f>+Y114-AA114+Y181</f>
        <v>-584930.31000000052</v>
      </c>
      <c r="AC114" s="44" t="s">
        <v>6</v>
      </c>
      <c r="AD114" s="45">
        <v>9</v>
      </c>
      <c r="AF114" s="10">
        <v>8871762</v>
      </c>
      <c r="AG114" s="9">
        <f>8341494+250000</f>
        <v>8591494</v>
      </c>
    </row>
    <row r="115" spans="1:33" ht="35.1" customHeight="1">
      <c r="A115" s="88"/>
      <c r="B115" s="46" t="s">
        <v>133</v>
      </c>
      <c r="C115" s="69" t="s">
        <v>45</v>
      </c>
      <c r="D115" s="66" t="s">
        <v>46</v>
      </c>
      <c r="E115" s="97">
        <v>0</v>
      </c>
      <c r="F115" s="98">
        <v>0</v>
      </c>
      <c r="G115" s="98">
        <v>0</v>
      </c>
      <c r="H115" s="98">
        <v>0</v>
      </c>
      <c r="I115" s="98">
        <v>0</v>
      </c>
      <c r="J115" s="98">
        <v>0</v>
      </c>
      <c r="K115" s="98">
        <v>0</v>
      </c>
      <c r="L115" s="98">
        <v>34856.32</v>
      </c>
      <c r="M115" s="98">
        <v>0</v>
      </c>
      <c r="N115" s="98">
        <v>30718.05</v>
      </c>
      <c r="O115" s="98">
        <v>0</v>
      </c>
      <c r="P115" s="98">
        <v>0</v>
      </c>
      <c r="Q115" s="98">
        <v>0</v>
      </c>
      <c r="R115" s="98">
        <v>7662.45</v>
      </c>
      <c r="S115" s="98">
        <v>0</v>
      </c>
      <c r="T115" s="98">
        <v>0</v>
      </c>
      <c r="U115" s="98">
        <v>0</v>
      </c>
      <c r="V115" s="98">
        <v>39276.71</v>
      </c>
      <c r="W115" s="98">
        <v>90432.24</v>
      </c>
      <c r="X115" s="50">
        <f>9496.66</f>
        <v>9496.66</v>
      </c>
      <c r="Y115" s="51">
        <f t="shared" si="65"/>
        <v>212442.43000000002</v>
      </c>
      <c r="Z115" s="100"/>
      <c r="AA115" s="43">
        <v>1300000</v>
      </c>
      <c r="AB115" s="10">
        <f>+Y115-AA115</f>
        <v>-1087557.57</v>
      </c>
      <c r="AC115" s="44" t="s">
        <v>6</v>
      </c>
      <c r="AD115" s="45">
        <v>9</v>
      </c>
      <c r="AF115" s="10">
        <v>850000</v>
      </c>
      <c r="AG115" s="9">
        <v>1000000</v>
      </c>
    </row>
    <row r="116" spans="1:33" ht="35.1" customHeight="1">
      <c r="A116" s="88"/>
      <c r="B116" s="46" t="s">
        <v>133</v>
      </c>
      <c r="C116" s="69" t="s">
        <v>47</v>
      </c>
      <c r="D116" s="66" t="s">
        <v>48</v>
      </c>
      <c r="E116" s="97">
        <v>0</v>
      </c>
      <c r="F116" s="98">
        <v>0</v>
      </c>
      <c r="G116" s="98">
        <v>0</v>
      </c>
      <c r="H116" s="98">
        <v>2477.7199999999998</v>
      </c>
      <c r="I116" s="98">
        <v>69831.009999999995</v>
      </c>
      <c r="J116" s="98">
        <v>117631.99</v>
      </c>
      <c r="K116" s="98">
        <v>0</v>
      </c>
      <c r="L116" s="98">
        <v>0</v>
      </c>
      <c r="M116" s="98">
        <v>0</v>
      </c>
      <c r="N116" s="98">
        <v>0</v>
      </c>
      <c r="O116" s="98">
        <v>0</v>
      </c>
      <c r="P116" s="98">
        <v>0</v>
      </c>
      <c r="Q116" s="98">
        <v>0</v>
      </c>
      <c r="R116" s="98">
        <v>0</v>
      </c>
      <c r="S116" s="98">
        <v>0</v>
      </c>
      <c r="T116" s="98">
        <v>0</v>
      </c>
      <c r="U116" s="98">
        <v>0</v>
      </c>
      <c r="V116" s="98">
        <v>0</v>
      </c>
      <c r="W116" s="98">
        <v>0</v>
      </c>
      <c r="X116" s="98">
        <v>8928.4500000000007</v>
      </c>
      <c r="Y116" s="51">
        <f t="shared" si="65"/>
        <v>198869.17</v>
      </c>
      <c r="Z116" s="100"/>
    </row>
    <row r="117" spans="1:33" ht="35.1" customHeight="1">
      <c r="A117" s="88"/>
      <c r="B117" s="46" t="s">
        <v>133</v>
      </c>
      <c r="C117" s="69" t="s">
        <v>49</v>
      </c>
      <c r="D117" s="66" t="s">
        <v>50</v>
      </c>
      <c r="E117" s="97">
        <v>0</v>
      </c>
      <c r="F117" s="98">
        <v>0</v>
      </c>
      <c r="G117" s="98">
        <v>0</v>
      </c>
      <c r="H117" s="98">
        <v>0</v>
      </c>
      <c r="I117" s="98">
        <v>0</v>
      </c>
      <c r="J117" s="98">
        <v>0</v>
      </c>
      <c r="K117" s="98">
        <v>0</v>
      </c>
      <c r="L117" s="98">
        <v>3962.52</v>
      </c>
      <c r="M117" s="98">
        <v>0</v>
      </c>
      <c r="N117" s="98">
        <v>5162.55</v>
      </c>
      <c r="O117" s="98">
        <v>0</v>
      </c>
      <c r="P117" s="98">
        <v>0</v>
      </c>
      <c r="Q117" s="98">
        <v>0</v>
      </c>
      <c r="R117" s="98">
        <v>0</v>
      </c>
      <c r="S117" s="98">
        <v>0</v>
      </c>
      <c r="T117" s="98">
        <v>0</v>
      </c>
      <c r="U117" s="98">
        <v>0</v>
      </c>
      <c r="V117" s="98">
        <v>0</v>
      </c>
      <c r="W117" s="98">
        <v>623419.25</v>
      </c>
      <c r="X117" s="50">
        <v>0</v>
      </c>
      <c r="Y117" s="51">
        <f t="shared" si="65"/>
        <v>632544.31999999995</v>
      </c>
      <c r="Z117" s="100"/>
      <c r="AA117" s="43">
        <v>2100000</v>
      </c>
      <c r="AB117" s="10">
        <f>+Y117-AA117</f>
        <v>-1467455.6800000002</v>
      </c>
      <c r="AC117" s="44" t="s">
        <v>6</v>
      </c>
      <c r="AD117" s="45">
        <v>9</v>
      </c>
      <c r="AF117" s="10">
        <v>250000</v>
      </c>
      <c r="AG117" s="9">
        <v>300000</v>
      </c>
    </row>
    <row r="118" spans="1:33" ht="35.1" customHeight="1">
      <c r="A118" s="88"/>
      <c r="B118" s="46" t="s">
        <v>133</v>
      </c>
      <c r="C118" s="69" t="s">
        <v>51</v>
      </c>
      <c r="D118" s="66" t="s">
        <v>52</v>
      </c>
      <c r="E118" s="97">
        <v>0</v>
      </c>
      <c r="F118" s="98">
        <v>0</v>
      </c>
      <c r="G118" s="98">
        <v>0</v>
      </c>
      <c r="H118" s="98">
        <v>0</v>
      </c>
      <c r="I118" s="98">
        <v>0</v>
      </c>
      <c r="J118" s="98">
        <v>0</v>
      </c>
      <c r="K118" s="98">
        <v>0</v>
      </c>
      <c r="L118" s="98">
        <v>0</v>
      </c>
      <c r="M118" s="99">
        <f>1030017.18-1029676.49-340.69</f>
        <v>6.0538241086760536E-11</v>
      </c>
      <c r="N118" s="98">
        <f>1030017.18</f>
        <v>1030017.18</v>
      </c>
      <c r="O118" s="98">
        <v>0</v>
      </c>
      <c r="P118" s="98">
        <v>0</v>
      </c>
      <c r="Q118" s="98">
        <v>0</v>
      </c>
      <c r="R118" s="98">
        <v>0</v>
      </c>
      <c r="S118" s="98">
        <v>0</v>
      </c>
      <c r="T118" s="98">
        <v>0</v>
      </c>
      <c r="U118" s="98">
        <v>0</v>
      </c>
      <c r="V118" s="98">
        <v>0</v>
      </c>
      <c r="W118" s="98">
        <v>0</v>
      </c>
      <c r="X118" s="98">
        <v>0</v>
      </c>
      <c r="Y118" s="51">
        <f t="shared" si="65"/>
        <v>1030017.1800000002</v>
      </c>
      <c r="Z118" s="100"/>
    </row>
    <row r="119" spans="1:33" ht="35.1" customHeight="1">
      <c r="A119" s="88"/>
      <c r="B119" s="46" t="s">
        <v>133</v>
      </c>
      <c r="C119" s="69" t="s">
        <v>53</v>
      </c>
      <c r="D119" s="66" t="s">
        <v>54</v>
      </c>
      <c r="E119" s="97">
        <v>0</v>
      </c>
      <c r="F119" s="98">
        <v>0</v>
      </c>
      <c r="G119" s="98">
        <v>0</v>
      </c>
      <c r="H119" s="98">
        <v>0</v>
      </c>
      <c r="I119" s="98">
        <v>0</v>
      </c>
      <c r="J119" s="98">
        <v>0</v>
      </c>
      <c r="K119" s="98">
        <v>0</v>
      </c>
      <c r="L119" s="98">
        <v>0</v>
      </c>
      <c r="M119" s="98">
        <v>0</v>
      </c>
      <c r="N119" s="98">
        <v>0</v>
      </c>
      <c r="O119" s="98">
        <v>0</v>
      </c>
      <c r="P119" s="98">
        <v>0</v>
      </c>
      <c r="Q119" s="98">
        <v>46707.93</v>
      </c>
      <c r="R119" s="98">
        <v>0</v>
      </c>
      <c r="S119" s="98">
        <v>0</v>
      </c>
      <c r="T119" s="98">
        <v>0</v>
      </c>
      <c r="U119" s="98">
        <v>0</v>
      </c>
      <c r="V119" s="98">
        <v>0</v>
      </c>
      <c r="W119" s="98">
        <v>0</v>
      </c>
      <c r="X119" s="50">
        <v>0</v>
      </c>
      <c r="Y119" s="51">
        <f t="shared" si="65"/>
        <v>46707.93</v>
      </c>
      <c r="Z119" s="100"/>
      <c r="AA119" s="43">
        <v>120000</v>
      </c>
      <c r="AB119" s="10">
        <f>+Y119-AA119</f>
        <v>-73292.070000000007</v>
      </c>
      <c r="AC119" s="44" t="s">
        <v>6</v>
      </c>
      <c r="AD119" s="45">
        <v>9</v>
      </c>
      <c r="AF119" s="10">
        <v>120000</v>
      </c>
      <c r="AG119" s="9">
        <v>120000</v>
      </c>
    </row>
    <row r="120" spans="1:33" s="29" customFormat="1" ht="35.1" customHeight="1">
      <c r="A120" s="86" t="s">
        <v>209</v>
      </c>
      <c r="B120" s="46"/>
      <c r="C120" s="96" t="s">
        <v>213</v>
      </c>
      <c r="D120" s="71"/>
      <c r="E120" s="27">
        <f t="shared" ref="E120:X120" si="66">SUM(E121:E124)</f>
        <v>0</v>
      </c>
      <c r="F120" s="28">
        <f t="shared" si="66"/>
        <v>663.25</v>
      </c>
      <c r="G120" s="28">
        <f t="shared" si="66"/>
        <v>1468.12</v>
      </c>
      <c r="H120" s="28">
        <f t="shared" si="66"/>
        <v>0</v>
      </c>
      <c r="I120" s="28">
        <f t="shared" si="66"/>
        <v>0</v>
      </c>
      <c r="J120" s="28">
        <f t="shared" si="66"/>
        <v>0</v>
      </c>
      <c r="K120" s="28">
        <f t="shared" si="66"/>
        <v>0</v>
      </c>
      <c r="L120" s="28">
        <f t="shared" si="66"/>
        <v>1718.19</v>
      </c>
      <c r="M120" s="28">
        <f t="shared" si="66"/>
        <v>0</v>
      </c>
      <c r="N120" s="28">
        <f t="shared" si="66"/>
        <v>0</v>
      </c>
      <c r="O120" s="28">
        <f t="shared" si="66"/>
        <v>2717.31</v>
      </c>
      <c r="P120" s="28">
        <f t="shared" si="66"/>
        <v>22576.59</v>
      </c>
      <c r="Q120" s="28">
        <f t="shared" si="66"/>
        <v>1950</v>
      </c>
      <c r="R120" s="28">
        <f t="shared" si="66"/>
        <v>0</v>
      </c>
      <c r="S120" s="28">
        <f t="shared" si="66"/>
        <v>0</v>
      </c>
      <c r="T120" s="28">
        <f t="shared" si="66"/>
        <v>1962.8899999999999</v>
      </c>
      <c r="U120" s="28">
        <f t="shared" si="66"/>
        <v>2018.37</v>
      </c>
      <c r="V120" s="28">
        <f t="shared" si="66"/>
        <v>0</v>
      </c>
      <c r="W120" s="28">
        <f t="shared" si="66"/>
        <v>445.26</v>
      </c>
      <c r="X120" s="28">
        <f t="shared" si="66"/>
        <v>1148204.8799999999</v>
      </c>
      <c r="Y120" s="28">
        <f t="shared" ref="Y120" si="67">SUM(Y121:Y124)</f>
        <v>1183724.8599999999</v>
      </c>
      <c r="Z120" s="87"/>
      <c r="AA120" s="30"/>
      <c r="AG120" s="30"/>
    </row>
    <row r="121" spans="1:33" ht="35.1" customHeight="1">
      <c r="A121" s="88"/>
      <c r="B121" s="46" t="s">
        <v>133</v>
      </c>
      <c r="C121" s="69" t="s">
        <v>57</v>
      </c>
      <c r="D121" s="66" t="s">
        <v>58</v>
      </c>
      <c r="E121" s="97">
        <v>0</v>
      </c>
      <c r="F121" s="98">
        <v>0</v>
      </c>
      <c r="G121" s="98">
        <v>1468.12</v>
      </c>
      <c r="H121" s="98">
        <v>0</v>
      </c>
      <c r="I121" s="98">
        <v>0</v>
      </c>
      <c r="J121" s="98">
        <v>0</v>
      </c>
      <c r="K121" s="98">
        <v>0</v>
      </c>
      <c r="L121" s="98">
        <v>1397.79</v>
      </c>
      <c r="M121" s="98">
        <v>0</v>
      </c>
      <c r="N121" s="98">
        <v>0</v>
      </c>
      <c r="O121" s="98">
        <v>930.25</v>
      </c>
      <c r="P121" s="98">
        <v>0</v>
      </c>
      <c r="Q121" s="98">
        <v>0</v>
      </c>
      <c r="R121" s="98">
        <v>0</v>
      </c>
      <c r="S121" s="98">
        <v>0</v>
      </c>
      <c r="T121" s="50">
        <v>1270.72</v>
      </c>
      <c r="U121" s="98">
        <v>0</v>
      </c>
      <c r="V121" s="98">
        <v>0</v>
      </c>
      <c r="W121" s="98">
        <v>0</v>
      </c>
      <c r="X121" s="50">
        <v>584246.68999999994</v>
      </c>
      <c r="Y121" s="51">
        <f>SUM(E121:X121)</f>
        <v>589313.56999999995</v>
      </c>
      <c r="Z121" s="100"/>
      <c r="AA121" s="43">
        <v>2615714</v>
      </c>
      <c r="AB121" s="10">
        <f>+Y121-AA121+Y187</f>
        <v>-146795.40000000014</v>
      </c>
      <c r="AC121" s="44" t="s">
        <v>6</v>
      </c>
      <c r="AD121" s="45">
        <v>9</v>
      </c>
      <c r="AF121" s="10">
        <v>2613458</v>
      </c>
      <c r="AG121" s="9">
        <v>2610509</v>
      </c>
    </row>
    <row r="122" spans="1:33" ht="35.1" customHeight="1">
      <c r="A122" s="88"/>
      <c r="B122" s="46" t="s">
        <v>133</v>
      </c>
      <c r="C122" s="69" t="s">
        <v>59</v>
      </c>
      <c r="D122" s="66" t="s">
        <v>60</v>
      </c>
      <c r="E122" s="97">
        <v>0</v>
      </c>
      <c r="F122" s="98">
        <v>0</v>
      </c>
      <c r="G122" s="98">
        <v>0</v>
      </c>
      <c r="H122" s="98">
        <v>0</v>
      </c>
      <c r="I122" s="98">
        <v>0</v>
      </c>
      <c r="J122" s="98">
        <v>0</v>
      </c>
      <c r="K122" s="98">
        <v>0</v>
      </c>
      <c r="L122" s="98">
        <v>0</v>
      </c>
      <c r="M122" s="98">
        <v>0</v>
      </c>
      <c r="N122" s="98">
        <v>0</v>
      </c>
      <c r="O122" s="98">
        <v>1787.06</v>
      </c>
      <c r="P122" s="98">
        <v>22536.99</v>
      </c>
      <c r="Q122" s="98">
        <v>0</v>
      </c>
      <c r="R122" s="98">
        <v>0</v>
      </c>
      <c r="S122" s="98">
        <v>0</v>
      </c>
      <c r="T122" s="98">
        <v>692.17</v>
      </c>
      <c r="U122" s="98">
        <v>2018.37</v>
      </c>
      <c r="V122" s="98">
        <v>0</v>
      </c>
      <c r="W122" s="98">
        <v>445.26</v>
      </c>
      <c r="X122" s="50">
        <v>563958.18999999994</v>
      </c>
      <c r="Y122" s="51">
        <f>SUM(E122:X122)</f>
        <v>591438.03999999992</v>
      </c>
      <c r="Z122" s="100"/>
      <c r="AA122" s="43">
        <v>3092231</v>
      </c>
      <c r="AB122" s="10">
        <f>+Y122-AA122+Y188</f>
        <v>-292310.41000000015</v>
      </c>
      <c r="AC122" s="44" t="s">
        <v>6</v>
      </c>
      <c r="AD122" s="45">
        <v>9</v>
      </c>
      <c r="AF122" s="10">
        <v>2592231</v>
      </c>
      <c r="AG122" s="9">
        <v>2592231</v>
      </c>
    </row>
    <row r="123" spans="1:33" ht="35.1" customHeight="1">
      <c r="A123" s="88"/>
      <c r="B123" s="46" t="s">
        <v>133</v>
      </c>
      <c r="C123" s="69" t="s">
        <v>61</v>
      </c>
      <c r="D123" s="66" t="s">
        <v>62</v>
      </c>
      <c r="E123" s="97">
        <v>0</v>
      </c>
      <c r="F123" s="98">
        <v>663.25</v>
      </c>
      <c r="G123" s="98">
        <v>0</v>
      </c>
      <c r="H123" s="98">
        <v>0</v>
      </c>
      <c r="I123" s="98">
        <v>0</v>
      </c>
      <c r="J123" s="98">
        <v>0</v>
      </c>
      <c r="K123" s="98">
        <v>0</v>
      </c>
      <c r="L123" s="98">
        <v>320.39999999999998</v>
      </c>
      <c r="M123" s="98">
        <v>0</v>
      </c>
      <c r="N123" s="98">
        <v>0</v>
      </c>
      <c r="O123" s="98">
        <v>0</v>
      </c>
      <c r="P123" s="98">
        <v>39.6</v>
      </c>
      <c r="Q123" s="98">
        <v>1950</v>
      </c>
      <c r="R123" s="98">
        <v>0</v>
      </c>
      <c r="S123" s="98">
        <v>0</v>
      </c>
      <c r="T123" s="98">
        <v>0</v>
      </c>
      <c r="U123" s="98">
        <v>0</v>
      </c>
      <c r="V123" s="98">
        <v>0</v>
      </c>
      <c r="W123" s="98">
        <v>0</v>
      </c>
      <c r="X123" s="50">
        <v>0</v>
      </c>
      <c r="Y123" s="51">
        <f>SUM(E123:X123)</f>
        <v>2973.25</v>
      </c>
      <c r="Z123" s="100"/>
      <c r="AA123" s="43">
        <v>7243</v>
      </c>
      <c r="AB123" s="10">
        <f>+Y123-AA123</f>
        <v>-4269.75</v>
      </c>
      <c r="AC123" s="44" t="s">
        <v>6</v>
      </c>
      <c r="AD123" s="45">
        <v>9</v>
      </c>
      <c r="AF123" s="10">
        <v>17243</v>
      </c>
      <c r="AG123" s="9">
        <v>17243</v>
      </c>
    </row>
    <row r="124" spans="1:33" ht="35.1" customHeight="1">
      <c r="A124" s="88"/>
      <c r="B124" s="46" t="s">
        <v>133</v>
      </c>
      <c r="C124" s="69" t="s">
        <v>63</v>
      </c>
      <c r="D124" s="66" t="s">
        <v>64</v>
      </c>
      <c r="E124" s="97">
        <v>0</v>
      </c>
      <c r="F124" s="98">
        <v>0</v>
      </c>
      <c r="G124" s="98">
        <v>0</v>
      </c>
      <c r="H124" s="98">
        <v>0</v>
      </c>
      <c r="I124" s="98">
        <v>0</v>
      </c>
      <c r="J124" s="98">
        <v>0</v>
      </c>
      <c r="K124" s="98">
        <v>0</v>
      </c>
      <c r="L124" s="98">
        <v>0</v>
      </c>
      <c r="M124" s="98">
        <v>0</v>
      </c>
      <c r="N124" s="98">
        <v>0</v>
      </c>
      <c r="O124" s="98">
        <v>0</v>
      </c>
      <c r="P124" s="98">
        <v>0</v>
      </c>
      <c r="Q124" s="98">
        <v>0</v>
      </c>
      <c r="R124" s="98">
        <v>0</v>
      </c>
      <c r="S124" s="98">
        <v>0</v>
      </c>
      <c r="T124" s="98">
        <v>0</v>
      </c>
      <c r="U124" s="98">
        <v>0</v>
      </c>
      <c r="V124" s="98">
        <v>0</v>
      </c>
      <c r="W124" s="98">
        <v>0</v>
      </c>
      <c r="X124" s="50">
        <v>0</v>
      </c>
      <c r="Y124" s="51">
        <f>SUM(E124:X124)</f>
        <v>0</v>
      </c>
      <c r="Z124" s="100"/>
      <c r="AA124" s="43">
        <v>57260</v>
      </c>
      <c r="AB124" s="10">
        <f>+Y124-AA124</f>
        <v>-57260</v>
      </c>
      <c r="AC124" s="44" t="s">
        <v>6</v>
      </c>
      <c r="AD124" s="45">
        <v>9</v>
      </c>
      <c r="AF124" s="10">
        <v>55015</v>
      </c>
      <c r="AG124" s="9">
        <v>57260</v>
      </c>
    </row>
    <row r="125" spans="1:33" s="29" customFormat="1" ht="35.1" customHeight="1">
      <c r="A125" s="88"/>
      <c r="B125" s="46"/>
      <c r="C125" s="96" t="s">
        <v>214</v>
      </c>
      <c r="D125" s="71"/>
      <c r="E125" s="27">
        <f t="shared" ref="E125:Y125" si="68">SUM(E126:E129)</f>
        <v>0</v>
      </c>
      <c r="F125" s="28">
        <f t="shared" si="68"/>
        <v>0</v>
      </c>
      <c r="G125" s="28">
        <f t="shared" si="68"/>
        <v>0</v>
      </c>
      <c r="H125" s="28">
        <f t="shared" si="68"/>
        <v>0</v>
      </c>
      <c r="I125" s="28">
        <f t="shared" si="68"/>
        <v>275749.56</v>
      </c>
      <c r="J125" s="28">
        <f t="shared" si="68"/>
        <v>36.18</v>
      </c>
      <c r="K125" s="28">
        <f t="shared" si="68"/>
        <v>0</v>
      </c>
      <c r="L125" s="28">
        <f t="shared" si="68"/>
        <v>0</v>
      </c>
      <c r="M125" s="28">
        <f t="shared" si="68"/>
        <v>0</v>
      </c>
      <c r="N125" s="28">
        <f t="shared" si="68"/>
        <v>0</v>
      </c>
      <c r="O125" s="28">
        <f t="shared" si="68"/>
        <v>0</v>
      </c>
      <c r="P125" s="28">
        <f t="shared" si="68"/>
        <v>1472643.53</v>
      </c>
      <c r="Q125" s="28">
        <f t="shared" si="68"/>
        <v>0</v>
      </c>
      <c r="R125" s="28">
        <f t="shared" si="68"/>
        <v>0</v>
      </c>
      <c r="S125" s="28">
        <f t="shared" si="68"/>
        <v>0</v>
      </c>
      <c r="T125" s="28">
        <f t="shared" si="68"/>
        <v>0</v>
      </c>
      <c r="U125" s="28">
        <f t="shared" si="68"/>
        <v>0</v>
      </c>
      <c r="V125" s="28">
        <f t="shared" si="68"/>
        <v>0</v>
      </c>
      <c r="W125" s="28">
        <f t="shared" si="68"/>
        <v>0</v>
      </c>
      <c r="X125" s="28">
        <f t="shared" si="68"/>
        <v>346.43</v>
      </c>
      <c r="Y125" s="28">
        <f t="shared" si="68"/>
        <v>1748775.7</v>
      </c>
      <c r="Z125" s="87"/>
      <c r="AA125" s="30"/>
      <c r="AG125" s="30"/>
    </row>
    <row r="126" spans="1:33" ht="35.1" customHeight="1">
      <c r="A126" s="88"/>
      <c r="B126" s="46" t="s">
        <v>133</v>
      </c>
      <c r="C126" s="69" t="s">
        <v>67</v>
      </c>
      <c r="D126" s="66" t="s">
        <v>68</v>
      </c>
      <c r="E126" s="97">
        <v>0</v>
      </c>
      <c r="F126" s="98">
        <v>0</v>
      </c>
      <c r="G126" s="98">
        <v>0</v>
      </c>
      <c r="H126" s="98">
        <v>0</v>
      </c>
      <c r="I126" s="98">
        <v>275749.56</v>
      </c>
      <c r="J126" s="98">
        <v>36.18</v>
      </c>
      <c r="K126" s="98">
        <v>0</v>
      </c>
      <c r="L126" s="98">
        <v>0</v>
      </c>
      <c r="M126" s="98">
        <v>0</v>
      </c>
      <c r="N126" s="98">
        <v>0</v>
      </c>
      <c r="O126" s="98">
        <v>0</v>
      </c>
      <c r="P126" s="98">
        <v>0</v>
      </c>
      <c r="Q126" s="98">
        <v>0</v>
      </c>
      <c r="R126" s="98">
        <v>0</v>
      </c>
      <c r="S126" s="98">
        <v>0</v>
      </c>
      <c r="T126" s="98">
        <v>0</v>
      </c>
      <c r="U126" s="98">
        <v>0</v>
      </c>
      <c r="V126" s="98">
        <v>0</v>
      </c>
      <c r="W126" s="98">
        <v>0</v>
      </c>
      <c r="X126" s="98">
        <v>68.63</v>
      </c>
      <c r="Y126" s="51">
        <f>SUM(E126:X126)</f>
        <v>275854.37</v>
      </c>
      <c r="Z126" s="100"/>
    </row>
    <row r="127" spans="1:33" ht="35.1" customHeight="1">
      <c r="A127" s="88"/>
      <c r="B127" s="46" t="s">
        <v>133</v>
      </c>
      <c r="C127" s="69" t="s">
        <v>69</v>
      </c>
      <c r="D127" s="66" t="s">
        <v>70</v>
      </c>
      <c r="E127" s="97">
        <v>0</v>
      </c>
      <c r="F127" s="98">
        <v>0</v>
      </c>
      <c r="G127" s="98">
        <v>0</v>
      </c>
      <c r="H127" s="98">
        <v>0</v>
      </c>
      <c r="I127" s="98">
        <v>0</v>
      </c>
      <c r="J127" s="98">
        <v>0</v>
      </c>
      <c r="K127" s="98">
        <v>0</v>
      </c>
      <c r="L127" s="98">
        <v>0</v>
      </c>
      <c r="M127" s="98">
        <v>0</v>
      </c>
      <c r="N127" s="98">
        <v>0</v>
      </c>
      <c r="O127" s="98">
        <v>0</v>
      </c>
      <c r="P127" s="98">
        <v>474226.4</v>
      </c>
      <c r="Q127" s="98">
        <v>0</v>
      </c>
      <c r="R127" s="98">
        <v>0</v>
      </c>
      <c r="S127" s="98">
        <v>0</v>
      </c>
      <c r="T127" s="98">
        <v>0</v>
      </c>
      <c r="U127" s="98">
        <v>0</v>
      </c>
      <c r="V127" s="98">
        <v>0</v>
      </c>
      <c r="W127" s="98">
        <v>0</v>
      </c>
      <c r="X127" s="50">
        <v>0</v>
      </c>
      <c r="Y127" s="51">
        <f>SUM(E127:X127)</f>
        <v>474226.4</v>
      </c>
      <c r="Z127" s="100"/>
      <c r="AA127" s="43">
        <v>1359416</v>
      </c>
      <c r="AB127" s="10">
        <f>+Y127-AA127+Y191</f>
        <v>-19138.979999999981</v>
      </c>
      <c r="AC127" s="44" t="s">
        <v>6</v>
      </c>
      <c r="AD127" s="45">
        <v>9</v>
      </c>
      <c r="AF127" s="10">
        <v>1487107</v>
      </c>
      <c r="AG127" s="9">
        <v>1375435</v>
      </c>
    </row>
    <row r="128" spans="1:33" ht="35.1" customHeight="1">
      <c r="A128" s="88"/>
      <c r="B128" s="46" t="s">
        <v>133</v>
      </c>
      <c r="C128" s="69" t="s">
        <v>71</v>
      </c>
      <c r="D128" s="66" t="s">
        <v>72</v>
      </c>
      <c r="E128" s="97">
        <v>0</v>
      </c>
      <c r="F128" s="98">
        <v>0</v>
      </c>
      <c r="G128" s="98">
        <v>0</v>
      </c>
      <c r="H128" s="98">
        <v>0</v>
      </c>
      <c r="I128" s="98">
        <v>0</v>
      </c>
      <c r="J128" s="98">
        <v>0</v>
      </c>
      <c r="K128" s="98">
        <v>0</v>
      </c>
      <c r="L128" s="98">
        <v>0</v>
      </c>
      <c r="M128" s="98">
        <v>0</v>
      </c>
      <c r="N128" s="98">
        <v>0</v>
      </c>
      <c r="O128" s="98">
        <v>0</v>
      </c>
      <c r="P128" s="98">
        <f>247717.79-39.6</f>
        <v>247678.19</v>
      </c>
      <c r="Q128" s="98">
        <v>0</v>
      </c>
      <c r="R128" s="98">
        <v>0</v>
      </c>
      <c r="S128" s="98">
        <v>0</v>
      </c>
      <c r="T128" s="98">
        <v>0</v>
      </c>
      <c r="U128" s="98">
        <v>0</v>
      </c>
      <c r="V128" s="98">
        <v>0</v>
      </c>
      <c r="W128" s="98">
        <v>0</v>
      </c>
      <c r="X128" s="50">
        <v>60.05</v>
      </c>
      <c r="Y128" s="51">
        <f>SUM(E128:X128)</f>
        <v>247738.23999999999</v>
      </c>
      <c r="Z128" s="100"/>
      <c r="AA128" s="43">
        <v>4703317</v>
      </c>
      <c r="AB128" s="10">
        <f>+Y128-AA128+Y192</f>
        <v>-3716231.8</v>
      </c>
      <c r="AC128" s="44" t="s">
        <v>6</v>
      </c>
      <c r="AD128" s="45">
        <v>9</v>
      </c>
      <c r="AF128" s="10">
        <v>4461321</v>
      </c>
      <c r="AG128" s="9">
        <v>4582881</v>
      </c>
    </row>
    <row r="129" spans="1:33" ht="35.1" customHeight="1">
      <c r="A129" s="88"/>
      <c r="B129" s="46" t="s">
        <v>133</v>
      </c>
      <c r="C129" s="69" t="s">
        <v>73</v>
      </c>
      <c r="D129" s="66" t="s">
        <v>74</v>
      </c>
      <c r="E129" s="97">
        <v>0</v>
      </c>
      <c r="F129" s="98">
        <v>0</v>
      </c>
      <c r="G129" s="98">
        <v>0</v>
      </c>
      <c r="H129" s="98">
        <v>0</v>
      </c>
      <c r="I129" s="98">
        <v>0</v>
      </c>
      <c r="J129" s="98">
        <v>0</v>
      </c>
      <c r="K129" s="98">
        <v>0</v>
      </c>
      <c r="L129" s="98">
        <v>0</v>
      </c>
      <c r="M129" s="98">
        <v>0</v>
      </c>
      <c r="N129" s="98">
        <v>0</v>
      </c>
      <c r="O129" s="98">
        <v>0</v>
      </c>
      <c r="P129" s="98">
        <v>750738.94</v>
      </c>
      <c r="Q129" s="98">
        <v>0</v>
      </c>
      <c r="R129" s="98">
        <v>0</v>
      </c>
      <c r="S129" s="98">
        <v>0</v>
      </c>
      <c r="T129" s="98">
        <v>0</v>
      </c>
      <c r="U129" s="98">
        <v>0</v>
      </c>
      <c r="V129" s="98">
        <v>0</v>
      </c>
      <c r="W129" s="98">
        <v>0</v>
      </c>
      <c r="X129" s="98">
        <v>217.75</v>
      </c>
      <c r="Y129" s="51">
        <f>SUM(E129:X129)</f>
        <v>750956.69</v>
      </c>
      <c r="Z129" s="100"/>
      <c r="AA129" s="1">
        <f>998456+2641199</f>
        <v>3639655</v>
      </c>
    </row>
    <row r="130" spans="1:33" s="29" customFormat="1" ht="35.1" customHeight="1">
      <c r="A130" s="86" t="s">
        <v>209</v>
      </c>
      <c r="B130" s="46"/>
      <c r="C130" s="96" t="s">
        <v>215</v>
      </c>
      <c r="D130" s="71"/>
      <c r="E130" s="27">
        <f t="shared" ref="E130:X130" si="69">SUM(E131:E132)</f>
        <v>0</v>
      </c>
      <c r="F130" s="28">
        <f t="shared" si="69"/>
        <v>0</v>
      </c>
      <c r="G130" s="28">
        <f t="shared" si="69"/>
        <v>0</v>
      </c>
      <c r="H130" s="28">
        <f t="shared" si="69"/>
        <v>0</v>
      </c>
      <c r="I130" s="28">
        <f t="shared" si="69"/>
        <v>11869.74</v>
      </c>
      <c r="J130" s="28">
        <f t="shared" si="69"/>
        <v>0</v>
      </c>
      <c r="K130" s="28">
        <f t="shared" si="69"/>
        <v>0</v>
      </c>
      <c r="L130" s="28">
        <f t="shared" si="69"/>
        <v>44.26</v>
      </c>
      <c r="M130" s="28">
        <f t="shared" si="69"/>
        <v>0</v>
      </c>
      <c r="N130" s="28">
        <f t="shared" si="69"/>
        <v>16040.37</v>
      </c>
      <c r="O130" s="28">
        <f t="shared" si="69"/>
        <v>0</v>
      </c>
      <c r="P130" s="28">
        <f t="shared" si="69"/>
        <v>0</v>
      </c>
      <c r="Q130" s="28">
        <f t="shared" si="69"/>
        <v>297.7</v>
      </c>
      <c r="R130" s="28">
        <f t="shared" si="69"/>
        <v>2809.46</v>
      </c>
      <c r="S130" s="28">
        <f t="shared" si="69"/>
        <v>0</v>
      </c>
      <c r="T130" s="28">
        <f t="shared" si="69"/>
        <v>2729.92</v>
      </c>
      <c r="U130" s="28">
        <f t="shared" si="69"/>
        <v>0</v>
      </c>
      <c r="V130" s="28">
        <f t="shared" si="69"/>
        <v>0</v>
      </c>
      <c r="W130" s="28">
        <f t="shared" si="69"/>
        <v>0</v>
      </c>
      <c r="X130" s="28">
        <f t="shared" si="69"/>
        <v>23621.87</v>
      </c>
      <c r="Y130" s="28">
        <f t="shared" ref="Y130" si="70">SUM(Y131:Y132)</f>
        <v>57413.32</v>
      </c>
      <c r="Z130" s="87"/>
      <c r="AA130" s="30"/>
      <c r="AG130" s="30"/>
    </row>
    <row r="131" spans="1:33" ht="35.1" customHeight="1">
      <c r="A131" s="88"/>
      <c r="B131" s="46" t="s">
        <v>133</v>
      </c>
      <c r="C131" s="69" t="s">
        <v>77</v>
      </c>
      <c r="D131" s="66" t="s">
        <v>78</v>
      </c>
      <c r="E131" s="97">
        <v>0</v>
      </c>
      <c r="F131" s="98">
        <v>0</v>
      </c>
      <c r="G131" s="98">
        <v>0</v>
      </c>
      <c r="H131" s="98">
        <v>0</v>
      </c>
      <c r="I131" s="98">
        <v>11869.74</v>
      </c>
      <c r="J131" s="98">
        <v>0</v>
      </c>
      <c r="K131" s="98">
        <v>0</v>
      </c>
      <c r="L131" s="98">
        <v>44.26</v>
      </c>
      <c r="M131" s="98">
        <v>0</v>
      </c>
      <c r="N131" s="98">
        <v>16040.37</v>
      </c>
      <c r="O131" s="98">
        <v>0</v>
      </c>
      <c r="P131" s="98">
        <v>0</v>
      </c>
      <c r="Q131" s="98">
        <v>297.7</v>
      </c>
      <c r="R131" s="98">
        <v>0</v>
      </c>
      <c r="S131" s="98">
        <v>0</v>
      </c>
      <c r="T131" s="98">
        <v>2729.92</v>
      </c>
      <c r="U131" s="98">
        <v>0</v>
      </c>
      <c r="V131" s="98">
        <v>0</v>
      </c>
      <c r="W131" s="98">
        <v>0</v>
      </c>
      <c r="X131" s="50">
        <v>23621.87</v>
      </c>
      <c r="Y131" s="51">
        <f>SUM(E131:X131)</f>
        <v>54603.86</v>
      </c>
      <c r="Z131" s="100"/>
      <c r="AA131" s="43">
        <v>250000</v>
      </c>
      <c r="AB131" s="10">
        <f>+Y131-AA131</f>
        <v>-195396.14</v>
      </c>
      <c r="AC131" s="44" t="s">
        <v>6</v>
      </c>
      <c r="AD131" s="45">
        <v>9</v>
      </c>
      <c r="AF131" s="10">
        <v>250000</v>
      </c>
      <c r="AG131" s="9">
        <v>250000</v>
      </c>
    </row>
    <row r="132" spans="1:33" ht="35.1" customHeight="1">
      <c r="A132" s="88"/>
      <c r="B132" s="46" t="s">
        <v>133</v>
      </c>
      <c r="C132" s="69" t="s">
        <v>79</v>
      </c>
      <c r="D132" s="66" t="s">
        <v>80</v>
      </c>
      <c r="E132" s="97">
        <v>0</v>
      </c>
      <c r="F132" s="98">
        <v>0</v>
      </c>
      <c r="G132" s="98">
        <v>0</v>
      </c>
      <c r="H132" s="98">
        <v>0</v>
      </c>
      <c r="I132" s="98">
        <v>0</v>
      </c>
      <c r="J132" s="98">
        <v>0</v>
      </c>
      <c r="K132" s="98">
        <v>0</v>
      </c>
      <c r="L132" s="98">
        <v>0</v>
      </c>
      <c r="M132" s="98">
        <v>0</v>
      </c>
      <c r="N132" s="98">
        <v>0</v>
      </c>
      <c r="O132" s="98">
        <v>0</v>
      </c>
      <c r="P132" s="98">
        <v>0</v>
      </c>
      <c r="Q132" s="98">
        <v>0</v>
      </c>
      <c r="R132" s="98">
        <v>2809.46</v>
      </c>
      <c r="S132" s="98">
        <v>0</v>
      </c>
      <c r="T132" s="98">
        <v>0</v>
      </c>
      <c r="U132" s="98">
        <v>0</v>
      </c>
      <c r="V132" s="98">
        <v>0</v>
      </c>
      <c r="W132" s="98">
        <v>0</v>
      </c>
      <c r="X132" s="50">
        <v>0</v>
      </c>
      <c r="Y132" s="51">
        <f>SUM(E132:X132)</f>
        <v>2809.46</v>
      </c>
      <c r="Z132" s="100"/>
      <c r="AA132" s="43">
        <v>100000</v>
      </c>
      <c r="AB132" s="10">
        <f>+Y132-AA132</f>
        <v>-97190.54</v>
      </c>
      <c r="AC132" s="44" t="s">
        <v>6</v>
      </c>
      <c r="AD132" s="45">
        <v>9</v>
      </c>
      <c r="AF132" s="10">
        <v>100000</v>
      </c>
      <c r="AG132" s="9">
        <v>100000</v>
      </c>
    </row>
    <row r="133" spans="1:33" s="29" customFormat="1" ht="35.1" customHeight="1">
      <c r="A133" s="88"/>
      <c r="B133" s="59" t="s">
        <v>216</v>
      </c>
      <c r="C133" s="94" t="s">
        <v>82</v>
      </c>
      <c r="D133" s="95"/>
      <c r="E133" s="62">
        <f t="shared" ref="E133:Y133" si="71">SUM(E134:E139)</f>
        <v>0</v>
      </c>
      <c r="F133" s="63">
        <f t="shared" si="71"/>
        <v>0</v>
      </c>
      <c r="G133" s="63">
        <f t="shared" si="71"/>
        <v>7003</v>
      </c>
      <c r="H133" s="63">
        <f t="shared" si="71"/>
        <v>3029.75</v>
      </c>
      <c r="I133" s="63">
        <f t="shared" si="71"/>
        <v>0</v>
      </c>
      <c r="J133" s="63">
        <f t="shared" si="71"/>
        <v>13304.1</v>
      </c>
      <c r="K133" s="63">
        <f t="shared" si="71"/>
        <v>17400</v>
      </c>
      <c r="L133" s="63">
        <f t="shared" si="71"/>
        <v>790.6</v>
      </c>
      <c r="M133" s="63">
        <f t="shared" si="71"/>
        <v>0</v>
      </c>
      <c r="N133" s="63">
        <f t="shared" si="71"/>
        <v>0</v>
      </c>
      <c r="O133" s="63">
        <f t="shared" si="71"/>
        <v>39769.26</v>
      </c>
      <c r="P133" s="63">
        <f t="shared" si="71"/>
        <v>5028.54</v>
      </c>
      <c r="Q133" s="63">
        <f t="shared" si="71"/>
        <v>5170.6000000000004</v>
      </c>
      <c r="R133" s="63">
        <f t="shared" si="71"/>
        <v>8640</v>
      </c>
      <c r="S133" s="63">
        <f t="shared" si="71"/>
        <v>26873.29</v>
      </c>
      <c r="T133" s="63">
        <f t="shared" si="71"/>
        <v>2251.9499999999998</v>
      </c>
      <c r="U133" s="63">
        <f t="shared" si="71"/>
        <v>893.92</v>
      </c>
      <c r="V133" s="63">
        <f t="shared" si="71"/>
        <v>450</v>
      </c>
      <c r="W133" s="63">
        <f t="shared" si="71"/>
        <v>0</v>
      </c>
      <c r="X133" s="63">
        <f t="shared" si="71"/>
        <v>4405.2</v>
      </c>
      <c r="Y133" s="63">
        <f t="shared" si="71"/>
        <v>135010.21000000002</v>
      </c>
      <c r="Z133" s="87"/>
      <c r="AA133" s="43">
        <v>4325178</v>
      </c>
      <c r="AB133" s="10">
        <f>+AA133-Y133-Y167-Y196-Y206-Y219-Y228</f>
        <v>809487.5900000002</v>
      </c>
      <c r="AC133" s="44" t="s">
        <v>6</v>
      </c>
      <c r="AD133" s="45">
        <v>15</v>
      </c>
      <c r="AE133" s="3"/>
      <c r="AF133" s="10">
        <v>100000</v>
      </c>
      <c r="AG133" s="9">
        <v>4391568</v>
      </c>
    </row>
    <row r="134" spans="1:33" ht="35.1" customHeight="1">
      <c r="A134" s="88"/>
      <c r="B134" s="46" t="s">
        <v>133</v>
      </c>
      <c r="C134" s="69" t="s">
        <v>83</v>
      </c>
      <c r="D134" s="66" t="s">
        <v>84</v>
      </c>
      <c r="E134" s="97">
        <v>0</v>
      </c>
      <c r="F134" s="98">
        <v>0</v>
      </c>
      <c r="G134" s="98">
        <v>5545.2</v>
      </c>
      <c r="H134" s="98">
        <v>3029.75</v>
      </c>
      <c r="I134" s="98">
        <v>0</v>
      </c>
      <c r="J134" s="98">
        <v>13304.1</v>
      </c>
      <c r="K134" s="98">
        <v>17400</v>
      </c>
      <c r="L134" s="98">
        <v>0</v>
      </c>
      <c r="M134" s="98">
        <v>0</v>
      </c>
      <c r="N134" s="98">
        <v>0</v>
      </c>
      <c r="O134" s="98">
        <v>37851.26</v>
      </c>
      <c r="P134" s="98">
        <v>2978.5</v>
      </c>
      <c r="Q134" s="98">
        <v>5170.6000000000004</v>
      </c>
      <c r="R134" s="98">
        <v>8640</v>
      </c>
      <c r="S134" s="98">
        <v>25200</v>
      </c>
      <c r="T134" s="98">
        <v>0</v>
      </c>
      <c r="U134" s="98">
        <v>893.92</v>
      </c>
      <c r="V134" s="98">
        <v>0</v>
      </c>
      <c r="W134" s="98">
        <v>0</v>
      </c>
      <c r="X134" s="50">
        <v>3775.2</v>
      </c>
      <c r="Y134" s="51">
        <f t="shared" ref="Y134:Y139" si="72">SUM(E134:X134)</f>
        <v>123788.53</v>
      </c>
      <c r="Z134" s="100"/>
      <c r="AB134" s="101"/>
    </row>
    <row r="135" spans="1:33" ht="35.1" customHeight="1">
      <c r="A135" s="88"/>
      <c r="B135" s="46" t="s">
        <v>133</v>
      </c>
      <c r="C135" s="69" t="s">
        <v>85</v>
      </c>
      <c r="D135" s="66" t="s">
        <v>86</v>
      </c>
      <c r="E135" s="97">
        <v>0</v>
      </c>
      <c r="F135" s="98">
        <v>0</v>
      </c>
      <c r="G135" s="98">
        <v>639.79999999999995</v>
      </c>
      <c r="H135" s="98">
        <v>0</v>
      </c>
      <c r="I135" s="98">
        <v>0</v>
      </c>
      <c r="J135" s="98">
        <v>0</v>
      </c>
      <c r="K135" s="98">
        <v>0</v>
      </c>
      <c r="L135" s="98">
        <v>0</v>
      </c>
      <c r="M135" s="98">
        <v>0</v>
      </c>
      <c r="N135" s="98">
        <v>0</v>
      </c>
      <c r="O135" s="98">
        <v>1918</v>
      </c>
      <c r="P135" s="98">
        <v>1339.04</v>
      </c>
      <c r="Q135" s="98">
        <v>0</v>
      </c>
      <c r="R135" s="98">
        <v>0</v>
      </c>
      <c r="S135" s="98">
        <v>533.29</v>
      </c>
      <c r="T135" s="98">
        <v>0</v>
      </c>
      <c r="U135" s="98">
        <v>0</v>
      </c>
      <c r="V135" s="98">
        <v>450</v>
      </c>
      <c r="W135" s="98">
        <v>0</v>
      </c>
      <c r="X135" s="98">
        <v>630</v>
      </c>
      <c r="Y135" s="51">
        <f t="shared" si="72"/>
        <v>5510.13</v>
      </c>
      <c r="Z135" s="100"/>
    </row>
    <row r="136" spans="1:33" ht="35.1" customHeight="1">
      <c r="A136" s="88"/>
      <c r="B136" s="46" t="s">
        <v>133</v>
      </c>
      <c r="C136" s="69" t="s">
        <v>87</v>
      </c>
      <c r="D136" s="66" t="s">
        <v>88</v>
      </c>
      <c r="E136" s="97">
        <v>0</v>
      </c>
      <c r="F136" s="98">
        <v>0</v>
      </c>
      <c r="G136" s="98">
        <v>0</v>
      </c>
      <c r="H136" s="98">
        <v>0</v>
      </c>
      <c r="I136" s="98">
        <v>0</v>
      </c>
      <c r="J136" s="98">
        <v>0</v>
      </c>
      <c r="K136" s="98">
        <v>0</v>
      </c>
      <c r="L136" s="98">
        <v>0</v>
      </c>
      <c r="M136" s="98">
        <v>0</v>
      </c>
      <c r="N136" s="98">
        <v>0</v>
      </c>
      <c r="O136" s="98">
        <v>0</v>
      </c>
      <c r="P136" s="98">
        <v>711</v>
      </c>
      <c r="Q136" s="98">
        <v>0</v>
      </c>
      <c r="R136" s="98">
        <v>0</v>
      </c>
      <c r="S136" s="98">
        <v>1140</v>
      </c>
      <c r="T136" s="98">
        <v>2251.9499999999998</v>
      </c>
      <c r="U136" s="98">
        <v>0</v>
      </c>
      <c r="V136" s="98">
        <v>0</v>
      </c>
      <c r="W136" s="98">
        <v>0</v>
      </c>
      <c r="X136" s="98">
        <v>0</v>
      </c>
      <c r="Y136" s="51">
        <f t="shared" si="72"/>
        <v>4102.95</v>
      </c>
      <c r="Z136" s="100"/>
    </row>
    <row r="137" spans="1:33" ht="35.1" customHeight="1">
      <c r="A137" s="88"/>
      <c r="B137" s="46" t="s">
        <v>133</v>
      </c>
      <c r="C137" s="69" t="s">
        <v>89</v>
      </c>
      <c r="D137" s="66" t="s">
        <v>90</v>
      </c>
      <c r="E137" s="97">
        <v>0</v>
      </c>
      <c r="F137" s="98">
        <v>0</v>
      </c>
      <c r="G137" s="98">
        <v>818</v>
      </c>
      <c r="H137" s="98">
        <v>0</v>
      </c>
      <c r="I137" s="98">
        <v>0</v>
      </c>
      <c r="J137" s="98">
        <v>0</v>
      </c>
      <c r="K137" s="98">
        <v>0</v>
      </c>
      <c r="L137" s="98">
        <v>0</v>
      </c>
      <c r="M137" s="98">
        <v>0</v>
      </c>
      <c r="N137" s="98">
        <v>0</v>
      </c>
      <c r="O137" s="98">
        <v>0</v>
      </c>
      <c r="P137" s="98">
        <v>0</v>
      </c>
      <c r="Q137" s="98">
        <v>0</v>
      </c>
      <c r="R137" s="98">
        <v>0</v>
      </c>
      <c r="S137" s="98">
        <v>0</v>
      </c>
      <c r="T137" s="98">
        <v>0</v>
      </c>
      <c r="U137" s="98">
        <v>0</v>
      </c>
      <c r="V137" s="98">
        <v>0</v>
      </c>
      <c r="W137" s="98">
        <v>0</v>
      </c>
      <c r="X137" s="98">
        <v>0</v>
      </c>
      <c r="Y137" s="51">
        <f t="shared" si="72"/>
        <v>818</v>
      </c>
      <c r="Z137" s="100"/>
    </row>
    <row r="138" spans="1:33" ht="35.1" customHeight="1">
      <c r="A138" s="88"/>
      <c r="B138" s="46" t="s">
        <v>133</v>
      </c>
      <c r="C138" s="69" t="s">
        <v>91</v>
      </c>
      <c r="D138" s="66" t="s">
        <v>92</v>
      </c>
      <c r="E138" s="97">
        <v>0</v>
      </c>
      <c r="F138" s="98">
        <v>0</v>
      </c>
      <c r="G138" s="98">
        <v>0</v>
      </c>
      <c r="H138" s="98">
        <v>0</v>
      </c>
      <c r="I138" s="98">
        <v>0</v>
      </c>
      <c r="J138" s="98">
        <f>546.6-546.6</f>
        <v>0</v>
      </c>
      <c r="K138" s="98">
        <f>546.6-546.6</f>
        <v>0</v>
      </c>
      <c r="L138" s="98">
        <f>244+546.6</f>
        <v>790.6</v>
      </c>
      <c r="M138" s="98">
        <v>0</v>
      </c>
      <c r="N138" s="98">
        <v>0</v>
      </c>
      <c r="O138" s="98">
        <v>0</v>
      </c>
      <c r="P138" s="98">
        <v>0</v>
      </c>
      <c r="Q138" s="98">
        <v>0</v>
      </c>
      <c r="R138" s="98">
        <v>0</v>
      </c>
      <c r="S138" s="98">
        <v>0</v>
      </c>
      <c r="T138" s="98">
        <v>0</v>
      </c>
      <c r="U138" s="98">
        <v>0</v>
      </c>
      <c r="V138" s="98">
        <v>0</v>
      </c>
      <c r="W138" s="98">
        <v>0</v>
      </c>
      <c r="X138" s="98">
        <v>0</v>
      </c>
      <c r="Y138" s="51">
        <f t="shared" si="72"/>
        <v>790.6</v>
      </c>
      <c r="Z138" s="100"/>
    </row>
    <row r="139" spans="1:33" ht="35.1" customHeight="1">
      <c r="A139" s="88"/>
      <c r="B139" s="46" t="s">
        <v>133</v>
      </c>
      <c r="C139" s="69" t="s">
        <v>93</v>
      </c>
      <c r="D139" s="66" t="s">
        <v>94</v>
      </c>
      <c r="E139" s="97">
        <v>0</v>
      </c>
      <c r="F139" s="98">
        <v>0</v>
      </c>
      <c r="G139" s="98">
        <v>0</v>
      </c>
      <c r="H139" s="98">
        <v>0</v>
      </c>
      <c r="I139" s="98">
        <v>0</v>
      </c>
      <c r="J139" s="98">
        <v>0</v>
      </c>
      <c r="K139" s="98">
        <v>0</v>
      </c>
      <c r="L139" s="98">
        <v>0</v>
      </c>
      <c r="M139" s="98">
        <v>0</v>
      </c>
      <c r="N139" s="98">
        <v>0</v>
      </c>
      <c r="O139" s="98">
        <v>0</v>
      </c>
      <c r="P139" s="98">
        <v>0</v>
      </c>
      <c r="Q139" s="98">
        <v>0</v>
      </c>
      <c r="R139" s="98">
        <v>0</v>
      </c>
      <c r="S139" s="98">
        <v>0</v>
      </c>
      <c r="T139" s="98">
        <v>0</v>
      </c>
      <c r="U139" s="98">
        <v>0</v>
      </c>
      <c r="V139" s="98">
        <v>0</v>
      </c>
      <c r="W139" s="98">
        <v>0</v>
      </c>
      <c r="X139" s="98">
        <v>0</v>
      </c>
      <c r="Y139" s="51">
        <f t="shared" si="72"/>
        <v>0</v>
      </c>
      <c r="Z139" s="100"/>
    </row>
    <row r="140" spans="1:33" s="29" customFormat="1" ht="35.1" customHeight="1">
      <c r="A140" s="86" t="s">
        <v>209</v>
      </c>
      <c r="B140" s="59" t="s">
        <v>97</v>
      </c>
      <c r="C140" s="94" t="s">
        <v>98</v>
      </c>
      <c r="D140" s="95"/>
      <c r="E140" s="62">
        <f t="shared" ref="E140:X140" si="73">SUM(E141:E166)</f>
        <v>0</v>
      </c>
      <c r="F140" s="63">
        <f>SUM(F141:F166)</f>
        <v>9690.4500000000007</v>
      </c>
      <c r="G140" s="63">
        <f t="shared" si="73"/>
        <v>4099.33</v>
      </c>
      <c r="H140" s="63">
        <f t="shared" si="73"/>
        <v>131818.41</v>
      </c>
      <c r="I140" s="63">
        <f t="shared" si="73"/>
        <v>71626.659999999989</v>
      </c>
      <c r="J140" s="63">
        <f t="shared" si="73"/>
        <v>590148.65999999992</v>
      </c>
      <c r="K140" s="63">
        <f t="shared" si="73"/>
        <v>1771.12</v>
      </c>
      <c r="L140" s="63">
        <f t="shared" si="73"/>
        <v>4374.99</v>
      </c>
      <c r="M140" s="63">
        <f t="shared" si="73"/>
        <v>28098.25</v>
      </c>
      <c r="N140" s="63">
        <f t="shared" si="73"/>
        <v>2441</v>
      </c>
      <c r="O140" s="63">
        <f t="shared" si="73"/>
        <v>55140.24</v>
      </c>
      <c r="P140" s="63">
        <f t="shared" si="73"/>
        <v>22579.360000000001</v>
      </c>
      <c r="Q140" s="63">
        <f t="shared" si="73"/>
        <v>157748.06</v>
      </c>
      <c r="R140" s="63">
        <f t="shared" si="73"/>
        <v>-4220.84</v>
      </c>
      <c r="S140" s="63">
        <f t="shared" si="73"/>
        <v>157569.94</v>
      </c>
      <c r="T140" s="63">
        <f t="shared" si="73"/>
        <v>1052442.5799999998</v>
      </c>
      <c r="U140" s="63">
        <f t="shared" si="73"/>
        <v>106793.7</v>
      </c>
      <c r="V140" s="63">
        <f t="shared" si="73"/>
        <v>1164.1600000000001</v>
      </c>
      <c r="W140" s="63">
        <f t="shared" si="73"/>
        <v>717126.01000000013</v>
      </c>
      <c r="X140" s="63">
        <f t="shared" si="73"/>
        <v>951373.10999999987</v>
      </c>
      <c r="Y140" s="63">
        <f t="shared" ref="Y140" si="74">SUM(Y141:Y166)</f>
        <v>4061785.1899999995</v>
      </c>
      <c r="Z140" s="87"/>
      <c r="AA140" s="30"/>
      <c r="AG140" s="30"/>
    </row>
    <row r="141" spans="1:33" ht="35.1" customHeight="1">
      <c r="A141" s="88"/>
      <c r="B141" s="46" t="s">
        <v>133</v>
      </c>
      <c r="C141" s="69" t="s">
        <v>99</v>
      </c>
      <c r="D141" s="66" t="s">
        <v>100</v>
      </c>
      <c r="E141" s="97">
        <v>0</v>
      </c>
      <c r="F141" s="98">
        <v>0</v>
      </c>
      <c r="G141" s="98">
        <v>0</v>
      </c>
      <c r="H141" s="98">
        <v>0</v>
      </c>
      <c r="I141" s="98">
        <v>0</v>
      </c>
      <c r="J141" s="98">
        <v>331815.65999999997</v>
      </c>
      <c r="K141" s="98">
        <v>0</v>
      </c>
      <c r="L141" s="98">
        <v>0</v>
      </c>
      <c r="M141" s="98">
        <v>0</v>
      </c>
      <c r="N141" s="98">
        <v>0</v>
      </c>
      <c r="O141" s="98">
        <v>0</v>
      </c>
      <c r="P141" s="98">
        <v>22466.04</v>
      </c>
      <c r="Q141" s="98">
        <v>0</v>
      </c>
      <c r="R141" s="98">
        <v>0</v>
      </c>
      <c r="S141" s="98">
        <v>0</v>
      </c>
      <c r="T141" s="98">
        <v>0</v>
      </c>
      <c r="U141" s="98">
        <v>0</v>
      </c>
      <c r="V141" s="98">
        <v>0</v>
      </c>
      <c r="W141" s="98">
        <v>0</v>
      </c>
      <c r="X141" s="50">
        <v>0</v>
      </c>
      <c r="Y141" s="51">
        <f t="shared" ref="Y141:Y166" si="75">SUM(E141:X141)</f>
        <v>354281.69999999995</v>
      </c>
      <c r="Z141" s="100"/>
      <c r="AA141" s="43">
        <v>470191</v>
      </c>
      <c r="AB141" s="10">
        <f>+Y141-AA141</f>
        <v>-115909.30000000005</v>
      </c>
      <c r="AC141" s="44" t="s">
        <v>6</v>
      </c>
      <c r="AD141" s="45">
        <v>13</v>
      </c>
      <c r="AF141" s="10">
        <v>477627</v>
      </c>
      <c r="AG141" s="9">
        <v>461088</v>
      </c>
    </row>
    <row r="142" spans="1:33" ht="35.1" customHeight="1">
      <c r="A142" s="88"/>
      <c r="B142" s="46" t="s">
        <v>133</v>
      </c>
      <c r="C142" s="69" t="s">
        <v>101</v>
      </c>
      <c r="D142" s="66" t="s">
        <v>102</v>
      </c>
      <c r="E142" s="97">
        <v>0</v>
      </c>
      <c r="F142" s="98">
        <v>0</v>
      </c>
      <c r="G142" s="98">
        <v>1655.61</v>
      </c>
      <c r="H142" s="98">
        <v>0</v>
      </c>
      <c r="I142" s="98">
        <v>0</v>
      </c>
      <c r="J142" s="98">
        <v>0</v>
      </c>
      <c r="K142" s="98">
        <v>0</v>
      </c>
      <c r="L142" s="98">
        <v>29.04</v>
      </c>
      <c r="M142" s="98">
        <v>0</v>
      </c>
      <c r="N142" s="98">
        <v>0</v>
      </c>
      <c r="O142" s="98">
        <v>0</v>
      </c>
      <c r="P142" s="98">
        <v>0</v>
      </c>
      <c r="Q142" s="98">
        <v>0</v>
      </c>
      <c r="R142" s="98">
        <v>0</v>
      </c>
      <c r="S142" s="98">
        <v>0</v>
      </c>
      <c r="T142" s="98">
        <v>0</v>
      </c>
      <c r="U142" s="98">
        <v>0</v>
      </c>
      <c r="V142" s="98">
        <v>0</v>
      </c>
      <c r="W142" s="98">
        <v>0</v>
      </c>
      <c r="X142" s="98">
        <v>0</v>
      </c>
      <c r="Y142" s="51">
        <f t="shared" si="75"/>
        <v>1684.6499999999999</v>
      </c>
      <c r="Z142" s="100"/>
    </row>
    <row r="143" spans="1:33" ht="35.1" customHeight="1">
      <c r="A143" s="88"/>
      <c r="B143" s="46" t="s">
        <v>133</v>
      </c>
      <c r="C143" s="69" t="s">
        <v>104</v>
      </c>
      <c r="D143" s="66" t="s">
        <v>105</v>
      </c>
      <c r="E143" s="97">
        <v>0</v>
      </c>
      <c r="F143" s="98">
        <v>568.48</v>
      </c>
      <c r="G143" s="98">
        <v>91.8</v>
      </c>
      <c r="H143" s="98">
        <v>0</v>
      </c>
      <c r="I143" s="98">
        <v>26509.919999999998</v>
      </c>
      <c r="J143" s="98">
        <v>0</v>
      </c>
      <c r="K143" s="98">
        <v>0</v>
      </c>
      <c r="L143" s="98">
        <v>0</v>
      </c>
      <c r="M143" s="98">
        <v>0</v>
      </c>
      <c r="N143" s="98">
        <v>0</v>
      </c>
      <c r="O143" s="98">
        <v>0</v>
      </c>
      <c r="P143" s="98">
        <v>0</v>
      </c>
      <c r="Q143" s="98">
        <v>26144.46</v>
      </c>
      <c r="R143" s="98">
        <v>0</v>
      </c>
      <c r="S143" s="98">
        <v>0</v>
      </c>
      <c r="T143" s="98">
        <v>0</v>
      </c>
      <c r="U143" s="98">
        <v>0</v>
      </c>
      <c r="V143" s="98">
        <v>0</v>
      </c>
      <c r="W143" s="98">
        <v>163.65</v>
      </c>
      <c r="X143" s="50">
        <v>0</v>
      </c>
      <c r="Y143" s="51">
        <f t="shared" si="75"/>
        <v>53478.31</v>
      </c>
      <c r="Z143" s="100"/>
      <c r="AA143" s="43">
        <v>411646</v>
      </c>
      <c r="AB143" s="10">
        <f>+Y143+Y144+Y145+Y203+Y204+Y205-AA143</f>
        <v>-86303.349999999977</v>
      </c>
      <c r="AC143" s="44" t="s">
        <v>6</v>
      </c>
      <c r="AD143" s="45">
        <v>13</v>
      </c>
      <c r="AF143" s="10">
        <v>422390</v>
      </c>
      <c r="AG143" s="9">
        <v>413967</v>
      </c>
    </row>
    <row r="144" spans="1:33" ht="35.1" customHeight="1">
      <c r="A144" s="88"/>
      <c r="B144" s="46" t="s">
        <v>133</v>
      </c>
      <c r="C144" s="69" t="s">
        <v>106</v>
      </c>
      <c r="D144" s="66" t="s">
        <v>107</v>
      </c>
      <c r="E144" s="97">
        <v>0</v>
      </c>
      <c r="F144" s="98">
        <v>0</v>
      </c>
      <c r="G144" s="98">
        <v>0</v>
      </c>
      <c r="H144" s="98">
        <v>105491.2</v>
      </c>
      <c r="I144" s="98">
        <v>0</v>
      </c>
      <c r="J144" s="98">
        <v>0</v>
      </c>
      <c r="K144" s="98">
        <v>0</v>
      </c>
      <c r="L144" s="98">
        <v>68.86</v>
      </c>
      <c r="M144" s="98">
        <v>0</v>
      </c>
      <c r="N144" s="98">
        <v>0</v>
      </c>
      <c r="O144" s="98">
        <v>16233.74</v>
      </c>
      <c r="P144" s="98">
        <v>0</v>
      </c>
      <c r="Q144" s="98">
        <v>0</v>
      </c>
      <c r="R144" s="98">
        <v>0</v>
      </c>
      <c r="S144" s="98">
        <v>0</v>
      </c>
      <c r="T144" s="98">
        <v>0</v>
      </c>
      <c r="U144" s="98">
        <v>0</v>
      </c>
      <c r="V144" s="98">
        <v>0</v>
      </c>
      <c r="W144" s="98">
        <v>0</v>
      </c>
      <c r="X144" s="98">
        <v>0</v>
      </c>
      <c r="Y144" s="51">
        <f t="shared" si="75"/>
        <v>121793.8</v>
      </c>
      <c r="Z144" s="100"/>
    </row>
    <row r="145" spans="1:33" ht="35.1" customHeight="1">
      <c r="A145" s="88"/>
      <c r="B145" s="46" t="s">
        <v>133</v>
      </c>
      <c r="C145" s="69" t="s">
        <v>108</v>
      </c>
      <c r="D145" s="66" t="s">
        <v>109</v>
      </c>
      <c r="E145" s="97">
        <v>0</v>
      </c>
      <c r="F145" s="98">
        <v>2362.09</v>
      </c>
      <c r="G145" s="98">
        <v>0</v>
      </c>
      <c r="H145" s="98">
        <v>22363.21</v>
      </c>
      <c r="I145" s="98">
        <v>0</v>
      </c>
      <c r="J145" s="98">
        <v>0</v>
      </c>
      <c r="K145" s="98">
        <v>259.77999999999997</v>
      </c>
      <c r="L145" s="98">
        <v>0</v>
      </c>
      <c r="M145" s="98">
        <v>3110.52</v>
      </c>
      <c r="N145" s="98">
        <v>0</v>
      </c>
      <c r="O145" s="98">
        <v>0</v>
      </c>
      <c r="P145" s="98">
        <v>0</v>
      </c>
      <c r="Q145" s="98">
        <v>39972.78</v>
      </c>
      <c r="R145" s="98">
        <v>0</v>
      </c>
      <c r="S145" s="98">
        <v>0</v>
      </c>
      <c r="T145" s="98">
        <v>0</v>
      </c>
      <c r="U145" s="98">
        <v>0</v>
      </c>
      <c r="V145" s="98">
        <v>44.62</v>
      </c>
      <c r="W145" s="98">
        <v>0</v>
      </c>
      <c r="X145" s="98">
        <v>0</v>
      </c>
      <c r="Y145" s="51">
        <f t="shared" si="75"/>
        <v>68113</v>
      </c>
      <c r="Z145" s="100"/>
    </row>
    <row r="146" spans="1:33" ht="35.1" customHeight="1">
      <c r="A146" s="88"/>
      <c r="B146" s="46" t="s">
        <v>133</v>
      </c>
      <c r="C146" s="69" t="s">
        <v>110</v>
      </c>
      <c r="D146" s="66" t="s">
        <v>111</v>
      </c>
      <c r="E146" s="97">
        <v>0</v>
      </c>
      <c r="F146" s="98">
        <v>3685.62</v>
      </c>
      <c r="G146" s="98">
        <v>0</v>
      </c>
      <c r="H146" s="98">
        <v>0</v>
      </c>
      <c r="I146" s="98">
        <v>2980</v>
      </c>
      <c r="J146" s="98">
        <v>0</v>
      </c>
      <c r="K146" s="98">
        <v>0</v>
      </c>
      <c r="L146" s="98">
        <v>3463.02</v>
      </c>
      <c r="M146" s="98">
        <v>0</v>
      </c>
      <c r="N146" s="98">
        <v>0</v>
      </c>
      <c r="O146" s="98">
        <v>3579.09</v>
      </c>
      <c r="P146" s="98">
        <v>0</v>
      </c>
      <c r="Q146" s="98">
        <v>0</v>
      </c>
      <c r="R146" s="98">
        <v>0</v>
      </c>
      <c r="S146" s="98">
        <v>0</v>
      </c>
      <c r="T146" s="98">
        <v>0</v>
      </c>
      <c r="U146" s="98">
        <v>0</v>
      </c>
      <c r="V146" s="98">
        <v>0</v>
      </c>
      <c r="W146" s="98">
        <v>0</v>
      </c>
      <c r="X146" s="98">
        <v>0</v>
      </c>
      <c r="Y146" s="51">
        <f t="shared" si="75"/>
        <v>13707.73</v>
      </c>
      <c r="Z146" s="100"/>
    </row>
    <row r="147" spans="1:33" ht="35.1" customHeight="1">
      <c r="A147" s="88"/>
      <c r="B147" s="46" t="s">
        <v>133</v>
      </c>
      <c r="C147" s="69" t="s">
        <v>112</v>
      </c>
      <c r="D147" s="66" t="s">
        <v>113</v>
      </c>
      <c r="E147" s="97">
        <v>0</v>
      </c>
      <c r="F147" s="98">
        <v>0</v>
      </c>
      <c r="G147" s="98">
        <v>0</v>
      </c>
      <c r="H147" s="98">
        <v>1874</v>
      </c>
      <c r="I147" s="98">
        <v>0</v>
      </c>
      <c r="J147" s="98">
        <v>75210</v>
      </c>
      <c r="K147" s="98">
        <v>0</v>
      </c>
      <c r="L147" s="98">
        <v>0</v>
      </c>
      <c r="M147" s="98">
        <v>0</v>
      </c>
      <c r="N147" s="98">
        <v>0</v>
      </c>
      <c r="O147" s="98">
        <v>0</v>
      </c>
      <c r="P147" s="98">
        <v>0</v>
      </c>
      <c r="Q147" s="98">
        <v>0</v>
      </c>
      <c r="R147" s="98">
        <v>11036.33</v>
      </c>
      <c r="S147" s="98">
        <v>0</v>
      </c>
      <c r="T147" s="98">
        <v>0</v>
      </c>
      <c r="U147" s="98">
        <v>0</v>
      </c>
      <c r="V147" s="98">
        <v>70.540000000000006</v>
      </c>
      <c r="W147" s="98">
        <v>0</v>
      </c>
      <c r="X147" s="50">
        <f>248371.88-X148</f>
        <v>178863.7</v>
      </c>
      <c r="Y147" s="51">
        <f t="shared" si="75"/>
        <v>267054.57</v>
      </c>
      <c r="Z147" s="100"/>
      <c r="AA147" s="43">
        <v>336713</v>
      </c>
      <c r="AB147" s="10">
        <f>+Y147-AA147</f>
        <v>-69658.429999999993</v>
      </c>
      <c r="AC147" s="44" t="s">
        <v>6</v>
      </c>
      <c r="AD147" s="45">
        <v>13</v>
      </c>
      <c r="AF147" s="10">
        <v>336006</v>
      </c>
      <c r="AG147" s="9">
        <v>336360</v>
      </c>
    </row>
    <row r="148" spans="1:33" s="29" customFormat="1" ht="35.1" customHeight="1">
      <c r="A148" s="88"/>
      <c r="B148" s="52" t="s">
        <v>133</v>
      </c>
      <c r="C148" s="102">
        <v>208</v>
      </c>
      <c r="D148" s="103" t="s">
        <v>217</v>
      </c>
      <c r="E148" s="104">
        <v>0</v>
      </c>
      <c r="F148" s="105">
        <v>0</v>
      </c>
      <c r="G148" s="105">
        <v>0</v>
      </c>
      <c r="H148" s="105">
        <v>0</v>
      </c>
      <c r="I148" s="105">
        <v>0</v>
      </c>
      <c r="J148" s="105">
        <v>0</v>
      </c>
      <c r="K148" s="105">
        <v>0</v>
      </c>
      <c r="L148" s="105">
        <v>0</v>
      </c>
      <c r="M148" s="105">
        <v>0</v>
      </c>
      <c r="N148" s="105">
        <v>0</v>
      </c>
      <c r="O148" s="105">
        <v>0</v>
      </c>
      <c r="P148" s="105">
        <v>0</v>
      </c>
      <c r="Q148" s="105">
        <v>0</v>
      </c>
      <c r="R148" s="105">
        <v>0</v>
      </c>
      <c r="S148" s="105">
        <v>0</v>
      </c>
      <c r="T148" s="105">
        <v>0</v>
      </c>
      <c r="U148" s="105">
        <v>0</v>
      </c>
      <c r="V148" s="105">
        <v>0</v>
      </c>
      <c r="W148" s="105">
        <v>0</v>
      </c>
      <c r="X148" s="105">
        <f>69508.18</f>
        <v>69508.179999999993</v>
      </c>
      <c r="Y148" s="56">
        <f t="shared" si="75"/>
        <v>69508.179999999993</v>
      </c>
      <c r="Z148" s="100"/>
      <c r="AA148" s="30"/>
      <c r="AG148" s="30"/>
    </row>
    <row r="149" spans="1:33" ht="35.1" customHeight="1">
      <c r="A149" s="88"/>
      <c r="B149" s="46" t="s">
        <v>133</v>
      </c>
      <c r="C149" s="69" t="s">
        <v>115</v>
      </c>
      <c r="D149" s="66" t="s">
        <v>116</v>
      </c>
      <c r="E149" s="97">
        <v>0</v>
      </c>
      <c r="F149" s="98">
        <v>0</v>
      </c>
      <c r="G149" s="98">
        <v>0</v>
      </c>
      <c r="H149" s="98">
        <v>0</v>
      </c>
      <c r="I149" s="98">
        <v>0</v>
      </c>
      <c r="J149" s="98">
        <v>0</v>
      </c>
      <c r="K149" s="98">
        <v>0</v>
      </c>
      <c r="L149" s="98">
        <v>0</v>
      </c>
      <c r="M149" s="98">
        <v>0</v>
      </c>
      <c r="N149" s="98">
        <v>0</v>
      </c>
      <c r="O149" s="98">
        <v>0</v>
      </c>
      <c r="P149" s="98">
        <v>0</v>
      </c>
      <c r="Q149" s="98">
        <v>0</v>
      </c>
      <c r="R149" s="98">
        <v>0</v>
      </c>
      <c r="S149" s="98">
        <v>0</v>
      </c>
      <c r="T149" s="98">
        <v>0</v>
      </c>
      <c r="U149" s="98">
        <v>0</v>
      </c>
      <c r="V149" s="98">
        <v>0</v>
      </c>
      <c r="W149" s="98">
        <v>0</v>
      </c>
      <c r="X149" s="98">
        <v>0</v>
      </c>
      <c r="Y149" s="51">
        <f t="shared" si="75"/>
        <v>0</v>
      </c>
      <c r="Z149" s="100"/>
    </row>
    <row r="150" spans="1:33" ht="35.1" customHeight="1">
      <c r="A150" s="86" t="s">
        <v>209</v>
      </c>
      <c r="B150" s="46" t="s">
        <v>133</v>
      </c>
      <c r="C150" s="69" t="s">
        <v>117</v>
      </c>
      <c r="D150" s="66" t="s">
        <v>118</v>
      </c>
      <c r="E150" s="97">
        <v>0</v>
      </c>
      <c r="F150" s="98">
        <f>99-99</f>
        <v>0</v>
      </c>
      <c r="G150" s="98">
        <v>2328.4499999999998</v>
      </c>
      <c r="H150" s="98">
        <f>61.6+99</f>
        <v>160.6</v>
      </c>
      <c r="I150" s="98">
        <v>0</v>
      </c>
      <c r="J150" s="98">
        <v>0</v>
      </c>
      <c r="K150" s="98">
        <v>0</v>
      </c>
      <c r="L150" s="98">
        <v>0</v>
      </c>
      <c r="M150" s="98">
        <v>585</v>
      </c>
      <c r="N150" s="98">
        <v>0</v>
      </c>
      <c r="O150" s="98">
        <v>0</v>
      </c>
      <c r="P150" s="98">
        <v>0</v>
      </c>
      <c r="Q150" s="98">
        <v>0</v>
      </c>
      <c r="R150" s="98">
        <v>0</v>
      </c>
      <c r="S150" s="98">
        <v>0</v>
      </c>
      <c r="T150" s="98">
        <v>312</v>
      </c>
      <c r="U150" s="98">
        <v>0</v>
      </c>
      <c r="V150" s="98">
        <v>0</v>
      </c>
      <c r="W150" s="98">
        <v>0</v>
      </c>
      <c r="X150" s="50">
        <v>0</v>
      </c>
      <c r="Y150" s="51">
        <f t="shared" si="75"/>
        <v>3386.0499999999997</v>
      </c>
      <c r="Z150" s="100"/>
      <c r="AA150" s="43">
        <v>1394</v>
      </c>
      <c r="AB150" s="10">
        <f>+Y150-AA150</f>
        <v>1992.0499999999997</v>
      </c>
      <c r="AC150" s="44" t="s">
        <v>6</v>
      </c>
      <c r="AD150" s="45">
        <v>13</v>
      </c>
      <c r="AF150" s="10">
        <v>3925</v>
      </c>
      <c r="AG150" s="9">
        <v>475</v>
      </c>
    </row>
    <row r="151" spans="1:33" ht="35.1" customHeight="1">
      <c r="A151" s="88"/>
      <c r="B151" s="46" t="s">
        <v>133</v>
      </c>
      <c r="C151" s="69" t="s">
        <v>119</v>
      </c>
      <c r="D151" s="66" t="s">
        <v>120</v>
      </c>
      <c r="E151" s="97">
        <v>0</v>
      </c>
      <c r="F151" s="98">
        <v>0</v>
      </c>
      <c r="G151" s="98">
        <v>0</v>
      </c>
      <c r="H151" s="98">
        <v>0</v>
      </c>
      <c r="I151" s="98">
        <v>0</v>
      </c>
      <c r="J151" s="98">
        <v>0</v>
      </c>
      <c r="K151" s="98">
        <v>0</v>
      </c>
      <c r="L151" s="98">
        <v>0</v>
      </c>
      <c r="M151" s="98">
        <v>0</v>
      </c>
      <c r="N151" s="98">
        <v>0</v>
      </c>
      <c r="O151" s="98">
        <v>0</v>
      </c>
      <c r="P151" s="98">
        <v>0</v>
      </c>
      <c r="Q151" s="98">
        <v>0</v>
      </c>
      <c r="R151" s="98">
        <v>0</v>
      </c>
      <c r="S151" s="98">
        <v>0</v>
      </c>
      <c r="T151" s="98">
        <v>0</v>
      </c>
      <c r="U151" s="98">
        <v>0</v>
      </c>
      <c r="V151" s="98">
        <v>0</v>
      </c>
      <c r="W151" s="98">
        <v>0</v>
      </c>
      <c r="X151" s="50">
        <v>0</v>
      </c>
      <c r="Y151" s="51">
        <f t="shared" si="75"/>
        <v>0</v>
      </c>
      <c r="Z151" s="100"/>
      <c r="AA151" s="43">
        <v>32000</v>
      </c>
      <c r="AB151" s="10">
        <f>+Y151-AA151</f>
        <v>-32000</v>
      </c>
      <c r="AC151" s="44" t="s">
        <v>6</v>
      </c>
      <c r="AD151" s="45">
        <v>13</v>
      </c>
      <c r="AF151" s="10">
        <v>50263</v>
      </c>
      <c r="AG151" s="9">
        <v>32795</v>
      </c>
    </row>
    <row r="152" spans="1:33" ht="35.1" customHeight="1">
      <c r="A152" s="88"/>
      <c r="B152" s="46" t="s">
        <v>133</v>
      </c>
      <c r="C152" s="69" t="s">
        <v>121</v>
      </c>
      <c r="D152" s="66" t="s">
        <v>122</v>
      </c>
      <c r="E152" s="97">
        <v>0</v>
      </c>
      <c r="F152" s="98">
        <v>3008.28</v>
      </c>
      <c r="G152" s="98">
        <v>0</v>
      </c>
      <c r="H152" s="98">
        <v>0</v>
      </c>
      <c r="I152" s="98">
        <v>175</v>
      </c>
      <c r="J152" s="98">
        <v>0</v>
      </c>
      <c r="K152" s="98">
        <v>0</v>
      </c>
      <c r="L152" s="98">
        <v>0</v>
      </c>
      <c r="M152" s="98">
        <v>0</v>
      </c>
      <c r="N152" s="98">
        <v>0</v>
      </c>
      <c r="O152" s="98">
        <v>0</v>
      </c>
      <c r="P152" s="98">
        <v>0</v>
      </c>
      <c r="Q152" s="98">
        <v>0</v>
      </c>
      <c r="R152" s="98">
        <v>400</v>
      </c>
      <c r="S152" s="98">
        <v>5891.4</v>
      </c>
      <c r="T152" s="98">
        <v>0</v>
      </c>
      <c r="U152" s="98">
        <v>0</v>
      </c>
      <c r="V152" s="98">
        <v>0</v>
      </c>
      <c r="W152" s="98">
        <v>0</v>
      </c>
      <c r="X152" s="98">
        <v>0</v>
      </c>
      <c r="Y152" s="51">
        <f t="shared" si="75"/>
        <v>9474.68</v>
      </c>
      <c r="Z152" s="100"/>
    </row>
    <row r="153" spans="1:33" ht="35.1" customHeight="1">
      <c r="A153" s="88"/>
      <c r="B153" s="46" t="s">
        <v>133</v>
      </c>
      <c r="C153" s="69" t="s">
        <v>123</v>
      </c>
      <c r="D153" s="66" t="s">
        <v>124</v>
      </c>
      <c r="E153" s="97">
        <v>0</v>
      </c>
      <c r="F153" s="98">
        <v>0</v>
      </c>
      <c r="G153" s="98">
        <v>0</v>
      </c>
      <c r="H153" s="98">
        <v>0</v>
      </c>
      <c r="I153" s="98">
        <v>0</v>
      </c>
      <c r="J153" s="98">
        <v>0</v>
      </c>
      <c r="K153" s="98">
        <v>0</v>
      </c>
      <c r="L153" s="98">
        <v>56.2</v>
      </c>
      <c r="M153" s="98">
        <v>0</v>
      </c>
      <c r="N153" s="98">
        <v>0</v>
      </c>
      <c r="O153" s="98">
        <v>0</v>
      </c>
      <c r="P153" s="98">
        <v>90</v>
      </c>
      <c r="Q153" s="98">
        <v>0</v>
      </c>
      <c r="R153" s="98">
        <v>0</v>
      </c>
      <c r="S153" s="98">
        <v>0</v>
      </c>
      <c r="T153" s="98">
        <v>0</v>
      </c>
      <c r="U153" s="98">
        <v>0</v>
      </c>
      <c r="V153" s="98">
        <v>0</v>
      </c>
      <c r="W153" s="98">
        <v>0</v>
      </c>
      <c r="X153" s="50">
        <v>0</v>
      </c>
      <c r="Y153" s="51">
        <f t="shared" si="75"/>
        <v>146.19999999999999</v>
      </c>
      <c r="Z153" s="100"/>
      <c r="AA153" s="43">
        <v>52313</v>
      </c>
      <c r="AB153" s="10">
        <f>+Y153-AA153</f>
        <v>-52166.8</v>
      </c>
      <c r="AC153" s="44" t="s">
        <v>6</v>
      </c>
      <c r="AD153" s="45">
        <v>13</v>
      </c>
      <c r="AF153" s="10">
        <v>50263</v>
      </c>
      <c r="AG153" s="9">
        <v>51531</v>
      </c>
    </row>
    <row r="154" spans="1:33" ht="35.1" customHeight="1">
      <c r="A154" s="88"/>
      <c r="B154" s="46" t="s">
        <v>133</v>
      </c>
      <c r="C154" s="69" t="s">
        <v>125</v>
      </c>
      <c r="D154" s="66" t="s">
        <v>126</v>
      </c>
      <c r="E154" s="97">
        <v>0</v>
      </c>
      <c r="F154" s="98">
        <v>50</v>
      </c>
      <c r="G154" s="98">
        <v>0</v>
      </c>
      <c r="H154" s="98">
        <v>1920</v>
      </c>
      <c r="I154" s="98">
        <v>812.6</v>
      </c>
      <c r="J154" s="98">
        <v>918.55</v>
      </c>
      <c r="K154" s="98">
        <v>1500</v>
      </c>
      <c r="L154" s="98">
        <v>708.04</v>
      </c>
      <c r="M154" s="98">
        <v>0</v>
      </c>
      <c r="N154" s="98">
        <v>2400.4</v>
      </c>
      <c r="O154" s="98">
        <v>2279.87</v>
      </c>
      <c r="P154" s="98">
        <v>0</v>
      </c>
      <c r="Q154" s="98">
        <v>2250</v>
      </c>
      <c r="R154" s="98">
        <v>97.8</v>
      </c>
      <c r="S154" s="98">
        <v>0</v>
      </c>
      <c r="T154" s="98">
        <v>2218.73</v>
      </c>
      <c r="U154" s="98">
        <v>0</v>
      </c>
      <c r="V154" s="98">
        <v>1007.58</v>
      </c>
      <c r="W154" s="98">
        <v>1512</v>
      </c>
      <c r="X154" s="98">
        <v>1049</v>
      </c>
      <c r="Y154" s="51">
        <f t="shared" si="75"/>
        <v>18724.57</v>
      </c>
      <c r="Z154" s="100"/>
    </row>
    <row r="155" spans="1:33" ht="35.1" customHeight="1">
      <c r="A155" s="88"/>
      <c r="B155" s="46" t="s">
        <v>133</v>
      </c>
      <c r="C155" s="69" t="s">
        <v>127</v>
      </c>
      <c r="D155" s="66" t="s">
        <v>128</v>
      </c>
      <c r="E155" s="97">
        <v>0</v>
      </c>
      <c r="F155" s="98">
        <v>0</v>
      </c>
      <c r="G155" s="98">
        <v>0</v>
      </c>
      <c r="H155" s="98">
        <v>0</v>
      </c>
      <c r="I155" s="98">
        <v>39000</v>
      </c>
      <c r="J155" s="98">
        <v>182159.09</v>
      </c>
      <c r="K155" s="98">
        <v>0</v>
      </c>
      <c r="L155" s="98">
        <v>0</v>
      </c>
      <c r="M155" s="99">
        <f>33000-33000</f>
        <v>0</v>
      </c>
      <c r="N155" s="99">
        <f>33000-33000</f>
        <v>0</v>
      </c>
      <c r="O155" s="99">
        <f>33000</f>
        <v>33000</v>
      </c>
      <c r="P155" s="98">
        <v>0</v>
      </c>
      <c r="Q155" s="98">
        <v>89362.72</v>
      </c>
      <c r="R155" s="98">
        <v>0</v>
      </c>
      <c r="S155" s="98">
        <v>150000</v>
      </c>
      <c r="T155" s="98">
        <v>0</v>
      </c>
      <c r="U155" s="98">
        <f>93443.55+17038.09+315.93</f>
        <v>110797.56999999999</v>
      </c>
      <c r="V155" s="98">
        <v>0</v>
      </c>
      <c r="W155" s="98">
        <f>22961.91+683890+74.92</f>
        <v>706926.83000000007</v>
      </c>
      <c r="X155" s="98">
        <v>0</v>
      </c>
      <c r="Y155" s="51">
        <f t="shared" si="75"/>
        <v>1311246.21</v>
      </c>
      <c r="Z155" s="100"/>
    </row>
    <row r="156" spans="1:33" ht="35.1" customHeight="1">
      <c r="A156" s="88"/>
      <c r="B156" s="46" t="s">
        <v>133</v>
      </c>
      <c r="C156" s="69" t="s">
        <v>129</v>
      </c>
      <c r="D156" s="66" t="s">
        <v>130</v>
      </c>
      <c r="E156" s="97">
        <v>0</v>
      </c>
      <c r="F156" s="98">
        <v>0</v>
      </c>
      <c r="G156" s="98">
        <v>0</v>
      </c>
      <c r="H156" s="98">
        <v>0</v>
      </c>
      <c r="I156" s="98">
        <f>1863.37+244.88</f>
        <v>2108.25</v>
      </c>
      <c r="J156" s="98">
        <v>0</v>
      </c>
      <c r="K156" s="98">
        <v>0</v>
      </c>
      <c r="L156" s="98">
        <v>0</v>
      </c>
      <c r="M156" s="98">
        <f>24282.76+119.97</f>
        <v>24402.73</v>
      </c>
      <c r="N156" s="98">
        <v>0</v>
      </c>
      <c r="O156" s="98">
        <f>-28145.01+28145.01+70.89-70.89</f>
        <v>0</v>
      </c>
      <c r="P156" s="98">
        <v>0</v>
      </c>
      <c r="Q156" s="98">
        <v>0</v>
      </c>
      <c r="R156" s="98">
        <f>-15640.17-32.9-100</f>
        <v>-15773.07</v>
      </c>
      <c r="S156" s="98">
        <f>-14366.84+16722.16-997.35+315.93</f>
        <v>1673.8999999999999</v>
      </c>
      <c r="T156" s="98">
        <f>15184.12+1028.48</f>
        <v>16212.6</v>
      </c>
      <c r="U156" s="98">
        <f>-16722.16+12687.99+30.3</f>
        <v>-4003.87</v>
      </c>
      <c r="V156" s="98">
        <v>0</v>
      </c>
      <c r="W156" s="98">
        <v>8500</v>
      </c>
      <c r="X156" s="50">
        <v>0</v>
      </c>
      <c r="Y156" s="51">
        <f t="shared" si="75"/>
        <v>33120.54</v>
      </c>
      <c r="Z156" s="100"/>
      <c r="AA156" s="43">
        <v>420419</v>
      </c>
      <c r="AB156" s="10">
        <f>+Y156-AA156</f>
        <v>-387298.46</v>
      </c>
      <c r="AC156" s="44" t="s">
        <v>6</v>
      </c>
      <c r="AD156" s="45">
        <v>13</v>
      </c>
      <c r="AF156" s="10">
        <v>391374</v>
      </c>
      <c r="AG156" s="9">
        <v>420419</v>
      </c>
    </row>
    <row r="157" spans="1:33" ht="35.1" customHeight="1">
      <c r="A157" s="86" t="s">
        <v>209</v>
      </c>
      <c r="B157" s="46" t="s">
        <v>133</v>
      </c>
      <c r="C157" s="69" t="s">
        <v>131</v>
      </c>
      <c r="D157" s="66" t="s">
        <v>132</v>
      </c>
      <c r="E157" s="97">
        <v>0</v>
      </c>
      <c r="F157" s="98">
        <v>0</v>
      </c>
      <c r="G157" s="98">
        <v>0</v>
      </c>
      <c r="H157" s="98">
        <v>0</v>
      </c>
      <c r="I157" s="98">
        <v>0</v>
      </c>
      <c r="J157" s="98">
        <v>0</v>
      </c>
      <c r="K157" s="98">
        <v>0</v>
      </c>
      <c r="L157" s="98">
        <v>0</v>
      </c>
      <c r="M157" s="98">
        <v>0</v>
      </c>
      <c r="N157" s="98">
        <v>0</v>
      </c>
      <c r="O157" s="98">
        <v>0</v>
      </c>
      <c r="P157" s="98">
        <v>0</v>
      </c>
      <c r="Q157" s="98">
        <v>0</v>
      </c>
      <c r="R157" s="98">
        <v>0</v>
      </c>
      <c r="S157" s="98">
        <v>0</v>
      </c>
      <c r="T157" s="98">
        <v>0</v>
      </c>
      <c r="U157" s="98">
        <v>0</v>
      </c>
      <c r="V157" s="98">
        <v>0</v>
      </c>
      <c r="W157" s="98">
        <v>0</v>
      </c>
      <c r="X157" s="98">
        <v>0</v>
      </c>
      <c r="Y157" s="51">
        <f t="shared" si="75"/>
        <v>0</v>
      </c>
      <c r="Z157" s="100"/>
    </row>
    <row r="158" spans="1:33" ht="35.1" customHeight="1">
      <c r="A158" s="88"/>
      <c r="B158" s="46" t="s">
        <v>133</v>
      </c>
      <c r="C158" s="69" t="s">
        <v>134</v>
      </c>
      <c r="D158" s="66" t="s">
        <v>218</v>
      </c>
      <c r="E158" s="97">
        <v>0</v>
      </c>
      <c r="F158" s="98">
        <v>0</v>
      </c>
      <c r="G158" s="98">
        <v>0</v>
      </c>
      <c r="H158" s="98">
        <v>0</v>
      </c>
      <c r="I158" s="98">
        <v>0</v>
      </c>
      <c r="J158" s="98">
        <v>0</v>
      </c>
      <c r="K158" s="98">
        <v>0</v>
      </c>
      <c r="L158" s="98">
        <v>0</v>
      </c>
      <c r="M158" s="98">
        <v>0</v>
      </c>
      <c r="N158" s="98">
        <v>0</v>
      </c>
      <c r="O158" s="98">
        <v>0</v>
      </c>
      <c r="P158" s="98">
        <v>0</v>
      </c>
      <c r="Q158" s="98">
        <v>0</v>
      </c>
      <c r="R158" s="98">
        <v>0</v>
      </c>
      <c r="S158" s="98">
        <v>0</v>
      </c>
      <c r="T158" s="98">
        <v>0</v>
      </c>
      <c r="U158" s="98">
        <v>0</v>
      </c>
      <c r="V158" s="98">
        <v>0</v>
      </c>
      <c r="W158" s="98">
        <v>0</v>
      </c>
      <c r="X158" s="98">
        <v>0</v>
      </c>
      <c r="Y158" s="51">
        <f t="shared" si="75"/>
        <v>0</v>
      </c>
      <c r="Z158" s="100"/>
    </row>
    <row r="159" spans="1:33" ht="35.1" customHeight="1">
      <c r="A159" s="88"/>
      <c r="B159" s="46" t="s">
        <v>133</v>
      </c>
      <c r="C159" s="69" t="s">
        <v>137</v>
      </c>
      <c r="D159" s="66" t="s">
        <v>138</v>
      </c>
      <c r="E159" s="97">
        <v>0</v>
      </c>
      <c r="F159" s="98">
        <v>0</v>
      </c>
      <c r="G159" s="98">
        <v>0</v>
      </c>
      <c r="H159" s="98">
        <v>0</v>
      </c>
      <c r="I159" s="98">
        <v>0</v>
      </c>
      <c r="J159" s="105">
        <f>-1582.05+1582.05</f>
        <v>0</v>
      </c>
      <c r="K159" s="98">
        <v>0</v>
      </c>
      <c r="L159" s="98">
        <v>0</v>
      </c>
      <c r="M159" s="98">
        <v>0</v>
      </c>
      <c r="N159" s="98">
        <v>0</v>
      </c>
      <c r="O159" s="98">
        <v>0</v>
      </c>
      <c r="P159" s="98">
        <v>0</v>
      </c>
      <c r="Q159" s="98">
        <v>0</v>
      </c>
      <c r="R159" s="98">
        <v>0</v>
      </c>
      <c r="S159" s="98">
        <v>0</v>
      </c>
      <c r="T159" s="98">
        <v>0</v>
      </c>
      <c r="U159" s="98">
        <v>0</v>
      </c>
      <c r="V159" s="98">
        <v>0</v>
      </c>
      <c r="W159" s="98">
        <v>0</v>
      </c>
      <c r="X159" s="98">
        <v>51.69</v>
      </c>
      <c r="Y159" s="51">
        <f t="shared" si="75"/>
        <v>51.69</v>
      </c>
      <c r="Z159" s="100"/>
    </row>
    <row r="160" spans="1:33" ht="35.1" customHeight="1">
      <c r="A160" s="88"/>
      <c r="B160" s="46" t="s">
        <v>133</v>
      </c>
      <c r="C160" s="69" t="s">
        <v>139</v>
      </c>
      <c r="D160" s="66" t="s">
        <v>140</v>
      </c>
      <c r="E160" s="97">
        <v>0</v>
      </c>
      <c r="F160" s="98">
        <v>0</v>
      </c>
      <c r="G160" s="98">
        <v>0</v>
      </c>
      <c r="H160" s="98">
        <v>0</v>
      </c>
      <c r="I160" s="98">
        <v>0</v>
      </c>
      <c r="J160" s="98">
        <v>0</v>
      </c>
      <c r="K160" s="98">
        <v>0</v>
      </c>
      <c r="L160" s="98">
        <v>0</v>
      </c>
      <c r="M160" s="98">
        <v>0</v>
      </c>
      <c r="N160" s="98">
        <v>0</v>
      </c>
      <c r="O160" s="98">
        <v>0</v>
      </c>
      <c r="P160" s="98">
        <v>0</v>
      </c>
      <c r="Q160" s="98">
        <v>0</v>
      </c>
      <c r="R160" s="98">
        <v>0</v>
      </c>
      <c r="S160" s="98">
        <v>0</v>
      </c>
      <c r="T160" s="98">
        <v>849605.09</v>
      </c>
      <c r="U160" s="98">
        <v>0</v>
      </c>
      <c r="V160" s="98">
        <v>0</v>
      </c>
      <c r="W160" s="98">
        <v>0</v>
      </c>
      <c r="X160" s="50">
        <v>0</v>
      </c>
      <c r="Y160" s="51">
        <f t="shared" si="75"/>
        <v>849605.09</v>
      </c>
      <c r="Z160" s="100"/>
      <c r="AA160" s="43">
        <v>1012324</v>
      </c>
      <c r="AB160" s="10">
        <f>+Y160-AA160</f>
        <v>-162718.91000000003</v>
      </c>
      <c r="AC160" s="44" t="s">
        <v>6</v>
      </c>
      <c r="AD160" s="45">
        <v>13</v>
      </c>
      <c r="AF160" s="10">
        <v>808076</v>
      </c>
      <c r="AG160" s="9">
        <v>850715</v>
      </c>
    </row>
    <row r="161" spans="1:33" ht="35.1" customHeight="1">
      <c r="A161" s="88"/>
      <c r="B161" s="46" t="s">
        <v>133</v>
      </c>
      <c r="C161" s="69" t="s">
        <v>141</v>
      </c>
      <c r="D161" s="66" t="s">
        <v>142</v>
      </c>
      <c r="E161" s="97">
        <v>0</v>
      </c>
      <c r="F161" s="98">
        <v>0</v>
      </c>
      <c r="G161" s="98">
        <v>0</v>
      </c>
      <c r="H161" s="98">
        <v>0</v>
      </c>
      <c r="I161" s="98">
        <v>0</v>
      </c>
      <c r="J161" s="98">
        <v>0</v>
      </c>
      <c r="K161" s="98">
        <v>0</v>
      </c>
      <c r="L161" s="98">
        <v>0</v>
      </c>
      <c r="M161" s="98">
        <v>0</v>
      </c>
      <c r="N161" s="98">
        <v>0</v>
      </c>
      <c r="O161" s="98">
        <v>0</v>
      </c>
      <c r="P161" s="98">
        <v>0</v>
      </c>
      <c r="Q161" s="98">
        <v>0</v>
      </c>
      <c r="R161" s="98">
        <v>0</v>
      </c>
      <c r="S161" s="98">
        <v>0</v>
      </c>
      <c r="T161" s="98">
        <v>184081.11</v>
      </c>
      <c r="U161" s="98">
        <v>0</v>
      </c>
      <c r="V161" s="98">
        <v>0</v>
      </c>
      <c r="W161" s="98">
        <v>0</v>
      </c>
      <c r="X161" s="50">
        <v>0</v>
      </c>
      <c r="Y161" s="51">
        <f t="shared" si="75"/>
        <v>184081.11</v>
      </c>
      <c r="Z161" s="100"/>
      <c r="AA161" s="43">
        <v>219337</v>
      </c>
      <c r="AB161" s="10">
        <f>+Y161-AA161</f>
        <v>-35255.890000000014</v>
      </c>
      <c r="AC161" s="44" t="s">
        <v>6</v>
      </c>
      <c r="AD161" s="106">
        <v>13</v>
      </c>
      <c r="AF161" s="10">
        <v>175083</v>
      </c>
      <c r="AG161" s="9">
        <v>184322</v>
      </c>
    </row>
    <row r="162" spans="1:33" ht="35.1" customHeight="1">
      <c r="A162" s="88"/>
      <c r="B162" s="46" t="s">
        <v>133</v>
      </c>
      <c r="C162" s="69" t="s">
        <v>143</v>
      </c>
      <c r="D162" s="66" t="s">
        <v>144</v>
      </c>
      <c r="E162" s="97">
        <v>0</v>
      </c>
      <c r="F162" s="98">
        <v>0</v>
      </c>
      <c r="G162" s="98">
        <v>0</v>
      </c>
      <c r="H162" s="98">
        <v>0</v>
      </c>
      <c r="I162" s="98">
        <v>0</v>
      </c>
      <c r="J162" s="98">
        <v>0</v>
      </c>
      <c r="K162" s="98">
        <v>0</v>
      </c>
      <c r="L162" s="98">
        <v>0</v>
      </c>
      <c r="M162" s="98">
        <v>0</v>
      </c>
      <c r="N162" s="98">
        <v>0</v>
      </c>
      <c r="O162" s="98">
        <v>0</v>
      </c>
      <c r="P162" s="98">
        <v>0</v>
      </c>
      <c r="Q162" s="98">
        <v>0</v>
      </c>
      <c r="R162" s="98">
        <v>0</v>
      </c>
      <c r="S162" s="98">
        <v>0</v>
      </c>
      <c r="T162" s="98">
        <v>0</v>
      </c>
      <c r="U162" s="98">
        <v>0</v>
      </c>
      <c r="V162" s="98">
        <v>0</v>
      </c>
      <c r="W162" s="98">
        <v>0</v>
      </c>
      <c r="X162" s="50">
        <v>612545.31999999995</v>
      </c>
      <c r="Y162" s="51">
        <f t="shared" si="75"/>
        <v>612545.31999999995</v>
      </c>
      <c r="Z162" s="100"/>
      <c r="AA162" s="43">
        <f>701950</f>
        <v>701950</v>
      </c>
      <c r="AB162" s="10">
        <f>+Y162-AA162</f>
        <v>-89404.680000000051</v>
      </c>
      <c r="AC162" s="44" t="s">
        <v>6</v>
      </c>
      <c r="AD162" s="106" t="s">
        <v>219</v>
      </c>
      <c r="AF162" s="10">
        <v>695956</v>
      </c>
      <c r="AG162" s="9">
        <v>699208</v>
      </c>
    </row>
    <row r="163" spans="1:33" ht="35.1" customHeight="1">
      <c r="A163" s="88"/>
      <c r="B163" s="46" t="s">
        <v>133</v>
      </c>
      <c r="C163" s="69" t="s">
        <v>145</v>
      </c>
      <c r="D163" s="66" t="s">
        <v>146</v>
      </c>
      <c r="E163" s="97">
        <v>0</v>
      </c>
      <c r="F163" s="98">
        <v>0</v>
      </c>
      <c r="G163" s="98">
        <v>0</v>
      </c>
      <c r="H163" s="98">
        <v>0</v>
      </c>
      <c r="I163" s="98">
        <v>0</v>
      </c>
      <c r="J163" s="98">
        <v>0</v>
      </c>
      <c r="K163" s="98">
        <v>0</v>
      </c>
      <c r="L163" s="98">
        <v>0</v>
      </c>
      <c r="M163" s="98">
        <v>0</v>
      </c>
      <c r="N163" s="98">
        <v>0</v>
      </c>
      <c r="O163" s="98">
        <v>0</v>
      </c>
      <c r="P163" s="98">
        <v>0</v>
      </c>
      <c r="Q163" s="98">
        <v>0</v>
      </c>
      <c r="R163" s="98">
        <v>0</v>
      </c>
      <c r="S163" s="98">
        <v>0</v>
      </c>
      <c r="T163" s="98">
        <v>0</v>
      </c>
      <c r="U163" s="98">
        <v>0</v>
      </c>
      <c r="V163" s="98">
        <v>0</v>
      </c>
      <c r="W163" s="98">
        <v>0</v>
      </c>
      <c r="X163" s="98">
        <v>0</v>
      </c>
      <c r="Y163" s="51">
        <f t="shared" si="75"/>
        <v>0</v>
      </c>
      <c r="Z163" s="100"/>
    </row>
    <row r="164" spans="1:33" ht="35.1" customHeight="1">
      <c r="A164" s="88"/>
      <c r="B164" s="46" t="s">
        <v>133</v>
      </c>
      <c r="C164" s="69" t="s">
        <v>147</v>
      </c>
      <c r="D164" s="66" t="s">
        <v>148</v>
      </c>
      <c r="E164" s="97">
        <v>0</v>
      </c>
      <c r="F164" s="98">
        <v>0</v>
      </c>
      <c r="G164" s="98">
        <v>0</v>
      </c>
      <c r="H164" s="98">
        <v>0</v>
      </c>
      <c r="I164" s="98">
        <v>0</v>
      </c>
      <c r="J164" s="98">
        <v>0</v>
      </c>
      <c r="K164" s="98">
        <v>0</v>
      </c>
      <c r="L164" s="98">
        <v>0</v>
      </c>
      <c r="M164" s="98">
        <v>0</v>
      </c>
      <c r="N164" s="98">
        <v>0</v>
      </c>
      <c r="O164" s="98">
        <v>0</v>
      </c>
      <c r="P164" s="98">
        <v>0</v>
      </c>
      <c r="Q164" s="98">
        <v>0</v>
      </c>
      <c r="R164" s="98">
        <v>0</v>
      </c>
      <c r="S164" s="98">
        <v>0</v>
      </c>
      <c r="T164" s="98">
        <v>0</v>
      </c>
      <c r="U164" s="98">
        <v>0</v>
      </c>
      <c r="V164" s="98">
        <v>0</v>
      </c>
      <c r="W164" s="98">
        <v>0</v>
      </c>
      <c r="X164" s="98">
        <v>0</v>
      </c>
      <c r="Y164" s="51">
        <f t="shared" si="75"/>
        <v>0</v>
      </c>
      <c r="Z164" s="100"/>
    </row>
    <row r="165" spans="1:33" ht="35.1" customHeight="1">
      <c r="A165" s="88"/>
      <c r="B165" s="46" t="s">
        <v>133</v>
      </c>
      <c r="C165" s="69" t="s">
        <v>149</v>
      </c>
      <c r="D165" s="66" t="s">
        <v>150</v>
      </c>
      <c r="E165" s="97">
        <v>0</v>
      </c>
      <c r="F165" s="98">
        <v>0</v>
      </c>
      <c r="G165" s="98">
        <v>0</v>
      </c>
      <c r="H165" s="98">
        <v>0</v>
      </c>
      <c r="I165" s="98">
        <v>0</v>
      </c>
      <c r="J165" s="98">
        <v>0</v>
      </c>
      <c r="K165" s="98">
        <v>0</v>
      </c>
      <c r="L165" s="98">
        <v>0</v>
      </c>
      <c r="M165" s="98">
        <v>0</v>
      </c>
      <c r="N165" s="98">
        <v>0</v>
      </c>
      <c r="O165" s="98">
        <v>0</v>
      </c>
      <c r="P165" s="98">
        <v>0</v>
      </c>
      <c r="Q165" s="98">
        <v>0</v>
      </c>
      <c r="R165" s="98">
        <v>0</v>
      </c>
      <c r="S165" s="98">
        <v>0</v>
      </c>
      <c r="T165" s="98">
        <v>0</v>
      </c>
      <c r="U165" s="98">
        <v>0</v>
      </c>
      <c r="V165" s="98">
        <v>0</v>
      </c>
      <c r="W165" s="98">
        <v>0</v>
      </c>
      <c r="X165" s="98">
        <v>89312.15</v>
      </c>
      <c r="Y165" s="51">
        <f t="shared" si="75"/>
        <v>89312.15</v>
      </c>
      <c r="Z165" s="100"/>
    </row>
    <row r="166" spans="1:33" ht="35.1" customHeight="1">
      <c r="A166" s="88"/>
      <c r="B166" s="46" t="s">
        <v>133</v>
      </c>
      <c r="C166" s="69" t="s">
        <v>151</v>
      </c>
      <c r="D166" s="66" t="s">
        <v>152</v>
      </c>
      <c r="E166" s="97">
        <v>0</v>
      </c>
      <c r="F166" s="98">
        <v>15.98</v>
      </c>
      <c r="G166" s="98">
        <v>23.47</v>
      </c>
      <c r="H166" s="98">
        <v>9.4</v>
      </c>
      <c r="I166" s="98">
        <v>40.89</v>
      </c>
      <c r="J166" s="98">
        <v>45.36</v>
      </c>
      <c r="K166" s="98">
        <v>11.34</v>
      </c>
      <c r="L166" s="98">
        <v>49.83</v>
      </c>
      <c r="M166" s="98">
        <v>0</v>
      </c>
      <c r="N166" s="98">
        <v>40.6</v>
      </c>
      <c r="O166" s="98">
        <v>47.54</v>
      </c>
      <c r="P166" s="98">
        <v>23.32</v>
      </c>
      <c r="Q166" s="98">
        <v>18.100000000000001</v>
      </c>
      <c r="R166" s="98">
        <v>18.100000000000001</v>
      </c>
      <c r="S166" s="98">
        <v>4.6399999999999997</v>
      </c>
      <c r="T166" s="98">
        <v>13.05</v>
      </c>
      <c r="U166" s="98">
        <v>0</v>
      </c>
      <c r="V166" s="98">
        <v>41.42</v>
      </c>
      <c r="W166" s="98">
        <f>0.5+23.03</f>
        <v>23.53</v>
      </c>
      <c r="X166" s="50">
        <v>43.07</v>
      </c>
      <c r="Y166" s="51">
        <f t="shared" si="75"/>
        <v>469.64000000000004</v>
      </c>
      <c r="Z166" s="100"/>
      <c r="AA166" s="43">
        <v>10551</v>
      </c>
      <c r="AB166" s="10">
        <f>+Y166-AA166</f>
        <v>-10081.36</v>
      </c>
      <c r="AC166" s="44" t="s">
        <v>6</v>
      </c>
      <c r="AD166" s="45">
        <v>13</v>
      </c>
      <c r="AF166" s="10">
        <v>29684</v>
      </c>
      <c r="AG166" s="9">
        <v>17822</v>
      </c>
    </row>
    <row r="167" spans="1:33" s="29" customFormat="1" ht="35.1" customHeight="1">
      <c r="A167" s="86" t="s">
        <v>209</v>
      </c>
      <c r="B167" s="59" t="s">
        <v>153</v>
      </c>
      <c r="C167" s="94" t="s">
        <v>154</v>
      </c>
      <c r="D167" s="95"/>
      <c r="E167" s="62">
        <f t="shared" ref="E167:X167" si="76">SUM(E168:E177)</f>
        <v>0</v>
      </c>
      <c r="F167" s="63">
        <f>SUM(F168:F177)</f>
        <v>70646.19</v>
      </c>
      <c r="G167" s="63">
        <f t="shared" si="76"/>
        <v>4224.6000000000004</v>
      </c>
      <c r="H167" s="63">
        <f t="shared" si="76"/>
        <v>11045.23</v>
      </c>
      <c r="I167" s="63">
        <f t="shared" si="76"/>
        <v>540694.89</v>
      </c>
      <c r="J167" s="63">
        <f t="shared" si="76"/>
        <v>25577.53</v>
      </c>
      <c r="K167" s="63">
        <f t="shared" si="76"/>
        <v>13428.45</v>
      </c>
      <c r="L167" s="63">
        <f t="shared" si="76"/>
        <v>14530.890000000001</v>
      </c>
      <c r="M167" s="63">
        <f t="shared" si="76"/>
        <v>0</v>
      </c>
      <c r="N167" s="63">
        <f t="shared" si="76"/>
        <v>0</v>
      </c>
      <c r="O167" s="63">
        <f t="shared" si="76"/>
        <v>74632.789999999994</v>
      </c>
      <c r="P167" s="63">
        <f t="shared" si="76"/>
        <v>118230.69</v>
      </c>
      <c r="Q167" s="63">
        <f t="shared" si="76"/>
        <v>3555.74</v>
      </c>
      <c r="R167" s="63">
        <f t="shared" si="76"/>
        <v>0</v>
      </c>
      <c r="S167" s="63">
        <f t="shared" si="76"/>
        <v>0</v>
      </c>
      <c r="T167" s="63">
        <f t="shared" si="76"/>
        <v>0</v>
      </c>
      <c r="U167" s="63">
        <f t="shared" si="76"/>
        <v>9046.25</v>
      </c>
      <c r="V167" s="63">
        <f t="shared" si="76"/>
        <v>33559.31</v>
      </c>
      <c r="W167" s="63">
        <f t="shared" si="76"/>
        <v>0</v>
      </c>
      <c r="X167" s="63">
        <f t="shared" si="76"/>
        <v>490</v>
      </c>
      <c r="Y167" s="63">
        <f t="shared" ref="Y167" si="77">SUM(Y168:Y177)</f>
        <v>919662.56</v>
      </c>
      <c r="Z167" s="87"/>
      <c r="AA167" s="30"/>
      <c r="AG167" s="30"/>
    </row>
    <row r="168" spans="1:33" ht="35.1" customHeight="1">
      <c r="A168" s="88"/>
      <c r="B168" s="46" t="s">
        <v>133</v>
      </c>
      <c r="C168" s="69" t="s">
        <v>155</v>
      </c>
      <c r="D168" s="66" t="s">
        <v>156</v>
      </c>
      <c r="E168" s="97">
        <v>0</v>
      </c>
      <c r="F168" s="98">
        <v>0</v>
      </c>
      <c r="G168" s="98">
        <v>4224.6000000000004</v>
      </c>
      <c r="H168" s="98">
        <v>6648.47</v>
      </c>
      <c r="I168" s="98">
        <v>0</v>
      </c>
      <c r="J168" s="98">
        <v>8043.28</v>
      </c>
      <c r="K168" s="98">
        <v>13428.45</v>
      </c>
      <c r="L168" s="98">
        <v>380.45</v>
      </c>
      <c r="M168" s="98">
        <v>0</v>
      </c>
      <c r="N168" s="98">
        <v>0</v>
      </c>
      <c r="O168" s="98">
        <v>74632.789999999994</v>
      </c>
      <c r="P168" s="98">
        <v>1531.44</v>
      </c>
      <c r="Q168" s="98">
        <v>658.06</v>
      </c>
      <c r="R168" s="98">
        <v>0</v>
      </c>
      <c r="S168" s="98">
        <v>0</v>
      </c>
      <c r="T168" s="98">
        <v>0</v>
      </c>
      <c r="U168" s="98">
        <v>0</v>
      </c>
      <c r="V168" s="98">
        <v>0</v>
      </c>
      <c r="W168" s="98">
        <v>0</v>
      </c>
      <c r="X168" s="98">
        <v>0</v>
      </c>
      <c r="Y168" s="51">
        <f t="shared" ref="Y168:Y177" si="78">SUM(E168:X168)</f>
        <v>109547.54</v>
      </c>
      <c r="Z168" s="100"/>
    </row>
    <row r="169" spans="1:33" ht="35.1" customHeight="1">
      <c r="A169" s="88"/>
      <c r="B169" s="46" t="s">
        <v>133</v>
      </c>
      <c r="C169" s="69" t="s">
        <v>157</v>
      </c>
      <c r="D169" s="66" t="s">
        <v>158</v>
      </c>
      <c r="E169" s="97">
        <v>0</v>
      </c>
      <c r="F169" s="98">
        <v>0</v>
      </c>
      <c r="G169" s="98">
        <v>0</v>
      </c>
      <c r="H169" s="98">
        <v>0</v>
      </c>
      <c r="I169" s="98">
        <v>507151.89</v>
      </c>
      <c r="J169" s="98">
        <v>0</v>
      </c>
      <c r="K169" s="98">
        <v>0</v>
      </c>
      <c r="L169" s="98">
        <v>12459.33</v>
      </c>
      <c r="M169" s="98">
        <v>0</v>
      </c>
      <c r="N169" s="98">
        <v>0</v>
      </c>
      <c r="O169" s="98">
        <v>0</v>
      </c>
      <c r="P169" s="98">
        <v>104325.51</v>
      </c>
      <c r="Q169" s="98">
        <v>0</v>
      </c>
      <c r="R169" s="98">
        <v>0</v>
      </c>
      <c r="S169" s="98">
        <v>0</v>
      </c>
      <c r="T169" s="98">
        <v>0</v>
      </c>
      <c r="U169" s="98">
        <v>0</v>
      </c>
      <c r="V169" s="98">
        <v>0</v>
      </c>
      <c r="W169" s="98">
        <v>0</v>
      </c>
      <c r="X169" s="98">
        <v>0</v>
      </c>
      <c r="Y169" s="51">
        <f t="shared" si="78"/>
        <v>623936.73</v>
      </c>
      <c r="Z169" s="100"/>
    </row>
    <row r="170" spans="1:33" ht="35.1" customHeight="1">
      <c r="A170" s="88"/>
      <c r="B170" s="46" t="s">
        <v>133</v>
      </c>
      <c r="C170" s="69" t="s">
        <v>159</v>
      </c>
      <c r="D170" s="66" t="s">
        <v>160</v>
      </c>
      <c r="E170" s="97">
        <v>0</v>
      </c>
      <c r="F170" s="98">
        <v>0</v>
      </c>
      <c r="G170" s="98">
        <v>0</v>
      </c>
      <c r="H170" s="98">
        <v>0</v>
      </c>
      <c r="I170" s="98">
        <v>0</v>
      </c>
      <c r="J170" s="98">
        <v>17534.25</v>
      </c>
      <c r="K170" s="98">
        <v>0</v>
      </c>
      <c r="L170" s="98">
        <v>0</v>
      </c>
      <c r="M170" s="98">
        <v>0</v>
      </c>
      <c r="N170" s="98">
        <v>0</v>
      </c>
      <c r="O170" s="98">
        <v>0</v>
      </c>
      <c r="P170" s="98">
        <v>0</v>
      </c>
      <c r="Q170" s="98">
        <v>0</v>
      </c>
      <c r="R170" s="98">
        <v>0</v>
      </c>
      <c r="S170" s="98">
        <v>0</v>
      </c>
      <c r="T170" s="98">
        <v>0</v>
      </c>
      <c r="U170" s="98">
        <v>6700</v>
      </c>
      <c r="V170" s="98">
        <v>0</v>
      </c>
      <c r="W170" s="98">
        <v>0</v>
      </c>
      <c r="X170" s="98">
        <v>0</v>
      </c>
      <c r="Y170" s="51">
        <f t="shared" si="78"/>
        <v>24234.25</v>
      </c>
      <c r="Z170" s="100"/>
    </row>
    <row r="171" spans="1:33" ht="35.1" customHeight="1">
      <c r="A171" s="88"/>
      <c r="B171" s="46" t="s">
        <v>133</v>
      </c>
      <c r="C171" s="69" t="s">
        <v>161</v>
      </c>
      <c r="D171" s="66" t="s">
        <v>162</v>
      </c>
      <c r="E171" s="97">
        <v>0</v>
      </c>
      <c r="F171" s="98">
        <v>0</v>
      </c>
      <c r="G171" s="98">
        <v>0</v>
      </c>
      <c r="H171" s="98">
        <v>1800.04</v>
      </c>
      <c r="I171" s="98">
        <v>0</v>
      </c>
      <c r="J171" s="98">
        <v>0</v>
      </c>
      <c r="K171" s="98">
        <v>0</v>
      </c>
      <c r="L171" s="98">
        <v>0</v>
      </c>
      <c r="M171" s="98">
        <v>0</v>
      </c>
      <c r="N171" s="98">
        <v>0</v>
      </c>
      <c r="O171" s="98">
        <v>0</v>
      </c>
      <c r="P171" s="98">
        <v>155.46</v>
      </c>
      <c r="Q171" s="98">
        <v>0</v>
      </c>
      <c r="R171" s="98">
        <v>0</v>
      </c>
      <c r="S171" s="98">
        <v>0</v>
      </c>
      <c r="T171" s="98">
        <v>0</v>
      </c>
      <c r="U171" s="98">
        <v>2346.25</v>
      </c>
      <c r="V171" s="98">
        <v>0</v>
      </c>
      <c r="W171" s="98">
        <v>0</v>
      </c>
      <c r="X171" s="98">
        <v>0</v>
      </c>
      <c r="Y171" s="51">
        <f t="shared" si="78"/>
        <v>4301.75</v>
      </c>
      <c r="Z171" s="100"/>
    </row>
    <row r="172" spans="1:33" ht="35.1" customHeight="1">
      <c r="A172" s="88"/>
      <c r="B172" s="46" t="s">
        <v>133</v>
      </c>
      <c r="C172" s="69" t="s">
        <v>163</v>
      </c>
      <c r="D172" s="66" t="s">
        <v>164</v>
      </c>
      <c r="E172" s="97">
        <v>0</v>
      </c>
      <c r="F172" s="98">
        <v>0</v>
      </c>
      <c r="G172" s="98">
        <v>0</v>
      </c>
      <c r="H172" s="98">
        <v>0</v>
      </c>
      <c r="I172" s="98">
        <v>33543</v>
      </c>
      <c r="J172" s="98">
        <v>0</v>
      </c>
      <c r="K172" s="98">
        <v>0</v>
      </c>
      <c r="L172" s="98">
        <v>0</v>
      </c>
      <c r="M172" s="98">
        <v>0</v>
      </c>
      <c r="N172" s="98">
        <v>0</v>
      </c>
      <c r="O172" s="98">
        <v>0</v>
      </c>
      <c r="P172" s="98">
        <v>0</v>
      </c>
      <c r="Q172" s="98">
        <v>0</v>
      </c>
      <c r="R172" s="98">
        <v>0</v>
      </c>
      <c r="S172" s="98">
        <v>0</v>
      </c>
      <c r="T172" s="98">
        <v>0</v>
      </c>
      <c r="U172" s="98">
        <v>0</v>
      </c>
      <c r="V172" s="98">
        <v>33559.31</v>
      </c>
      <c r="W172" s="98">
        <v>0</v>
      </c>
      <c r="X172" s="98">
        <v>0</v>
      </c>
      <c r="Y172" s="51">
        <f t="shared" si="78"/>
        <v>67102.31</v>
      </c>
      <c r="Z172" s="100"/>
    </row>
    <row r="173" spans="1:33" ht="35.1" customHeight="1">
      <c r="A173" s="88"/>
      <c r="B173" s="46" t="s">
        <v>133</v>
      </c>
      <c r="C173" s="69" t="s">
        <v>165</v>
      </c>
      <c r="D173" s="66" t="s">
        <v>166</v>
      </c>
      <c r="E173" s="97">
        <v>0</v>
      </c>
      <c r="F173" s="98">
        <v>0</v>
      </c>
      <c r="G173" s="98">
        <v>0</v>
      </c>
      <c r="H173" s="98">
        <v>686.72</v>
      </c>
      <c r="I173" s="98">
        <v>0</v>
      </c>
      <c r="J173" s="98">
        <v>0</v>
      </c>
      <c r="K173" s="98">
        <v>0</v>
      </c>
      <c r="L173" s="98">
        <v>0</v>
      </c>
      <c r="M173" s="98">
        <v>0</v>
      </c>
      <c r="N173" s="98">
        <v>0</v>
      </c>
      <c r="O173" s="98">
        <v>0</v>
      </c>
      <c r="P173" s="98">
        <v>0</v>
      </c>
      <c r="Q173" s="98">
        <v>0</v>
      </c>
      <c r="R173" s="98">
        <v>0</v>
      </c>
      <c r="S173" s="98">
        <v>0</v>
      </c>
      <c r="T173" s="98">
        <v>0</v>
      </c>
      <c r="U173" s="98">
        <v>0</v>
      </c>
      <c r="V173" s="98">
        <v>0</v>
      </c>
      <c r="W173" s="98">
        <v>0</v>
      </c>
      <c r="X173" s="98">
        <v>0</v>
      </c>
      <c r="Y173" s="51">
        <f t="shared" si="78"/>
        <v>686.72</v>
      </c>
      <c r="Z173" s="100"/>
    </row>
    <row r="174" spans="1:33" ht="35.1" customHeight="1">
      <c r="A174" s="88"/>
      <c r="B174" s="46" t="s">
        <v>133</v>
      </c>
      <c r="C174" s="69" t="s">
        <v>167</v>
      </c>
      <c r="D174" s="66" t="s">
        <v>168</v>
      </c>
      <c r="E174" s="97">
        <v>0</v>
      </c>
      <c r="F174" s="98">
        <v>0</v>
      </c>
      <c r="G174" s="98">
        <v>0</v>
      </c>
      <c r="H174" s="98">
        <v>510</v>
      </c>
      <c r="I174" s="98">
        <v>0</v>
      </c>
      <c r="J174" s="98">
        <v>0</v>
      </c>
      <c r="K174" s="98">
        <v>0</v>
      </c>
      <c r="L174" s="98">
        <v>0</v>
      </c>
      <c r="M174" s="98">
        <v>0</v>
      </c>
      <c r="N174" s="98">
        <v>0</v>
      </c>
      <c r="O174" s="98">
        <v>0</v>
      </c>
      <c r="P174" s="98">
        <v>0</v>
      </c>
      <c r="Q174" s="98">
        <v>0</v>
      </c>
      <c r="R174" s="98">
        <v>0</v>
      </c>
      <c r="S174" s="98">
        <v>0</v>
      </c>
      <c r="T174" s="98">
        <v>0</v>
      </c>
      <c r="U174" s="98">
        <v>0</v>
      </c>
      <c r="V174" s="98">
        <v>0</v>
      </c>
      <c r="W174" s="98">
        <v>0</v>
      </c>
      <c r="X174" s="98">
        <v>0</v>
      </c>
      <c r="Y174" s="51">
        <f t="shared" si="78"/>
        <v>510</v>
      </c>
      <c r="Z174" s="100"/>
    </row>
    <row r="175" spans="1:33" ht="35.1" customHeight="1">
      <c r="A175" s="88"/>
      <c r="B175" s="46" t="s">
        <v>133</v>
      </c>
      <c r="C175" s="69" t="s">
        <v>170</v>
      </c>
      <c r="D175" s="66" t="s">
        <v>171</v>
      </c>
      <c r="E175" s="97">
        <v>0</v>
      </c>
      <c r="F175" s="98">
        <v>0</v>
      </c>
      <c r="G175" s="98">
        <v>0</v>
      </c>
      <c r="H175" s="98">
        <v>0</v>
      </c>
      <c r="I175" s="98">
        <v>0</v>
      </c>
      <c r="J175" s="98">
        <v>0</v>
      </c>
      <c r="K175" s="98">
        <v>0</v>
      </c>
      <c r="L175" s="98">
        <v>0</v>
      </c>
      <c r="M175" s="98">
        <v>0</v>
      </c>
      <c r="N175" s="98">
        <v>0</v>
      </c>
      <c r="O175" s="98">
        <v>0</v>
      </c>
      <c r="P175" s="98">
        <v>0</v>
      </c>
      <c r="Q175" s="98">
        <v>2897.68</v>
      </c>
      <c r="R175" s="98">
        <v>0</v>
      </c>
      <c r="S175" s="98">
        <v>0</v>
      </c>
      <c r="T175" s="98">
        <v>0</v>
      </c>
      <c r="U175" s="98">
        <v>0</v>
      </c>
      <c r="V175" s="98">
        <v>0</v>
      </c>
      <c r="W175" s="98">
        <v>0</v>
      </c>
      <c r="X175" s="98">
        <v>0</v>
      </c>
      <c r="Y175" s="51">
        <f t="shared" si="78"/>
        <v>2897.68</v>
      </c>
      <c r="Z175" s="100"/>
    </row>
    <row r="176" spans="1:33" ht="35.1" customHeight="1">
      <c r="A176" s="88"/>
      <c r="B176" s="46" t="s">
        <v>133</v>
      </c>
      <c r="C176" s="69" t="s">
        <v>172</v>
      </c>
      <c r="D176" s="66" t="s">
        <v>173</v>
      </c>
      <c r="E176" s="97">
        <v>0</v>
      </c>
      <c r="F176" s="98">
        <v>70646.19</v>
      </c>
      <c r="G176" s="98">
        <v>0</v>
      </c>
      <c r="H176" s="98">
        <v>0</v>
      </c>
      <c r="I176" s="98">
        <v>0</v>
      </c>
      <c r="J176" s="98">
        <v>0</v>
      </c>
      <c r="K176" s="98">
        <v>0</v>
      </c>
      <c r="L176" s="98">
        <v>1691.11</v>
      </c>
      <c r="M176" s="98">
        <v>0</v>
      </c>
      <c r="N176" s="98">
        <v>0</v>
      </c>
      <c r="O176" s="98">
        <v>0</v>
      </c>
      <c r="P176" s="98">
        <v>12218.28</v>
      </c>
      <c r="Q176" s="98">
        <v>0</v>
      </c>
      <c r="R176" s="98">
        <v>0</v>
      </c>
      <c r="S176" s="98">
        <v>0</v>
      </c>
      <c r="T176" s="98">
        <v>0</v>
      </c>
      <c r="U176" s="98">
        <v>0</v>
      </c>
      <c r="V176" s="98">
        <v>0</v>
      </c>
      <c r="W176" s="98">
        <v>0</v>
      </c>
      <c r="X176" s="98">
        <v>0</v>
      </c>
      <c r="Y176" s="51">
        <f t="shared" si="78"/>
        <v>84555.58</v>
      </c>
      <c r="Z176" s="100"/>
    </row>
    <row r="177" spans="1:33" ht="35.1" customHeight="1">
      <c r="A177" s="86" t="s">
        <v>209</v>
      </c>
      <c r="B177" s="46" t="s">
        <v>133</v>
      </c>
      <c r="C177" s="69" t="s">
        <v>174</v>
      </c>
      <c r="D177" s="66" t="s">
        <v>175</v>
      </c>
      <c r="E177" s="97">
        <v>0</v>
      </c>
      <c r="F177" s="98">
        <v>0</v>
      </c>
      <c r="G177" s="98">
        <v>0</v>
      </c>
      <c r="H177" s="98">
        <v>1400</v>
      </c>
      <c r="I177" s="98">
        <v>0</v>
      </c>
      <c r="J177" s="98">
        <v>0</v>
      </c>
      <c r="K177" s="98">
        <v>0</v>
      </c>
      <c r="L177" s="98">
        <v>0</v>
      </c>
      <c r="M177" s="98">
        <v>0</v>
      </c>
      <c r="N177" s="98">
        <v>0</v>
      </c>
      <c r="O177" s="98">
        <v>0</v>
      </c>
      <c r="P177" s="98">
        <v>0</v>
      </c>
      <c r="Q177" s="98">
        <v>0</v>
      </c>
      <c r="R177" s="98">
        <v>0</v>
      </c>
      <c r="S177" s="98">
        <v>0</v>
      </c>
      <c r="T177" s="98">
        <v>0</v>
      </c>
      <c r="U177" s="98">
        <v>0</v>
      </c>
      <c r="V177" s="98">
        <v>0</v>
      </c>
      <c r="W177" s="98">
        <v>0</v>
      </c>
      <c r="X177" s="98">
        <v>490</v>
      </c>
      <c r="Y177" s="51">
        <f t="shared" si="78"/>
        <v>1890</v>
      </c>
      <c r="Z177" s="100"/>
    </row>
    <row r="178" spans="1:33" s="29" customFormat="1" ht="35.1" customHeight="1">
      <c r="A178" s="88"/>
      <c r="B178" s="89" t="s">
        <v>220</v>
      </c>
      <c r="C178" s="90"/>
      <c r="D178" s="91"/>
      <c r="E178" s="107">
        <f t="shared" ref="E178:Y178" si="79">+E179+E196+E201+E206</f>
        <v>0</v>
      </c>
      <c r="F178" s="108">
        <f t="shared" si="79"/>
        <v>214088.76</v>
      </c>
      <c r="G178" s="108">
        <f t="shared" si="79"/>
        <v>16928.93</v>
      </c>
      <c r="H178" s="108">
        <f t="shared" si="79"/>
        <v>370269.07999999996</v>
      </c>
      <c r="I178" s="108">
        <f t="shared" si="79"/>
        <v>997896.41</v>
      </c>
      <c r="J178" s="108">
        <f t="shared" si="79"/>
        <v>384034.46</v>
      </c>
      <c r="K178" s="108">
        <f t="shared" si="79"/>
        <v>29307.16</v>
      </c>
      <c r="L178" s="108">
        <f t="shared" si="79"/>
        <v>41858.18</v>
      </c>
      <c r="M178" s="108">
        <f t="shared" si="79"/>
        <v>106.41000000007458</v>
      </c>
      <c r="N178" s="108">
        <f t="shared" si="79"/>
        <v>6481289.1200000001</v>
      </c>
      <c r="O178" s="108">
        <f t="shared" si="79"/>
        <v>80131.92</v>
      </c>
      <c r="P178" s="108">
        <f t="shared" si="79"/>
        <v>3630858.7</v>
      </c>
      <c r="Q178" s="108">
        <f t="shared" si="79"/>
        <v>419.58</v>
      </c>
      <c r="R178" s="108">
        <f t="shared" si="79"/>
        <v>24628.2</v>
      </c>
      <c r="S178" s="108">
        <f t="shared" si="79"/>
        <v>0</v>
      </c>
      <c r="T178" s="108">
        <f t="shared" si="79"/>
        <v>16439.560000000001</v>
      </c>
      <c r="U178" s="108">
        <f t="shared" si="79"/>
        <v>7943.1100000000006</v>
      </c>
      <c r="V178" s="108">
        <f t="shared" si="79"/>
        <v>11971.89</v>
      </c>
      <c r="W178" s="108">
        <f t="shared" si="79"/>
        <v>4969879.3499999996</v>
      </c>
      <c r="X178" s="108">
        <f t="shared" si="79"/>
        <v>4154029.41</v>
      </c>
      <c r="Y178" s="93">
        <f t="shared" si="79"/>
        <v>21432080.23</v>
      </c>
      <c r="Z178" s="87"/>
      <c r="AA178" s="30"/>
      <c r="AG178" s="30"/>
    </row>
    <row r="179" spans="1:33" s="29" customFormat="1" ht="35.1" customHeight="1">
      <c r="A179" s="88"/>
      <c r="B179" s="59" t="s">
        <v>38</v>
      </c>
      <c r="C179" s="94" t="s">
        <v>39</v>
      </c>
      <c r="D179" s="95"/>
      <c r="E179" s="109">
        <f t="shared" ref="E179:Y179" si="80">+E180+E186+E189+E194</f>
        <v>0</v>
      </c>
      <c r="F179" s="110">
        <f>+F180+F186+F189+F194</f>
        <v>76904.539999999994</v>
      </c>
      <c r="G179" s="110">
        <f t="shared" si="80"/>
        <v>2753.23</v>
      </c>
      <c r="H179" s="110">
        <f t="shared" si="80"/>
        <v>18899.28</v>
      </c>
      <c r="I179" s="110">
        <f t="shared" si="80"/>
        <v>952991.48</v>
      </c>
      <c r="J179" s="110">
        <f t="shared" si="80"/>
        <v>371475.26</v>
      </c>
      <c r="K179" s="110">
        <f t="shared" si="80"/>
        <v>18759.36</v>
      </c>
      <c r="L179" s="110">
        <f t="shared" si="80"/>
        <v>36166.090000000004</v>
      </c>
      <c r="M179" s="110">
        <f t="shared" si="80"/>
        <v>7.4578565545380116E-11</v>
      </c>
      <c r="N179" s="110">
        <f t="shared" si="80"/>
        <v>6427624.3899999997</v>
      </c>
      <c r="O179" s="110">
        <f t="shared" si="80"/>
        <v>67122.429999999993</v>
      </c>
      <c r="P179" s="110">
        <f t="shared" si="80"/>
        <v>3603784.85</v>
      </c>
      <c r="Q179" s="110">
        <f t="shared" si="80"/>
        <v>0</v>
      </c>
      <c r="R179" s="110">
        <f t="shared" si="80"/>
        <v>17223.2</v>
      </c>
      <c r="S179" s="110">
        <f t="shared" si="80"/>
        <v>0</v>
      </c>
      <c r="T179" s="110">
        <f t="shared" si="80"/>
        <v>3769.81</v>
      </c>
      <c r="U179" s="110">
        <f t="shared" si="80"/>
        <v>2446.14</v>
      </c>
      <c r="V179" s="110">
        <f t="shared" si="80"/>
        <v>11971.89</v>
      </c>
      <c r="W179" s="110">
        <f t="shared" si="80"/>
        <v>4969879.3499999996</v>
      </c>
      <c r="X179" s="110">
        <f t="shared" si="80"/>
        <v>4087619.2</v>
      </c>
      <c r="Y179" s="63">
        <f t="shared" si="80"/>
        <v>20669390.5</v>
      </c>
      <c r="Z179" s="87"/>
      <c r="AA179" s="30"/>
      <c r="AG179" s="30"/>
    </row>
    <row r="180" spans="1:33" s="29" customFormat="1" ht="35.1" customHeight="1">
      <c r="A180" s="88"/>
      <c r="B180" s="46"/>
      <c r="C180" s="96" t="s">
        <v>212</v>
      </c>
      <c r="D180" s="71"/>
      <c r="E180" s="27">
        <f t="shared" ref="E180:X180" si="81">SUM(E181:E185)</f>
        <v>0</v>
      </c>
      <c r="F180" s="28">
        <f t="shared" si="81"/>
        <v>76904.539999999994</v>
      </c>
      <c r="G180" s="28">
        <f t="shared" si="81"/>
        <v>0</v>
      </c>
      <c r="H180" s="28">
        <f t="shared" si="81"/>
        <v>18899.28</v>
      </c>
      <c r="I180" s="28">
        <f t="shared" si="81"/>
        <v>252096.55</v>
      </c>
      <c r="J180" s="28">
        <f t="shared" si="81"/>
        <v>371475.26</v>
      </c>
      <c r="K180" s="28">
        <f t="shared" si="81"/>
        <v>15368.37</v>
      </c>
      <c r="L180" s="28">
        <f t="shared" si="81"/>
        <v>27543.11</v>
      </c>
      <c r="M180" s="28">
        <f t="shared" si="81"/>
        <v>7.4578565545380116E-11</v>
      </c>
      <c r="N180" s="28">
        <f t="shared" si="81"/>
        <v>6427624.3899999997</v>
      </c>
      <c r="O180" s="28">
        <f t="shared" si="81"/>
        <v>6782.09</v>
      </c>
      <c r="P180" s="28">
        <f t="shared" si="81"/>
        <v>59209.39</v>
      </c>
      <c r="Q180" s="28">
        <f t="shared" si="81"/>
        <v>0</v>
      </c>
      <c r="R180" s="28">
        <f t="shared" si="81"/>
        <v>17223.2</v>
      </c>
      <c r="S180" s="28">
        <f t="shared" si="81"/>
        <v>0</v>
      </c>
      <c r="T180" s="28">
        <f t="shared" si="81"/>
        <v>0</v>
      </c>
      <c r="U180" s="28">
        <f t="shared" si="81"/>
        <v>2446.14</v>
      </c>
      <c r="V180" s="28">
        <f t="shared" si="81"/>
        <v>3784.99</v>
      </c>
      <c r="W180" s="28">
        <f t="shared" si="81"/>
        <v>4969650.68</v>
      </c>
      <c r="X180" s="28">
        <f t="shared" si="81"/>
        <v>98549.45</v>
      </c>
      <c r="Y180" s="28">
        <f t="shared" ref="Y180" si="82">SUM(Y181:Y185)</f>
        <v>12347557.439999999</v>
      </c>
      <c r="Z180" s="87"/>
      <c r="AA180" s="30"/>
      <c r="AG180" s="30"/>
    </row>
    <row r="181" spans="1:33" ht="35.1" customHeight="1">
      <c r="A181" s="88"/>
      <c r="B181" s="46" t="s">
        <v>221</v>
      </c>
      <c r="C181" s="69" t="s">
        <v>43</v>
      </c>
      <c r="D181" s="66" t="s">
        <v>44</v>
      </c>
      <c r="E181" s="97">
        <v>0</v>
      </c>
      <c r="F181" s="98">
        <v>0</v>
      </c>
      <c r="G181" s="98">
        <v>0</v>
      </c>
      <c r="H181" s="98">
        <v>0</v>
      </c>
      <c r="I181" s="98">
        <v>0</v>
      </c>
      <c r="J181" s="98">
        <v>3764.23</v>
      </c>
      <c r="K181" s="98">
        <v>0</v>
      </c>
      <c r="L181" s="98">
        <v>0</v>
      </c>
      <c r="M181" s="99">
        <f>3028744.03-3012952.76-14800-991.27</f>
        <v>1.8644641386345029E-11</v>
      </c>
      <c r="N181" s="98">
        <f>3028744.03</f>
        <v>3028744.03</v>
      </c>
      <c r="O181" s="98">
        <v>0</v>
      </c>
      <c r="P181" s="98">
        <v>0</v>
      </c>
      <c r="Q181" s="98">
        <v>0</v>
      </c>
      <c r="R181" s="98">
        <v>0</v>
      </c>
      <c r="S181" s="98">
        <v>0</v>
      </c>
      <c r="T181" s="98">
        <v>0</v>
      </c>
      <c r="U181" s="98">
        <v>0</v>
      </c>
      <c r="V181" s="98">
        <v>0</v>
      </c>
      <c r="W181" s="98">
        <v>3216546.58</v>
      </c>
      <c r="X181" s="98">
        <v>9012.77</v>
      </c>
      <c r="Y181" s="51">
        <f>SUM(E181:X181)</f>
        <v>6258067.6099999994</v>
      </c>
      <c r="Z181" s="100"/>
    </row>
    <row r="182" spans="1:33" ht="35.1" customHeight="1">
      <c r="A182" s="88"/>
      <c r="B182" s="46" t="s">
        <v>221</v>
      </c>
      <c r="C182" s="69" t="s">
        <v>45</v>
      </c>
      <c r="D182" s="66" t="s">
        <v>46</v>
      </c>
      <c r="E182" s="97">
        <v>0</v>
      </c>
      <c r="F182" s="98">
        <v>68749.73</v>
      </c>
      <c r="G182" s="98">
        <v>0</v>
      </c>
      <c r="H182" s="98">
        <v>3687</v>
      </c>
      <c r="I182" s="98">
        <v>0</v>
      </c>
      <c r="J182" s="98">
        <v>48675.53</v>
      </c>
      <c r="K182" s="98">
        <v>15368.37</v>
      </c>
      <c r="L182" s="98">
        <v>27543.11</v>
      </c>
      <c r="M182" s="98">
        <v>0</v>
      </c>
      <c r="N182" s="98">
        <v>60793.79</v>
      </c>
      <c r="O182" s="98">
        <v>6782.09</v>
      </c>
      <c r="P182" s="98">
        <v>52267.519999999997</v>
      </c>
      <c r="Q182" s="98">
        <v>0</v>
      </c>
      <c r="R182" s="98">
        <v>17223.2</v>
      </c>
      <c r="S182" s="98">
        <v>0</v>
      </c>
      <c r="T182" s="98">
        <v>0</v>
      </c>
      <c r="U182" s="98">
        <v>2446.14</v>
      </c>
      <c r="V182" s="98">
        <v>3784.99</v>
      </c>
      <c r="W182" s="98">
        <v>410441.79</v>
      </c>
      <c r="X182" s="50">
        <v>89008.98</v>
      </c>
      <c r="Y182" s="51">
        <f>SUM(E182:X182)</f>
        <v>806772.24</v>
      </c>
      <c r="Z182" s="100"/>
      <c r="AA182" s="111"/>
    </row>
    <row r="183" spans="1:33" ht="35.1" customHeight="1">
      <c r="A183" s="88"/>
      <c r="B183" s="46" t="s">
        <v>221</v>
      </c>
      <c r="C183" s="69" t="s">
        <v>47</v>
      </c>
      <c r="D183" s="66" t="s">
        <v>48</v>
      </c>
      <c r="E183" s="97">
        <v>0</v>
      </c>
      <c r="F183" s="98">
        <v>0</v>
      </c>
      <c r="G183" s="98">
        <v>0</v>
      </c>
      <c r="H183" s="98">
        <v>15212.28</v>
      </c>
      <c r="I183" s="98">
        <v>252096.55</v>
      </c>
      <c r="J183" s="98">
        <v>319035.5</v>
      </c>
      <c r="K183" s="98">
        <v>0</v>
      </c>
      <c r="L183" s="98">
        <v>0</v>
      </c>
      <c r="M183" s="98">
        <v>0</v>
      </c>
      <c r="N183" s="98">
        <v>0</v>
      </c>
      <c r="O183" s="98">
        <v>0</v>
      </c>
      <c r="P183" s="98">
        <v>0</v>
      </c>
      <c r="Q183" s="98">
        <v>0</v>
      </c>
      <c r="R183" s="98">
        <v>0</v>
      </c>
      <c r="S183" s="98">
        <v>0</v>
      </c>
      <c r="T183" s="98">
        <v>0</v>
      </c>
      <c r="U183" s="98">
        <v>0</v>
      </c>
      <c r="V183" s="98">
        <v>0</v>
      </c>
      <c r="W183" s="98">
        <v>0</v>
      </c>
      <c r="X183" s="50">
        <v>527.70000000000005</v>
      </c>
      <c r="Y183" s="51">
        <f>SUM(E183:X183)</f>
        <v>586872.03</v>
      </c>
      <c r="Z183" s="100"/>
      <c r="AA183" s="43">
        <v>848662</v>
      </c>
      <c r="AB183" s="10">
        <f>+Y183-AA183</f>
        <v>-261789.96999999997</v>
      </c>
      <c r="AC183" s="44" t="s">
        <v>6</v>
      </c>
      <c r="AD183" s="45">
        <v>9</v>
      </c>
      <c r="AF183" s="10">
        <v>768662</v>
      </c>
      <c r="AG183" s="9">
        <v>848662</v>
      </c>
    </row>
    <row r="184" spans="1:33" ht="35.1" customHeight="1">
      <c r="A184" s="88"/>
      <c r="B184" s="46" t="s">
        <v>221</v>
      </c>
      <c r="C184" s="69" t="s">
        <v>49</v>
      </c>
      <c r="D184" s="66" t="s">
        <v>50</v>
      </c>
      <c r="E184" s="97">
        <v>0</v>
      </c>
      <c r="F184" s="98">
        <v>8154.81</v>
      </c>
      <c r="G184" s="98">
        <v>0</v>
      </c>
      <c r="H184" s="98">
        <v>0</v>
      </c>
      <c r="I184" s="98">
        <v>0</v>
      </c>
      <c r="J184" s="98">
        <v>0</v>
      </c>
      <c r="K184" s="98">
        <v>0</v>
      </c>
      <c r="L184" s="98">
        <v>0</v>
      </c>
      <c r="M184" s="98">
        <v>0</v>
      </c>
      <c r="N184" s="98">
        <v>5395.23</v>
      </c>
      <c r="O184" s="98">
        <v>0</v>
      </c>
      <c r="P184" s="98">
        <v>6941.87</v>
      </c>
      <c r="Q184" s="98">
        <v>0</v>
      </c>
      <c r="R184" s="98">
        <v>0</v>
      </c>
      <c r="S184" s="98">
        <v>0</v>
      </c>
      <c r="T184" s="98">
        <v>0</v>
      </c>
      <c r="U184" s="98">
        <v>0</v>
      </c>
      <c r="V184" s="98">
        <v>0</v>
      </c>
      <c r="W184" s="98">
        <v>1342662.31</v>
      </c>
      <c r="X184" s="98">
        <v>0</v>
      </c>
      <c r="Y184" s="51">
        <f>SUM(E184:X184)</f>
        <v>1363154.22</v>
      </c>
      <c r="Z184" s="100"/>
    </row>
    <row r="185" spans="1:33" ht="35.1" customHeight="1">
      <c r="A185" s="88"/>
      <c r="B185" s="46" t="s">
        <v>221</v>
      </c>
      <c r="C185" s="69" t="s">
        <v>51</v>
      </c>
      <c r="D185" s="66" t="s">
        <v>52</v>
      </c>
      <c r="E185" s="97">
        <v>0</v>
      </c>
      <c r="F185" s="98">
        <v>0</v>
      </c>
      <c r="G185" s="98">
        <v>0</v>
      </c>
      <c r="H185" s="98">
        <v>0</v>
      </c>
      <c r="I185" s="98">
        <v>0</v>
      </c>
      <c r="J185" s="98">
        <v>0</v>
      </c>
      <c r="K185" s="98">
        <v>0</v>
      </c>
      <c r="L185" s="98">
        <v>0</v>
      </c>
      <c r="M185" s="99">
        <f>3332691.34-3331056.03-1635.31</f>
        <v>5.5933924159035087E-11</v>
      </c>
      <c r="N185" s="98">
        <f>3332691.34</f>
        <v>3332691.34</v>
      </c>
      <c r="O185" s="98">
        <v>0</v>
      </c>
      <c r="P185" s="98">
        <v>0</v>
      </c>
      <c r="Q185" s="98">
        <v>0</v>
      </c>
      <c r="R185" s="98">
        <v>0</v>
      </c>
      <c r="S185" s="98">
        <v>0</v>
      </c>
      <c r="T185" s="98">
        <v>0</v>
      </c>
      <c r="U185" s="98">
        <v>0</v>
      </c>
      <c r="V185" s="98">
        <v>0</v>
      </c>
      <c r="W185" s="98">
        <v>0</v>
      </c>
      <c r="X185" s="50">
        <v>0</v>
      </c>
      <c r="Y185" s="51">
        <f>SUM(E185:X185)</f>
        <v>3332691.34</v>
      </c>
      <c r="Z185" s="100"/>
      <c r="AA185" s="43">
        <v>4478914</v>
      </c>
      <c r="AB185" s="10">
        <f>+Y185-AA185</f>
        <v>-1146222.6600000001</v>
      </c>
      <c r="AC185" s="44" t="s">
        <v>6</v>
      </c>
      <c r="AD185" s="45">
        <v>9</v>
      </c>
      <c r="AF185" s="10">
        <v>0</v>
      </c>
      <c r="AG185" s="9">
        <v>0</v>
      </c>
    </row>
    <row r="186" spans="1:33" s="29" customFormat="1" ht="35.1" customHeight="1">
      <c r="A186" s="88"/>
      <c r="B186" s="46"/>
      <c r="C186" s="96" t="s">
        <v>213</v>
      </c>
      <c r="D186" s="71"/>
      <c r="E186" s="27">
        <f t="shared" ref="E186:Y186" si="83">SUM(E187:E188)</f>
        <v>0</v>
      </c>
      <c r="F186" s="28">
        <f t="shared" si="83"/>
        <v>0</v>
      </c>
      <c r="G186" s="28">
        <f t="shared" si="83"/>
        <v>2753.23</v>
      </c>
      <c r="H186" s="28">
        <f t="shared" si="83"/>
        <v>0</v>
      </c>
      <c r="I186" s="28">
        <f t="shared" si="83"/>
        <v>0</v>
      </c>
      <c r="J186" s="28">
        <f t="shared" si="83"/>
        <v>0</v>
      </c>
      <c r="K186" s="28">
        <f t="shared" si="83"/>
        <v>0</v>
      </c>
      <c r="L186" s="28">
        <f t="shared" si="83"/>
        <v>5125.25</v>
      </c>
      <c r="M186" s="28">
        <f t="shared" si="83"/>
        <v>0</v>
      </c>
      <c r="N186" s="28">
        <f t="shared" si="83"/>
        <v>0</v>
      </c>
      <c r="O186" s="28">
        <f t="shared" si="83"/>
        <v>60340.34</v>
      </c>
      <c r="P186" s="28">
        <f t="shared" si="83"/>
        <v>27822.58</v>
      </c>
      <c r="Q186" s="28">
        <f t="shared" si="83"/>
        <v>0</v>
      </c>
      <c r="R186" s="28">
        <f t="shared" si="83"/>
        <v>0</v>
      </c>
      <c r="S186" s="28">
        <f t="shared" si="83"/>
        <v>0</v>
      </c>
      <c r="T186" s="28">
        <f t="shared" si="83"/>
        <v>3769.81</v>
      </c>
      <c r="U186" s="28">
        <f t="shared" si="83"/>
        <v>0</v>
      </c>
      <c r="V186" s="28">
        <f t="shared" si="83"/>
        <v>0</v>
      </c>
      <c r="W186" s="28">
        <f t="shared" si="83"/>
        <v>228.67</v>
      </c>
      <c r="X186" s="28">
        <f t="shared" si="83"/>
        <v>3988047.7</v>
      </c>
      <c r="Y186" s="28">
        <f t="shared" si="83"/>
        <v>4088087.58</v>
      </c>
      <c r="Z186" s="87"/>
      <c r="AA186" s="30"/>
      <c r="AG186" s="30"/>
    </row>
    <row r="187" spans="1:33" ht="35.1" customHeight="1">
      <c r="A187" s="86" t="s">
        <v>209</v>
      </c>
      <c r="B187" s="46" t="s">
        <v>221</v>
      </c>
      <c r="C187" s="69" t="s">
        <v>57</v>
      </c>
      <c r="D187" s="66" t="s">
        <v>58</v>
      </c>
      <c r="E187" s="97">
        <v>0</v>
      </c>
      <c r="F187" s="98">
        <v>0</v>
      </c>
      <c r="G187" s="98">
        <v>2753.23</v>
      </c>
      <c r="H187" s="98">
        <v>0</v>
      </c>
      <c r="I187" s="98">
        <v>0</v>
      </c>
      <c r="J187" s="98">
        <v>0</v>
      </c>
      <c r="K187" s="98">
        <v>0</v>
      </c>
      <c r="L187" s="98">
        <v>5125.25</v>
      </c>
      <c r="M187" s="98">
        <v>0</v>
      </c>
      <c r="N187" s="98">
        <v>0</v>
      </c>
      <c r="O187" s="98">
        <v>0</v>
      </c>
      <c r="P187" s="98">
        <v>0</v>
      </c>
      <c r="Q187" s="98">
        <v>0</v>
      </c>
      <c r="R187" s="98">
        <v>0</v>
      </c>
      <c r="S187" s="98">
        <v>0</v>
      </c>
      <c r="T187" s="98">
        <v>3769.81</v>
      </c>
      <c r="U187" s="98">
        <v>0</v>
      </c>
      <c r="V187" s="98">
        <v>0</v>
      </c>
      <c r="W187" s="98">
        <v>0</v>
      </c>
      <c r="X187" s="98">
        <v>1867956.74</v>
      </c>
      <c r="Y187" s="51">
        <f>SUM(E187:X187)</f>
        <v>1879605.03</v>
      </c>
      <c r="Z187" s="100"/>
      <c r="AA187" s="112"/>
    </row>
    <row r="188" spans="1:33" ht="35.1" customHeight="1">
      <c r="A188" s="88"/>
      <c r="B188" s="46" t="s">
        <v>221</v>
      </c>
      <c r="C188" s="69" t="s">
        <v>59</v>
      </c>
      <c r="D188" s="66" t="s">
        <v>60</v>
      </c>
      <c r="E188" s="97">
        <v>0</v>
      </c>
      <c r="F188" s="98">
        <v>0</v>
      </c>
      <c r="G188" s="98">
        <v>0</v>
      </c>
      <c r="H188" s="98">
        <v>0</v>
      </c>
      <c r="I188" s="98">
        <v>0</v>
      </c>
      <c r="J188" s="98">
        <v>0</v>
      </c>
      <c r="K188" s="98">
        <v>0</v>
      </c>
      <c r="L188" s="98">
        <v>0</v>
      </c>
      <c r="M188" s="98">
        <v>0</v>
      </c>
      <c r="N188" s="98">
        <v>0</v>
      </c>
      <c r="O188" s="98">
        <v>60340.34</v>
      </c>
      <c r="P188" s="98">
        <v>27822.58</v>
      </c>
      <c r="Q188" s="98">
        <v>0</v>
      </c>
      <c r="R188" s="98">
        <v>0</v>
      </c>
      <c r="S188" s="98">
        <v>0</v>
      </c>
      <c r="T188" s="98">
        <v>0</v>
      </c>
      <c r="U188" s="98">
        <v>0</v>
      </c>
      <c r="V188" s="98">
        <v>0</v>
      </c>
      <c r="W188" s="98">
        <v>228.67</v>
      </c>
      <c r="X188" s="98">
        <v>2120090.96</v>
      </c>
      <c r="Y188" s="51">
        <f>SUM(E188:X188)</f>
        <v>2208482.5499999998</v>
      </c>
      <c r="Z188" s="100"/>
    </row>
    <row r="189" spans="1:33" s="29" customFormat="1" ht="35.1" customHeight="1">
      <c r="A189" s="88"/>
      <c r="B189" s="46"/>
      <c r="C189" s="96" t="s">
        <v>214</v>
      </c>
      <c r="D189" s="71"/>
      <c r="E189" s="27">
        <f t="shared" ref="E189:Y189" si="84">SUM(E190:E193)</f>
        <v>0</v>
      </c>
      <c r="F189" s="28">
        <f t="shared" si="84"/>
        <v>0</v>
      </c>
      <c r="G189" s="28">
        <f t="shared" si="84"/>
        <v>0</v>
      </c>
      <c r="H189" s="28">
        <f t="shared" si="84"/>
        <v>0</v>
      </c>
      <c r="I189" s="28">
        <f t="shared" si="84"/>
        <v>700894.93</v>
      </c>
      <c r="J189" s="28">
        <f t="shared" si="84"/>
        <v>0</v>
      </c>
      <c r="K189" s="28">
        <f t="shared" si="84"/>
        <v>0</v>
      </c>
      <c r="L189" s="28">
        <f t="shared" si="84"/>
        <v>3497.7300000000005</v>
      </c>
      <c r="M189" s="28">
        <f t="shared" si="84"/>
        <v>0</v>
      </c>
      <c r="N189" s="28">
        <f t="shared" si="84"/>
        <v>0</v>
      </c>
      <c r="O189" s="28">
        <f t="shared" si="84"/>
        <v>0</v>
      </c>
      <c r="P189" s="28">
        <f t="shared" si="84"/>
        <v>3516752.88</v>
      </c>
      <c r="Q189" s="28">
        <f t="shared" si="84"/>
        <v>0</v>
      </c>
      <c r="R189" s="28">
        <f t="shared" si="84"/>
        <v>0</v>
      </c>
      <c r="S189" s="28">
        <f t="shared" si="84"/>
        <v>0</v>
      </c>
      <c r="T189" s="28">
        <f t="shared" si="84"/>
        <v>0</v>
      </c>
      <c r="U189" s="28">
        <f t="shared" si="84"/>
        <v>0</v>
      </c>
      <c r="V189" s="28">
        <f t="shared" si="84"/>
        <v>0</v>
      </c>
      <c r="W189" s="28">
        <f t="shared" si="84"/>
        <v>0</v>
      </c>
      <c r="X189" s="28">
        <f t="shared" si="84"/>
        <v>1022.0500000000001</v>
      </c>
      <c r="Y189" s="28">
        <f t="shared" si="84"/>
        <v>4222167.59</v>
      </c>
      <c r="Z189" s="87"/>
      <c r="AA189" s="30"/>
      <c r="AG189" s="30"/>
    </row>
    <row r="190" spans="1:33" ht="35.1" customHeight="1">
      <c r="A190" s="88"/>
      <c r="B190" s="46" t="s">
        <v>221</v>
      </c>
      <c r="C190" s="69" t="s">
        <v>67</v>
      </c>
      <c r="D190" s="66" t="s">
        <v>68</v>
      </c>
      <c r="E190" s="97">
        <v>0</v>
      </c>
      <c r="F190" s="98">
        <v>0</v>
      </c>
      <c r="G190" s="98">
        <v>0</v>
      </c>
      <c r="H190" s="98">
        <v>0</v>
      </c>
      <c r="I190" s="98">
        <v>700894.93</v>
      </c>
      <c r="J190" s="98">
        <v>0</v>
      </c>
      <c r="K190" s="98">
        <v>0</v>
      </c>
      <c r="L190" s="98">
        <v>0</v>
      </c>
      <c r="M190" s="98">
        <v>0</v>
      </c>
      <c r="N190" s="98">
        <v>0</v>
      </c>
      <c r="O190" s="98">
        <v>0</v>
      </c>
      <c r="P190" s="98">
        <v>0</v>
      </c>
      <c r="Q190" s="98">
        <v>0</v>
      </c>
      <c r="R190" s="98">
        <v>0</v>
      </c>
      <c r="S190" s="98">
        <v>0</v>
      </c>
      <c r="T190" s="98">
        <v>0</v>
      </c>
      <c r="U190" s="98">
        <v>0</v>
      </c>
      <c r="V190" s="98">
        <v>0</v>
      </c>
      <c r="W190" s="98">
        <v>0</v>
      </c>
      <c r="X190" s="98">
        <v>217.72</v>
      </c>
      <c r="Y190" s="51">
        <f>SUM(E190:X190)</f>
        <v>701112.65</v>
      </c>
      <c r="Z190" s="100"/>
    </row>
    <row r="191" spans="1:33" ht="35.1" customHeight="1">
      <c r="A191" s="88"/>
      <c r="B191" s="46" t="s">
        <v>221</v>
      </c>
      <c r="C191" s="69" t="s">
        <v>69</v>
      </c>
      <c r="D191" s="66" t="s">
        <v>70</v>
      </c>
      <c r="E191" s="97">
        <v>0</v>
      </c>
      <c r="F191" s="98">
        <v>0</v>
      </c>
      <c r="G191" s="98">
        <v>0</v>
      </c>
      <c r="H191" s="98">
        <v>0</v>
      </c>
      <c r="I191" s="98">
        <v>0</v>
      </c>
      <c r="J191" s="98">
        <v>0</v>
      </c>
      <c r="K191" s="98">
        <v>0</v>
      </c>
      <c r="L191" s="98">
        <v>0</v>
      </c>
      <c r="M191" s="98">
        <v>0</v>
      </c>
      <c r="N191" s="98">
        <v>0</v>
      </c>
      <c r="O191" s="98">
        <v>0</v>
      </c>
      <c r="P191" s="98">
        <v>866050.62</v>
      </c>
      <c r="Q191" s="98">
        <v>0</v>
      </c>
      <c r="R191" s="98">
        <v>0</v>
      </c>
      <c r="S191" s="98">
        <v>0</v>
      </c>
      <c r="T191" s="98">
        <v>0</v>
      </c>
      <c r="U191" s="98">
        <v>0</v>
      </c>
      <c r="V191" s="98">
        <v>0</v>
      </c>
      <c r="W191" s="98">
        <v>0</v>
      </c>
      <c r="X191" s="98">
        <v>0</v>
      </c>
      <c r="Y191" s="51">
        <f>SUM(E191:X191)</f>
        <v>866050.62</v>
      </c>
      <c r="Z191" s="100"/>
    </row>
    <row r="192" spans="1:33" ht="35.1" customHeight="1">
      <c r="A192" s="88"/>
      <c r="B192" s="46" t="s">
        <v>221</v>
      </c>
      <c r="C192" s="69" t="s">
        <v>71</v>
      </c>
      <c r="D192" s="66" t="s">
        <v>72</v>
      </c>
      <c r="E192" s="97">
        <v>0</v>
      </c>
      <c r="F192" s="98">
        <v>0</v>
      </c>
      <c r="G192" s="98">
        <v>0</v>
      </c>
      <c r="H192" s="98">
        <v>0</v>
      </c>
      <c r="I192" s="98">
        <v>0</v>
      </c>
      <c r="J192" s="98">
        <v>0</v>
      </c>
      <c r="K192" s="98">
        <v>0</v>
      </c>
      <c r="L192" s="98">
        <v>1165.9100000000001</v>
      </c>
      <c r="M192" s="98">
        <v>0</v>
      </c>
      <c r="N192" s="98">
        <v>0</v>
      </c>
      <c r="O192" s="98">
        <v>0</v>
      </c>
      <c r="P192" s="98">
        <v>738069.3</v>
      </c>
      <c r="Q192" s="98">
        <v>0</v>
      </c>
      <c r="R192" s="98">
        <v>0</v>
      </c>
      <c r="S192" s="98">
        <v>0</v>
      </c>
      <c r="T192" s="98">
        <v>0</v>
      </c>
      <c r="U192" s="98">
        <v>0</v>
      </c>
      <c r="V192" s="98">
        <v>0</v>
      </c>
      <c r="W192" s="98">
        <v>0</v>
      </c>
      <c r="X192" s="98">
        <v>111.75</v>
      </c>
      <c r="Y192" s="51">
        <f>SUM(E192:X192)</f>
        <v>739346.96000000008</v>
      </c>
      <c r="Z192" s="100"/>
    </row>
    <row r="193" spans="1:33" ht="35.1" customHeight="1">
      <c r="A193" s="88"/>
      <c r="B193" s="46" t="s">
        <v>221</v>
      </c>
      <c r="C193" s="69" t="s">
        <v>73</v>
      </c>
      <c r="D193" s="66" t="s">
        <v>74</v>
      </c>
      <c r="E193" s="97">
        <v>0</v>
      </c>
      <c r="F193" s="98">
        <v>0</v>
      </c>
      <c r="G193" s="98">
        <v>0</v>
      </c>
      <c r="H193" s="98">
        <v>0</v>
      </c>
      <c r="I193" s="98">
        <v>0</v>
      </c>
      <c r="J193" s="98">
        <v>0</v>
      </c>
      <c r="K193" s="98">
        <v>0</v>
      </c>
      <c r="L193" s="98">
        <v>2331.8200000000002</v>
      </c>
      <c r="M193" s="98">
        <v>0</v>
      </c>
      <c r="N193" s="98">
        <v>0</v>
      </c>
      <c r="O193" s="98">
        <v>0</v>
      </c>
      <c r="P193" s="98">
        <v>1912632.96</v>
      </c>
      <c r="Q193" s="98">
        <v>0</v>
      </c>
      <c r="R193" s="98">
        <v>0</v>
      </c>
      <c r="S193" s="98">
        <v>0</v>
      </c>
      <c r="T193" s="98">
        <v>0</v>
      </c>
      <c r="U193" s="98">
        <v>0</v>
      </c>
      <c r="V193" s="98">
        <v>0</v>
      </c>
      <c r="W193" s="98">
        <v>0</v>
      </c>
      <c r="X193" s="98">
        <v>692.58</v>
      </c>
      <c r="Y193" s="51">
        <f>SUM(E193:X193)</f>
        <v>1915657.36</v>
      </c>
      <c r="Z193" s="100"/>
    </row>
    <row r="194" spans="1:33" s="29" customFormat="1" ht="35.1" customHeight="1">
      <c r="A194" s="88"/>
      <c r="B194" s="46"/>
      <c r="C194" s="96" t="s">
        <v>215</v>
      </c>
      <c r="D194" s="71"/>
      <c r="E194" s="27">
        <f t="shared" ref="E194:Y194" si="85">SUM(E195)</f>
        <v>0</v>
      </c>
      <c r="F194" s="28">
        <f t="shared" si="85"/>
        <v>0</v>
      </c>
      <c r="G194" s="28">
        <f t="shared" si="85"/>
        <v>0</v>
      </c>
      <c r="H194" s="28">
        <f t="shared" si="85"/>
        <v>0</v>
      </c>
      <c r="I194" s="28">
        <f t="shared" si="85"/>
        <v>0</v>
      </c>
      <c r="J194" s="28">
        <f t="shared" si="85"/>
        <v>0</v>
      </c>
      <c r="K194" s="28">
        <f t="shared" si="85"/>
        <v>3390.99</v>
      </c>
      <c r="L194" s="28">
        <f t="shared" si="85"/>
        <v>0</v>
      </c>
      <c r="M194" s="28">
        <f t="shared" si="85"/>
        <v>0</v>
      </c>
      <c r="N194" s="28">
        <f t="shared" si="85"/>
        <v>0</v>
      </c>
      <c r="O194" s="28">
        <f t="shared" si="85"/>
        <v>0</v>
      </c>
      <c r="P194" s="28">
        <f t="shared" si="85"/>
        <v>0</v>
      </c>
      <c r="Q194" s="28">
        <f t="shared" si="85"/>
        <v>0</v>
      </c>
      <c r="R194" s="28">
        <f t="shared" si="85"/>
        <v>0</v>
      </c>
      <c r="S194" s="28">
        <f t="shared" si="85"/>
        <v>0</v>
      </c>
      <c r="T194" s="28">
        <f t="shared" si="85"/>
        <v>0</v>
      </c>
      <c r="U194" s="28">
        <f t="shared" si="85"/>
        <v>0</v>
      </c>
      <c r="V194" s="28">
        <f t="shared" si="85"/>
        <v>8186.9</v>
      </c>
      <c r="W194" s="28">
        <f t="shared" si="85"/>
        <v>0</v>
      </c>
      <c r="X194" s="28">
        <f t="shared" si="85"/>
        <v>0</v>
      </c>
      <c r="Y194" s="28">
        <f t="shared" si="85"/>
        <v>11577.89</v>
      </c>
      <c r="Z194" s="87"/>
      <c r="AA194" s="30"/>
      <c r="AG194" s="30"/>
    </row>
    <row r="195" spans="1:33" ht="35.1" customHeight="1">
      <c r="A195" s="88"/>
      <c r="B195" s="46" t="s">
        <v>221</v>
      </c>
      <c r="C195" s="69" t="s">
        <v>79</v>
      </c>
      <c r="D195" s="66" t="s">
        <v>80</v>
      </c>
      <c r="E195" s="97">
        <v>0</v>
      </c>
      <c r="F195" s="98">
        <v>0</v>
      </c>
      <c r="G195" s="98">
        <v>0</v>
      </c>
      <c r="H195" s="98">
        <v>0</v>
      </c>
      <c r="I195" s="98">
        <v>0</v>
      </c>
      <c r="J195" s="98">
        <v>0</v>
      </c>
      <c r="K195" s="98">
        <v>3390.99</v>
      </c>
      <c r="L195" s="98">
        <v>0</v>
      </c>
      <c r="M195" s="98">
        <v>0</v>
      </c>
      <c r="N195" s="98">
        <v>0</v>
      </c>
      <c r="O195" s="98">
        <v>0</v>
      </c>
      <c r="P195" s="98">
        <v>0</v>
      </c>
      <c r="Q195" s="98">
        <v>0</v>
      </c>
      <c r="R195" s="98">
        <v>0</v>
      </c>
      <c r="S195" s="98">
        <v>0</v>
      </c>
      <c r="T195" s="98">
        <v>0</v>
      </c>
      <c r="U195" s="98">
        <v>0</v>
      </c>
      <c r="V195" s="98">
        <v>8186.9</v>
      </c>
      <c r="W195" s="98">
        <v>0</v>
      </c>
      <c r="X195" s="98">
        <v>0</v>
      </c>
      <c r="Y195" s="51">
        <f>SUM(E195:X195)</f>
        <v>11577.89</v>
      </c>
      <c r="Z195" s="100"/>
    </row>
    <row r="196" spans="1:33" s="29" customFormat="1" ht="35.1" customHeight="1">
      <c r="A196" s="88"/>
      <c r="B196" s="59" t="s">
        <v>81</v>
      </c>
      <c r="C196" s="94" t="s">
        <v>82</v>
      </c>
      <c r="D196" s="95"/>
      <c r="E196" s="62">
        <f t="shared" ref="E196:Y196" si="86">SUM(E197:E200)</f>
        <v>0</v>
      </c>
      <c r="F196" s="63">
        <f>SUM(F197:F200)</f>
        <v>0</v>
      </c>
      <c r="G196" s="63">
        <f t="shared" si="86"/>
        <v>0</v>
      </c>
      <c r="H196" s="63">
        <f t="shared" si="86"/>
        <v>6944.7</v>
      </c>
      <c r="I196" s="63">
        <f t="shared" si="86"/>
        <v>0</v>
      </c>
      <c r="J196" s="63">
        <f t="shared" si="86"/>
        <v>0</v>
      </c>
      <c r="K196" s="63">
        <f t="shared" si="86"/>
        <v>0</v>
      </c>
      <c r="L196" s="63">
        <f t="shared" si="86"/>
        <v>0</v>
      </c>
      <c r="M196" s="63">
        <f t="shared" si="86"/>
        <v>0</v>
      </c>
      <c r="N196" s="63">
        <f t="shared" si="86"/>
        <v>53664.73</v>
      </c>
      <c r="O196" s="63">
        <f t="shared" si="86"/>
        <v>0</v>
      </c>
      <c r="P196" s="63">
        <f t="shared" si="86"/>
        <v>0</v>
      </c>
      <c r="Q196" s="63">
        <f t="shared" si="86"/>
        <v>0</v>
      </c>
      <c r="R196" s="63">
        <f t="shared" si="86"/>
        <v>0</v>
      </c>
      <c r="S196" s="63">
        <f t="shared" si="86"/>
        <v>0</v>
      </c>
      <c r="T196" s="63">
        <f t="shared" si="86"/>
        <v>0</v>
      </c>
      <c r="U196" s="63">
        <f t="shared" si="86"/>
        <v>0</v>
      </c>
      <c r="V196" s="63">
        <f t="shared" si="86"/>
        <v>0</v>
      </c>
      <c r="W196" s="63">
        <f t="shared" si="86"/>
        <v>0</v>
      </c>
      <c r="X196" s="63">
        <f t="shared" si="86"/>
        <v>66410.210000000006</v>
      </c>
      <c r="Y196" s="63">
        <f t="shared" si="86"/>
        <v>127019.64</v>
      </c>
      <c r="Z196" s="87"/>
      <c r="AA196" s="30"/>
      <c r="AG196" s="30"/>
    </row>
    <row r="197" spans="1:33" ht="35.1" customHeight="1">
      <c r="A197" s="86" t="s">
        <v>209</v>
      </c>
      <c r="B197" s="46" t="s">
        <v>221</v>
      </c>
      <c r="C197" s="69" t="s">
        <v>95</v>
      </c>
      <c r="D197" s="66" t="s">
        <v>96</v>
      </c>
      <c r="E197" s="97">
        <v>0</v>
      </c>
      <c r="F197" s="98">
        <v>0</v>
      </c>
      <c r="G197" s="98">
        <v>0</v>
      </c>
      <c r="H197" s="98">
        <v>0</v>
      </c>
      <c r="I197" s="98">
        <v>0</v>
      </c>
      <c r="J197" s="98">
        <v>0</v>
      </c>
      <c r="K197" s="98">
        <v>0</v>
      </c>
      <c r="L197" s="98">
        <v>0</v>
      </c>
      <c r="M197" s="98">
        <v>0</v>
      </c>
      <c r="N197" s="98">
        <v>53664.73</v>
      </c>
      <c r="O197" s="98">
        <v>0</v>
      </c>
      <c r="P197" s="98">
        <v>0</v>
      </c>
      <c r="Q197" s="98">
        <v>0</v>
      </c>
      <c r="R197" s="98">
        <v>0</v>
      </c>
      <c r="S197" s="98">
        <v>0</v>
      </c>
      <c r="T197" s="98">
        <v>0</v>
      </c>
      <c r="U197" s="98">
        <v>0</v>
      </c>
      <c r="V197" s="98">
        <v>0</v>
      </c>
      <c r="W197" s="98">
        <v>0</v>
      </c>
      <c r="X197" s="98">
        <v>66410.210000000006</v>
      </c>
      <c r="Y197" s="51">
        <f>SUM(E197:X197)</f>
        <v>120074.94</v>
      </c>
      <c r="Z197" s="100"/>
    </row>
    <row r="198" spans="1:33" ht="35.1" customHeight="1">
      <c r="A198" s="88"/>
      <c r="B198" s="46" t="s">
        <v>221</v>
      </c>
      <c r="C198" s="69" t="s">
        <v>85</v>
      </c>
      <c r="D198" s="66" t="s">
        <v>86</v>
      </c>
      <c r="E198" s="97">
        <v>0</v>
      </c>
      <c r="F198" s="98">
        <v>0</v>
      </c>
      <c r="G198" s="98">
        <v>0</v>
      </c>
      <c r="H198" s="98">
        <v>0</v>
      </c>
      <c r="I198" s="98">
        <v>0</v>
      </c>
      <c r="J198" s="98">
        <v>0</v>
      </c>
      <c r="K198" s="98">
        <v>0</v>
      </c>
      <c r="L198" s="98">
        <v>0</v>
      </c>
      <c r="M198" s="98">
        <v>0</v>
      </c>
      <c r="N198" s="98">
        <v>0</v>
      </c>
      <c r="O198" s="98">
        <v>0</v>
      </c>
      <c r="P198" s="98">
        <v>0</v>
      </c>
      <c r="Q198" s="98">
        <v>0</v>
      </c>
      <c r="R198" s="98">
        <v>0</v>
      </c>
      <c r="S198" s="98">
        <v>0</v>
      </c>
      <c r="T198" s="98">
        <v>0</v>
      </c>
      <c r="U198" s="98">
        <v>0</v>
      </c>
      <c r="V198" s="98">
        <v>0</v>
      </c>
      <c r="W198" s="98">
        <v>0</v>
      </c>
      <c r="X198" s="98">
        <v>0</v>
      </c>
      <c r="Y198" s="51">
        <f>SUM(E198:X198)</f>
        <v>0</v>
      </c>
      <c r="Z198" s="100"/>
    </row>
    <row r="199" spans="1:33" ht="35.1" customHeight="1">
      <c r="A199" s="88"/>
      <c r="B199" s="46" t="s">
        <v>221</v>
      </c>
      <c r="C199" s="69" t="s">
        <v>89</v>
      </c>
      <c r="D199" s="66" t="s">
        <v>90</v>
      </c>
      <c r="E199" s="97">
        <v>0</v>
      </c>
      <c r="F199" s="98">
        <v>0</v>
      </c>
      <c r="G199" s="98">
        <v>0</v>
      </c>
      <c r="H199" s="98">
        <v>6944.7</v>
      </c>
      <c r="I199" s="98">
        <v>0</v>
      </c>
      <c r="J199" s="98">
        <v>0</v>
      </c>
      <c r="K199" s="98">
        <v>0</v>
      </c>
      <c r="L199" s="98">
        <v>0</v>
      </c>
      <c r="M199" s="98">
        <v>0</v>
      </c>
      <c r="N199" s="98">
        <v>0</v>
      </c>
      <c r="O199" s="98">
        <v>0</v>
      </c>
      <c r="P199" s="98">
        <v>0</v>
      </c>
      <c r="Q199" s="98">
        <v>0</v>
      </c>
      <c r="R199" s="98">
        <v>0</v>
      </c>
      <c r="S199" s="98">
        <v>0</v>
      </c>
      <c r="T199" s="98">
        <v>0</v>
      </c>
      <c r="U199" s="98">
        <v>0</v>
      </c>
      <c r="V199" s="98">
        <v>0</v>
      </c>
      <c r="W199" s="98">
        <v>0</v>
      </c>
      <c r="X199" s="98">
        <v>0</v>
      </c>
      <c r="Y199" s="51">
        <f>SUM(E199:X199)</f>
        <v>6944.7</v>
      </c>
      <c r="Z199" s="100"/>
    </row>
    <row r="200" spans="1:33" ht="35.1" customHeight="1">
      <c r="A200" s="88"/>
      <c r="B200" s="46" t="s">
        <v>221</v>
      </c>
      <c r="C200" s="69" t="s">
        <v>91</v>
      </c>
      <c r="D200" s="66" t="s">
        <v>92</v>
      </c>
      <c r="E200" s="97">
        <v>0</v>
      </c>
      <c r="F200" s="98">
        <v>0</v>
      </c>
      <c r="G200" s="98">
        <v>0</v>
      </c>
      <c r="H200" s="98">
        <v>0</v>
      </c>
      <c r="I200" s="98">
        <v>0</v>
      </c>
      <c r="J200" s="98">
        <v>0</v>
      </c>
      <c r="K200" s="98">
        <v>0</v>
      </c>
      <c r="L200" s="98">
        <v>0</v>
      </c>
      <c r="M200" s="98">
        <v>0</v>
      </c>
      <c r="N200" s="98">
        <v>0</v>
      </c>
      <c r="O200" s="98">
        <v>0</v>
      </c>
      <c r="P200" s="98">
        <v>0</v>
      </c>
      <c r="Q200" s="98">
        <v>0</v>
      </c>
      <c r="R200" s="98">
        <v>0</v>
      </c>
      <c r="S200" s="98">
        <v>0</v>
      </c>
      <c r="T200" s="98">
        <v>0</v>
      </c>
      <c r="U200" s="98">
        <v>0</v>
      </c>
      <c r="V200" s="98">
        <v>0</v>
      </c>
      <c r="W200" s="98">
        <v>0</v>
      </c>
      <c r="X200" s="98">
        <v>0</v>
      </c>
      <c r="Y200" s="51">
        <f>SUM(E200:X200)</f>
        <v>0</v>
      </c>
      <c r="Z200" s="100"/>
    </row>
    <row r="201" spans="1:33" s="29" customFormat="1" ht="35.1" customHeight="1">
      <c r="A201" s="88"/>
      <c r="B201" s="59" t="s">
        <v>97</v>
      </c>
      <c r="C201" s="94" t="s">
        <v>98</v>
      </c>
      <c r="D201" s="95"/>
      <c r="E201" s="62">
        <f t="shared" ref="E201:Y201" si="87">SUM(E202:E205)</f>
        <v>0</v>
      </c>
      <c r="F201" s="63">
        <f t="shared" si="87"/>
        <v>12681.359999999999</v>
      </c>
      <c r="G201" s="63">
        <f t="shared" si="87"/>
        <v>2429.2399999999998</v>
      </c>
      <c r="H201" s="63">
        <f t="shared" si="87"/>
        <v>270143.87</v>
      </c>
      <c r="I201" s="63">
        <f t="shared" si="87"/>
        <v>44904.93</v>
      </c>
      <c r="J201" s="63">
        <f t="shared" si="87"/>
        <v>12559.2</v>
      </c>
      <c r="K201" s="63">
        <f t="shared" si="87"/>
        <v>10547.8</v>
      </c>
      <c r="L201" s="63">
        <f t="shared" si="87"/>
        <v>1536.39</v>
      </c>
      <c r="M201" s="63">
        <f t="shared" si="87"/>
        <v>106.41</v>
      </c>
      <c r="N201" s="63">
        <f t="shared" si="87"/>
        <v>0</v>
      </c>
      <c r="O201" s="63">
        <f t="shared" si="87"/>
        <v>5371.25</v>
      </c>
      <c r="P201" s="63">
        <f t="shared" si="87"/>
        <v>0</v>
      </c>
      <c r="Q201" s="63">
        <f t="shared" si="87"/>
        <v>419.58</v>
      </c>
      <c r="R201" s="63">
        <f t="shared" si="87"/>
        <v>0</v>
      </c>
      <c r="S201" s="63">
        <f t="shared" si="87"/>
        <v>0</v>
      </c>
      <c r="T201" s="63">
        <f t="shared" si="87"/>
        <v>0</v>
      </c>
      <c r="U201" s="63">
        <f t="shared" si="87"/>
        <v>5496.97</v>
      </c>
      <c r="V201" s="63">
        <f t="shared" si="87"/>
        <v>0</v>
      </c>
      <c r="W201" s="63">
        <f t="shared" si="87"/>
        <v>0</v>
      </c>
      <c r="X201" s="63">
        <f t="shared" si="87"/>
        <v>0</v>
      </c>
      <c r="Y201" s="63">
        <f t="shared" si="87"/>
        <v>366197.00000000006</v>
      </c>
      <c r="Z201" s="87"/>
      <c r="AA201" s="30"/>
      <c r="AG201" s="30"/>
    </row>
    <row r="202" spans="1:33" ht="35.1" customHeight="1">
      <c r="A202" s="88"/>
      <c r="B202" s="46" t="s">
        <v>221</v>
      </c>
      <c r="C202" s="69" t="s">
        <v>101</v>
      </c>
      <c r="D202" s="66" t="s">
        <v>102</v>
      </c>
      <c r="E202" s="97">
        <v>0</v>
      </c>
      <c r="F202" s="98">
        <v>0</v>
      </c>
      <c r="G202" s="98">
        <v>0</v>
      </c>
      <c r="H202" s="98">
        <v>270143.87</v>
      </c>
      <c r="I202" s="98">
        <v>0</v>
      </c>
      <c r="J202" s="98">
        <v>12559.2</v>
      </c>
      <c r="K202" s="98">
        <v>0</v>
      </c>
      <c r="L202" s="98">
        <v>1536.39</v>
      </c>
      <c r="M202" s="98">
        <v>0</v>
      </c>
      <c r="N202" s="98">
        <v>0</v>
      </c>
      <c r="O202" s="98">
        <v>0</v>
      </c>
      <c r="P202" s="98">
        <v>0</v>
      </c>
      <c r="Q202" s="98">
        <v>0</v>
      </c>
      <c r="R202" s="98">
        <v>0</v>
      </c>
      <c r="S202" s="98">
        <v>0</v>
      </c>
      <c r="T202" s="98">
        <v>0</v>
      </c>
      <c r="U202" s="98">
        <v>0</v>
      </c>
      <c r="V202" s="98">
        <v>0</v>
      </c>
      <c r="W202" s="98">
        <v>0</v>
      </c>
      <c r="X202" s="50">
        <v>0</v>
      </c>
      <c r="Y202" s="51">
        <f>SUM(E202:X202)</f>
        <v>284239.46000000002</v>
      </c>
      <c r="Z202" s="100"/>
      <c r="AA202" s="43">
        <v>257364</v>
      </c>
      <c r="AB202" s="10">
        <f>+Y202-AA202</f>
        <v>26875.460000000021</v>
      </c>
      <c r="AC202" s="44" t="s">
        <v>6</v>
      </c>
      <c r="AD202" s="45">
        <v>13</v>
      </c>
      <c r="AF202" s="10">
        <v>255538</v>
      </c>
      <c r="AG202" s="9">
        <v>259512</v>
      </c>
    </row>
    <row r="203" spans="1:33" ht="35.1" customHeight="1">
      <c r="A203" s="88"/>
      <c r="B203" s="46" t="s">
        <v>221</v>
      </c>
      <c r="C203" s="69" t="s">
        <v>104</v>
      </c>
      <c r="D203" s="66" t="s">
        <v>105</v>
      </c>
      <c r="E203" s="97">
        <v>0</v>
      </c>
      <c r="F203" s="98">
        <v>124.9</v>
      </c>
      <c r="G203" s="98">
        <v>0</v>
      </c>
      <c r="H203" s="98">
        <v>0</v>
      </c>
      <c r="I203" s="98">
        <v>29839.5</v>
      </c>
      <c r="J203" s="98">
        <v>0</v>
      </c>
      <c r="K203" s="98">
        <v>0</v>
      </c>
      <c r="L203" s="98">
        <v>0</v>
      </c>
      <c r="M203" s="98">
        <v>0</v>
      </c>
      <c r="N203" s="98">
        <v>0</v>
      </c>
      <c r="O203" s="98">
        <v>0</v>
      </c>
      <c r="P203" s="98">
        <v>0</v>
      </c>
      <c r="Q203" s="98">
        <v>0</v>
      </c>
      <c r="R203" s="98">
        <v>0</v>
      </c>
      <c r="S203" s="98">
        <v>0</v>
      </c>
      <c r="T203" s="98">
        <v>0</v>
      </c>
      <c r="U203" s="98">
        <v>1113.22</v>
      </c>
      <c r="V203" s="98">
        <v>0</v>
      </c>
      <c r="W203" s="98">
        <v>0</v>
      </c>
      <c r="X203" s="98">
        <v>0</v>
      </c>
      <c r="Y203" s="51">
        <f>SUM(E203:X203)</f>
        <v>31077.620000000003</v>
      </c>
      <c r="Z203" s="100"/>
    </row>
    <row r="204" spans="1:33" ht="35.1" customHeight="1">
      <c r="A204" s="88"/>
      <c r="B204" s="46" t="s">
        <v>221</v>
      </c>
      <c r="C204" s="69" t="s">
        <v>106</v>
      </c>
      <c r="D204" s="66" t="s">
        <v>107</v>
      </c>
      <c r="E204" s="97">
        <v>0</v>
      </c>
      <c r="F204" s="98">
        <v>0</v>
      </c>
      <c r="G204" s="98">
        <v>0</v>
      </c>
      <c r="H204" s="98">
        <v>0</v>
      </c>
      <c r="I204" s="98">
        <v>15065.43</v>
      </c>
      <c r="J204" s="98">
        <v>0</v>
      </c>
      <c r="K204" s="98">
        <v>0</v>
      </c>
      <c r="L204" s="98">
        <v>0</v>
      </c>
      <c r="M204" s="98">
        <v>0</v>
      </c>
      <c r="N204" s="98">
        <v>0</v>
      </c>
      <c r="O204" s="98">
        <v>3301.71</v>
      </c>
      <c r="P204" s="98">
        <v>0</v>
      </c>
      <c r="Q204" s="98">
        <v>0</v>
      </c>
      <c r="R204" s="98">
        <v>0</v>
      </c>
      <c r="S204" s="98">
        <v>0</v>
      </c>
      <c r="T204" s="98">
        <v>0</v>
      </c>
      <c r="U204" s="98">
        <v>4383.75</v>
      </c>
      <c r="V204" s="98">
        <v>0</v>
      </c>
      <c r="W204" s="98">
        <v>0</v>
      </c>
      <c r="X204" s="98">
        <v>0</v>
      </c>
      <c r="Y204" s="51">
        <f>SUM(E204:X204)</f>
        <v>22750.89</v>
      </c>
      <c r="Z204" s="100"/>
    </row>
    <row r="205" spans="1:33" ht="35.1" customHeight="1">
      <c r="A205" s="88"/>
      <c r="B205" s="46" t="s">
        <v>221</v>
      </c>
      <c r="C205" s="69" t="s">
        <v>108</v>
      </c>
      <c r="D205" s="66" t="s">
        <v>109</v>
      </c>
      <c r="E205" s="97">
        <v>0</v>
      </c>
      <c r="F205" s="98">
        <v>12556.46</v>
      </c>
      <c r="G205" s="98">
        <v>2429.2399999999998</v>
      </c>
      <c r="H205" s="98">
        <v>0</v>
      </c>
      <c r="I205" s="98">
        <v>0</v>
      </c>
      <c r="J205" s="98">
        <v>0</v>
      </c>
      <c r="K205" s="98">
        <v>10547.8</v>
      </c>
      <c r="L205" s="98">
        <v>0</v>
      </c>
      <c r="M205" s="98">
        <v>106.41</v>
      </c>
      <c r="N205" s="98">
        <v>0</v>
      </c>
      <c r="O205" s="98">
        <v>2069.54</v>
      </c>
      <c r="P205" s="98">
        <v>0</v>
      </c>
      <c r="Q205" s="98">
        <v>419.58</v>
      </c>
      <c r="R205" s="98">
        <v>0</v>
      </c>
      <c r="S205" s="98">
        <v>0</v>
      </c>
      <c r="T205" s="98">
        <v>0</v>
      </c>
      <c r="U205" s="98">
        <v>0</v>
      </c>
      <c r="V205" s="98">
        <v>0</v>
      </c>
      <c r="W205" s="98">
        <v>0</v>
      </c>
      <c r="X205" s="98">
        <v>0</v>
      </c>
      <c r="Y205" s="51">
        <f>SUM(E205:X205)</f>
        <v>28129.030000000002</v>
      </c>
      <c r="Z205" s="100"/>
    </row>
    <row r="206" spans="1:33" s="29" customFormat="1" ht="35.1" customHeight="1">
      <c r="A206" s="88"/>
      <c r="B206" s="59" t="s">
        <v>153</v>
      </c>
      <c r="C206" s="94" t="s">
        <v>154</v>
      </c>
      <c r="D206" s="95"/>
      <c r="E206" s="62">
        <f t="shared" ref="E206:Y206" si="88">SUM(E207:E214)</f>
        <v>0</v>
      </c>
      <c r="F206" s="63">
        <f>SUM(F207:F214)</f>
        <v>124502.86</v>
      </c>
      <c r="G206" s="63">
        <f t="shared" si="88"/>
        <v>11746.46</v>
      </c>
      <c r="H206" s="63">
        <f t="shared" si="88"/>
        <v>74281.23</v>
      </c>
      <c r="I206" s="63">
        <f t="shared" si="88"/>
        <v>0</v>
      </c>
      <c r="J206" s="63">
        <f t="shared" si="88"/>
        <v>0</v>
      </c>
      <c r="K206" s="63">
        <f t="shared" si="88"/>
        <v>0</v>
      </c>
      <c r="L206" s="63">
        <f t="shared" si="88"/>
        <v>4155.7</v>
      </c>
      <c r="M206" s="63">
        <f t="shared" si="88"/>
        <v>0</v>
      </c>
      <c r="N206" s="63">
        <f t="shared" si="88"/>
        <v>0</v>
      </c>
      <c r="O206" s="63">
        <f t="shared" si="88"/>
        <v>7638.24</v>
      </c>
      <c r="P206" s="63">
        <f t="shared" si="88"/>
        <v>27073.850000000002</v>
      </c>
      <c r="Q206" s="63">
        <f t="shared" si="88"/>
        <v>0</v>
      </c>
      <c r="R206" s="63">
        <f t="shared" si="88"/>
        <v>7405</v>
      </c>
      <c r="S206" s="63">
        <f t="shared" si="88"/>
        <v>0</v>
      </c>
      <c r="T206" s="63">
        <f t="shared" si="88"/>
        <v>12669.75</v>
      </c>
      <c r="U206" s="63">
        <f t="shared" si="88"/>
        <v>0</v>
      </c>
      <c r="V206" s="63">
        <f t="shared" si="88"/>
        <v>0</v>
      </c>
      <c r="W206" s="63">
        <f t="shared" si="88"/>
        <v>0</v>
      </c>
      <c r="X206" s="63">
        <f t="shared" si="88"/>
        <v>0</v>
      </c>
      <c r="Y206" s="63">
        <f t="shared" si="88"/>
        <v>269473.08999999997</v>
      </c>
      <c r="Z206" s="87"/>
      <c r="AA206" s="30"/>
      <c r="AG206" s="30"/>
    </row>
    <row r="207" spans="1:33" ht="35.1" customHeight="1">
      <c r="A207" s="86" t="s">
        <v>209</v>
      </c>
      <c r="B207" s="46" t="s">
        <v>221</v>
      </c>
      <c r="C207" s="69" t="s">
        <v>155</v>
      </c>
      <c r="D207" s="66" t="s">
        <v>156</v>
      </c>
      <c r="E207" s="97">
        <v>0</v>
      </c>
      <c r="F207" s="98">
        <v>3507.53</v>
      </c>
      <c r="G207" s="98">
        <v>0</v>
      </c>
      <c r="H207" s="98">
        <v>57125.88</v>
      </c>
      <c r="I207" s="98">
        <v>0</v>
      </c>
      <c r="J207" s="98">
        <v>0</v>
      </c>
      <c r="K207" s="98">
        <v>0</v>
      </c>
      <c r="L207" s="98">
        <v>396.87</v>
      </c>
      <c r="M207" s="98">
        <v>0</v>
      </c>
      <c r="N207" s="98">
        <v>0</v>
      </c>
      <c r="O207" s="98">
        <v>7638.24</v>
      </c>
      <c r="P207" s="98">
        <v>5420.95</v>
      </c>
      <c r="Q207" s="98">
        <v>0</v>
      </c>
      <c r="R207" s="98">
        <v>0</v>
      </c>
      <c r="S207" s="98">
        <v>0</v>
      </c>
      <c r="T207" s="98">
        <v>12669.75</v>
      </c>
      <c r="U207" s="98">
        <v>0</v>
      </c>
      <c r="V207" s="98">
        <v>0</v>
      </c>
      <c r="W207" s="98">
        <v>0</v>
      </c>
      <c r="X207" s="98">
        <v>0</v>
      </c>
      <c r="Y207" s="51">
        <f t="shared" ref="Y207:Y214" si="89">SUM(E207:X207)</f>
        <v>86759.22</v>
      </c>
      <c r="Z207" s="100"/>
    </row>
    <row r="208" spans="1:33" ht="35.1" customHeight="1">
      <c r="A208" s="88"/>
      <c r="B208" s="46" t="s">
        <v>221</v>
      </c>
      <c r="C208" s="69" t="s">
        <v>157</v>
      </c>
      <c r="D208" s="66" t="s">
        <v>158</v>
      </c>
      <c r="E208" s="97">
        <v>0</v>
      </c>
      <c r="F208" s="98">
        <v>0</v>
      </c>
      <c r="G208" s="98">
        <v>0</v>
      </c>
      <c r="H208" s="98">
        <v>0</v>
      </c>
      <c r="I208" s="98">
        <v>0</v>
      </c>
      <c r="J208" s="98">
        <v>0</v>
      </c>
      <c r="K208" s="98">
        <v>0</v>
      </c>
      <c r="L208" s="98">
        <v>0</v>
      </c>
      <c r="M208" s="98">
        <v>0</v>
      </c>
      <c r="N208" s="98">
        <v>0</v>
      </c>
      <c r="O208" s="98">
        <v>0</v>
      </c>
      <c r="P208" s="98">
        <v>0</v>
      </c>
      <c r="Q208" s="98">
        <v>0</v>
      </c>
      <c r="R208" s="98">
        <v>0</v>
      </c>
      <c r="S208" s="98">
        <v>0</v>
      </c>
      <c r="T208" s="98">
        <v>0</v>
      </c>
      <c r="U208" s="98">
        <v>0</v>
      </c>
      <c r="V208" s="98">
        <v>0</v>
      </c>
      <c r="W208" s="98">
        <v>0</v>
      </c>
      <c r="X208" s="98">
        <v>0</v>
      </c>
      <c r="Y208" s="51">
        <f t="shared" si="89"/>
        <v>0</v>
      </c>
      <c r="Z208" s="100"/>
    </row>
    <row r="209" spans="1:33" ht="35.1" customHeight="1">
      <c r="A209" s="88"/>
      <c r="B209" s="46" t="s">
        <v>221</v>
      </c>
      <c r="C209" s="69" t="s">
        <v>159</v>
      </c>
      <c r="D209" s="66" t="s">
        <v>160</v>
      </c>
      <c r="E209" s="97">
        <v>0</v>
      </c>
      <c r="F209" s="98">
        <v>0</v>
      </c>
      <c r="G209" s="98">
        <v>0</v>
      </c>
      <c r="H209" s="98">
        <v>16105.35</v>
      </c>
      <c r="I209" s="98">
        <v>0</v>
      </c>
      <c r="J209" s="98">
        <v>0</v>
      </c>
      <c r="K209" s="98">
        <v>0</v>
      </c>
      <c r="L209" s="98">
        <v>847.65</v>
      </c>
      <c r="M209" s="98">
        <v>0</v>
      </c>
      <c r="N209" s="98">
        <v>0</v>
      </c>
      <c r="O209" s="98">
        <v>0</v>
      </c>
      <c r="P209" s="98">
        <v>0</v>
      </c>
      <c r="Q209" s="98">
        <v>0</v>
      </c>
      <c r="R209" s="98">
        <v>0</v>
      </c>
      <c r="S209" s="98">
        <v>0</v>
      </c>
      <c r="T209" s="98">
        <v>0</v>
      </c>
      <c r="U209" s="98">
        <v>0</v>
      </c>
      <c r="V209" s="98">
        <v>0</v>
      </c>
      <c r="W209" s="98">
        <v>0</v>
      </c>
      <c r="X209" s="98">
        <v>0</v>
      </c>
      <c r="Y209" s="51">
        <f t="shared" si="89"/>
        <v>16953</v>
      </c>
      <c r="Z209" s="100"/>
    </row>
    <row r="210" spans="1:33" ht="35.1" customHeight="1">
      <c r="A210" s="88"/>
      <c r="B210" s="46" t="s">
        <v>221</v>
      </c>
      <c r="C210" s="69" t="s">
        <v>161</v>
      </c>
      <c r="D210" s="66" t="s">
        <v>162</v>
      </c>
      <c r="E210" s="97"/>
      <c r="F210" s="98"/>
      <c r="G210" s="98"/>
      <c r="H210" s="98"/>
      <c r="I210" s="98"/>
      <c r="J210" s="98"/>
      <c r="K210" s="98"/>
      <c r="L210" s="98"/>
      <c r="M210" s="98"/>
      <c r="N210" s="98"/>
      <c r="O210" s="98"/>
      <c r="P210" s="98"/>
      <c r="Q210" s="98"/>
      <c r="R210" s="98"/>
      <c r="S210" s="98"/>
      <c r="T210" s="98"/>
      <c r="U210" s="98"/>
      <c r="V210" s="98"/>
      <c r="W210" s="98"/>
      <c r="X210" s="98"/>
      <c r="Y210" s="51"/>
      <c r="Z210" s="100"/>
    </row>
    <row r="211" spans="1:33" ht="35.1" customHeight="1">
      <c r="A211" s="88"/>
      <c r="B211" s="46" t="s">
        <v>221</v>
      </c>
      <c r="C211" s="69" t="s">
        <v>165</v>
      </c>
      <c r="D211" s="66" t="s">
        <v>166</v>
      </c>
      <c r="E211" s="97">
        <v>0</v>
      </c>
      <c r="F211" s="98">
        <v>0</v>
      </c>
      <c r="G211" s="98">
        <v>11746.46</v>
      </c>
      <c r="H211" s="98">
        <v>0</v>
      </c>
      <c r="I211" s="98">
        <v>0</v>
      </c>
      <c r="J211" s="98">
        <v>0</v>
      </c>
      <c r="K211" s="98">
        <v>0</v>
      </c>
      <c r="L211" s="98">
        <v>0</v>
      </c>
      <c r="M211" s="98">
        <v>0</v>
      </c>
      <c r="N211" s="98">
        <v>0</v>
      </c>
      <c r="O211" s="98">
        <v>0</v>
      </c>
      <c r="P211" s="98">
        <v>0</v>
      </c>
      <c r="Q211" s="98">
        <v>0</v>
      </c>
      <c r="R211" s="98">
        <v>0</v>
      </c>
      <c r="S211" s="98">
        <v>0</v>
      </c>
      <c r="T211" s="98">
        <v>0</v>
      </c>
      <c r="U211" s="98">
        <v>0</v>
      </c>
      <c r="V211" s="98">
        <v>0</v>
      </c>
      <c r="W211" s="98">
        <v>0</v>
      </c>
      <c r="X211" s="98">
        <v>0</v>
      </c>
      <c r="Y211" s="51">
        <f t="shared" si="89"/>
        <v>11746.46</v>
      </c>
      <c r="Z211" s="100"/>
    </row>
    <row r="212" spans="1:33" ht="35.1" customHeight="1">
      <c r="A212" s="88"/>
      <c r="B212" s="46" t="s">
        <v>221</v>
      </c>
      <c r="C212" s="69" t="s">
        <v>167</v>
      </c>
      <c r="D212" s="66" t="s">
        <v>168</v>
      </c>
      <c r="E212" s="97">
        <v>0</v>
      </c>
      <c r="F212" s="98">
        <v>0</v>
      </c>
      <c r="G212" s="98">
        <v>0</v>
      </c>
      <c r="H212" s="98">
        <v>0</v>
      </c>
      <c r="I212" s="98">
        <v>0</v>
      </c>
      <c r="J212" s="98">
        <v>0</v>
      </c>
      <c r="K212" s="98">
        <v>0</v>
      </c>
      <c r="L212" s="98">
        <v>0</v>
      </c>
      <c r="M212" s="98">
        <v>0</v>
      </c>
      <c r="N212" s="98">
        <v>0</v>
      </c>
      <c r="O212" s="98">
        <v>0</v>
      </c>
      <c r="P212" s="98">
        <v>0</v>
      </c>
      <c r="Q212" s="98">
        <v>0</v>
      </c>
      <c r="R212" s="98">
        <v>0</v>
      </c>
      <c r="S212" s="98">
        <v>0</v>
      </c>
      <c r="T212" s="98">
        <v>0</v>
      </c>
      <c r="U212" s="98">
        <v>0</v>
      </c>
      <c r="V212" s="98">
        <v>0</v>
      </c>
      <c r="W212" s="98">
        <v>0</v>
      </c>
      <c r="X212" s="98">
        <v>0</v>
      </c>
      <c r="Y212" s="51">
        <f t="shared" si="89"/>
        <v>0</v>
      </c>
      <c r="Z212" s="100"/>
    </row>
    <row r="213" spans="1:33" ht="35.1" customHeight="1">
      <c r="A213" s="88"/>
      <c r="B213" s="46" t="s">
        <v>221</v>
      </c>
      <c r="C213" s="69" t="s">
        <v>172</v>
      </c>
      <c r="D213" s="66" t="s">
        <v>173</v>
      </c>
      <c r="E213" s="97">
        <v>0</v>
      </c>
      <c r="F213" s="98">
        <v>120995.33</v>
      </c>
      <c r="G213" s="98">
        <v>0</v>
      </c>
      <c r="H213" s="98">
        <v>0</v>
      </c>
      <c r="I213" s="98">
        <v>0</v>
      </c>
      <c r="J213" s="98">
        <v>0</v>
      </c>
      <c r="K213" s="98">
        <v>0</v>
      </c>
      <c r="L213" s="98">
        <v>2911.18</v>
      </c>
      <c r="M213" s="98">
        <v>0</v>
      </c>
      <c r="N213" s="98">
        <v>0</v>
      </c>
      <c r="O213" s="98">
        <v>0</v>
      </c>
      <c r="P213" s="98">
        <v>21652.9</v>
      </c>
      <c r="Q213" s="98">
        <v>0</v>
      </c>
      <c r="R213" s="98">
        <v>0</v>
      </c>
      <c r="S213" s="98">
        <v>0</v>
      </c>
      <c r="T213" s="98">
        <v>0</v>
      </c>
      <c r="U213" s="98">
        <v>0</v>
      </c>
      <c r="V213" s="98">
        <v>0</v>
      </c>
      <c r="W213" s="98">
        <v>0</v>
      </c>
      <c r="X213" s="98">
        <v>0</v>
      </c>
      <c r="Y213" s="51">
        <f t="shared" si="89"/>
        <v>145559.41</v>
      </c>
      <c r="Z213" s="100"/>
    </row>
    <row r="214" spans="1:33" ht="35.1" customHeight="1">
      <c r="A214" s="88"/>
      <c r="B214" s="46" t="s">
        <v>221</v>
      </c>
      <c r="C214" s="69" t="s">
        <v>174</v>
      </c>
      <c r="D214" s="66" t="s">
        <v>175</v>
      </c>
      <c r="E214" s="97">
        <v>0</v>
      </c>
      <c r="F214" s="98">
        <v>0</v>
      </c>
      <c r="G214" s="98">
        <v>0</v>
      </c>
      <c r="H214" s="98">
        <v>1050</v>
      </c>
      <c r="I214" s="98">
        <v>0</v>
      </c>
      <c r="J214" s="98">
        <v>0</v>
      </c>
      <c r="K214" s="98">
        <v>0</v>
      </c>
      <c r="L214" s="98">
        <v>0</v>
      </c>
      <c r="M214" s="98">
        <v>0</v>
      </c>
      <c r="N214" s="98">
        <v>0</v>
      </c>
      <c r="O214" s="98">
        <v>0</v>
      </c>
      <c r="P214" s="98">
        <v>0</v>
      </c>
      <c r="Q214" s="98">
        <v>0</v>
      </c>
      <c r="R214" s="98">
        <v>7405</v>
      </c>
      <c r="S214" s="98">
        <v>0</v>
      </c>
      <c r="T214" s="98">
        <v>0</v>
      </c>
      <c r="U214" s="98">
        <v>0</v>
      </c>
      <c r="V214" s="98">
        <v>0</v>
      </c>
      <c r="W214" s="98">
        <v>0</v>
      </c>
      <c r="X214" s="98">
        <v>0</v>
      </c>
      <c r="Y214" s="51">
        <f t="shared" si="89"/>
        <v>8455</v>
      </c>
      <c r="Z214" s="100"/>
    </row>
    <row r="215" spans="1:33" s="29" customFormat="1" ht="35.1" customHeight="1">
      <c r="A215" s="88"/>
      <c r="B215" s="89" t="s">
        <v>222</v>
      </c>
      <c r="C215" s="90"/>
      <c r="D215" s="91"/>
      <c r="E215" s="107">
        <f t="shared" ref="E215:Y215" si="90">+E216+E219</f>
        <v>0</v>
      </c>
      <c r="F215" s="108">
        <f t="shared" si="90"/>
        <v>0</v>
      </c>
      <c r="G215" s="108">
        <f t="shared" si="90"/>
        <v>104998.62</v>
      </c>
      <c r="H215" s="108">
        <f t="shared" si="90"/>
        <v>113921.70999999999</v>
      </c>
      <c r="I215" s="108">
        <f t="shared" si="90"/>
        <v>0</v>
      </c>
      <c r="J215" s="108">
        <f t="shared" si="90"/>
        <v>0</v>
      </c>
      <c r="K215" s="108">
        <f t="shared" si="90"/>
        <v>0</v>
      </c>
      <c r="L215" s="108">
        <f t="shared" si="90"/>
        <v>26792.44</v>
      </c>
      <c r="M215" s="108">
        <f t="shared" si="90"/>
        <v>26359.52</v>
      </c>
      <c r="N215" s="108">
        <f t="shared" si="90"/>
        <v>0</v>
      </c>
      <c r="O215" s="108">
        <f t="shared" si="90"/>
        <v>152104.64000000001</v>
      </c>
      <c r="P215" s="108">
        <f t="shared" si="90"/>
        <v>64332.56</v>
      </c>
      <c r="Q215" s="108">
        <f t="shared" si="90"/>
        <v>98781.34</v>
      </c>
      <c r="R215" s="108">
        <f t="shared" si="90"/>
        <v>0</v>
      </c>
      <c r="S215" s="108">
        <f t="shared" si="90"/>
        <v>0</v>
      </c>
      <c r="T215" s="108">
        <f t="shared" si="90"/>
        <v>0</v>
      </c>
      <c r="U215" s="108">
        <f t="shared" si="90"/>
        <v>1388195.3399999999</v>
      </c>
      <c r="V215" s="108">
        <f t="shared" si="90"/>
        <v>116840.13</v>
      </c>
      <c r="W215" s="108">
        <f t="shared" si="90"/>
        <v>0</v>
      </c>
      <c r="X215" s="108">
        <f t="shared" si="90"/>
        <v>0</v>
      </c>
      <c r="Y215" s="93">
        <f t="shared" si="90"/>
        <v>2092326.2999999998</v>
      </c>
      <c r="Z215" s="87"/>
      <c r="AA215" s="30"/>
      <c r="AG215" s="30"/>
    </row>
    <row r="216" spans="1:33" s="29" customFormat="1" ht="35.1" customHeight="1">
      <c r="A216" s="88"/>
      <c r="B216" s="59" t="s">
        <v>97</v>
      </c>
      <c r="C216" s="94" t="s">
        <v>98</v>
      </c>
      <c r="D216" s="95"/>
      <c r="E216" s="62">
        <f t="shared" ref="E216:Y216" si="91">SUM(E217:E218)</f>
        <v>0</v>
      </c>
      <c r="F216" s="63">
        <f t="shared" si="91"/>
        <v>0</v>
      </c>
      <c r="G216" s="63">
        <f t="shared" si="91"/>
        <v>0</v>
      </c>
      <c r="H216" s="63">
        <f t="shared" si="91"/>
        <v>0</v>
      </c>
      <c r="I216" s="63">
        <f t="shared" si="91"/>
        <v>0</v>
      </c>
      <c r="J216" s="63">
        <f t="shared" si="91"/>
        <v>0</v>
      </c>
      <c r="K216" s="63">
        <f t="shared" si="91"/>
        <v>0</v>
      </c>
      <c r="L216" s="63">
        <f t="shared" si="91"/>
        <v>26676.39</v>
      </c>
      <c r="M216" s="63">
        <f t="shared" si="91"/>
        <v>0</v>
      </c>
      <c r="N216" s="63">
        <f t="shared" si="91"/>
        <v>0</v>
      </c>
      <c r="O216" s="63">
        <f t="shared" si="91"/>
        <v>2594.5</v>
      </c>
      <c r="P216" s="63">
        <f t="shared" si="91"/>
        <v>0</v>
      </c>
      <c r="Q216" s="63">
        <f t="shared" si="91"/>
        <v>0</v>
      </c>
      <c r="R216" s="63">
        <f t="shared" si="91"/>
        <v>0</v>
      </c>
      <c r="S216" s="63">
        <f t="shared" si="91"/>
        <v>0</v>
      </c>
      <c r="T216" s="63">
        <f t="shared" si="91"/>
        <v>0</v>
      </c>
      <c r="U216" s="63">
        <f t="shared" si="91"/>
        <v>25766.67</v>
      </c>
      <c r="V216" s="63">
        <f t="shared" si="91"/>
        <v>0</v>
      </c>
      <c r="W216" s="63">
        <f t="shared" si="91"/>
        <v>0</v>
      </c>
      <c r="X216" s="63">
        <f t="shared" si="91"/>
        <v>0</v>
      </c>
      <c r="Y216" s="63">
        <f t="shared" si="91"/>
        <v>55037.56</v>
      </c>
      <c r="Z216" s="87"/>
      <c r="AA216" s="30"/>
      <c r="AG216" s="30"/>
    </row>
    <row r="217" spans="1:33" ht="35.1" customHeight="1">
      <c r="A217" s="88"/>
      <c r="B217" s="46" t="s">
        <v>223</v>
      </c>
      <c r="C217" s="69" t="s">
        <v>104</v>
      </c>
      <c r="D217" s="66" t="s">
        <v>105</v>
      </c>
      <c r="E217" s="97">
        <v>0</v>
      </c>
      <c r="F217" s="98">
        <v>0</v>
      </c>
      <c r="G217" s="98">
        <v>0</v>
      </c>
      <c r="H217" s="98">
        <v>0</v>
      </c>
      <c r="I217" s="98">
        <v>0</v>
      </c>
      <c r="J217" s="98">
        <v>0</v>
      </c>
      <c r="K217" s="98">
        <v>0</v>
      </c>
      <c r="L217" s="98">
        <v>0</v>
      </c>
      <c r="M217" s="98">
        <v>0</v>
      </c>
      <c r="N217" s="98">
        <v>0</v>
      </c>
      <c r="O217" s="98">
        <v>0</v>
      </c>
      <c r="P217" s="98">
        <v>0</v>
      </c>
      <c r="Q217" s="98">
        <v>0</v>
      </c>
      <c r="R217" s="98">
        <v>0</v>
      </c>
      <c r="S217" s="98">
        <v>0</v>
      </c>
      <c r="T217" s="98">
        <v>0</v>
      </c>
      <c r="U217" s="98">
        <v>0</v>
      </c>
      <c r="V217" s="98">
        <v>0</v>
      </c>
      <c r="W217" s="98">
        <v>0</v>
      </c>
      <c r="X217" s="98">
        <v>0</v>
      </c>
      <c r="Y217" s="51">
        <f>SUM(E217:X217)</f>
        <v>0</v>
      </c>
      <c r="Z217" s="100"/>
    </row>
    <row r="218" spans="1:33" ht="35.1" customHeight="1">
      <c r="A218" s="86" t="s">
        <v>209</v>
      </c>
      <c r="B218" s="46" t="s">
        <v>223</v>
      </c>
      <c r="C218" s="69" t="s">
        <v>106</v>
      </c>
      <c r="D218" s="66" t="s">
        <v>107</v>
      </c>
      <c r="E218" s="97">
        <v>0</v>
      </c>
      <c r="F218" s="98">
        <v>0</v>
      </c>
      <c r="G218" s="98">
        <v>0</v>
      </c>
      <c r="H218" s="98">
        <v>0</v>
      </c>
      <c r="I218" s="98">
        <v>0</v>
      </c>
      <c r="J218" s="98">
        <v>0</v>
      </c>
      <c r="K218" s="98">
        <v>0</v>
      </c>
      <c r="L218" s="98">
        <v>26676.39</v>
      </c>
      <c r="M218" s="98">
        <v>0</v>
      </c>
      <c r="N218" s="98">
        <v>0</v>
      </c>
      <c r="O218" s="98">
        <v>2594.5</v>
      </c>
      <c r="P218" s="98">
        <v>0</v>
      </c>
      <c r="Q218" s="98">
        <v>0</v>
      </c>
      <c r="R218" s="98">
        <v>0</v>
      </c>
      <c r="S218" s="98">
        <v>0</v>
      </c>
      <c r="T218" s="98">
        <v>0</v>
      </c>
      <c r="U218" s="98">
        <v>25766.67</v>
      </c>
      <c r="V218" s="98">
        <v>0</v>
      </c>
      <c r="W218" s="98">
        <v>0</v>
      </c>
      <c r="X218" s="98">
        <v>0</v>
      </c>
      <c r="Y218" s="51">
        <f>SUM(E218:X218)</f>
        <v>55037.56</v>
      </c>
      <c r="Z218" s="100"/>
    </row>
    <row r="219" spans="1:33" s="29" customFormat="1" ht="35.1" customHeight="1">
      <c r="A219" s="88"/>
      <c r="B219" s="59" t="s">
        <v>153</v>
      </c>
      <c r="C219" s="94" t="s">
        <v>154</v>
      </c>
      <c r="D219" s="95"/>
      <c r="E219" s="62">
        <f t="shared" ref="E219:Y219" si="92">SUM(E220:E223)</f>
        <v>0</v>
      </c>
      <c r="F219" s="63">
        <f t="shared" si="92"/>
        <v>0</v>
      </c>
      <c r="G219" s="63">
        <f t="shared" si="92"/>
        <v>104998.62</v>
      </c>
      <c r="H219" s="63">
        <f t="shared" si="92"/>
        <v>113921.70999999999</v>
      </c>
      <c r="I219" s="63">
        <f t="shared" si="92"/>
        <v>0</v>
      </c>
      <c r="J219" s="63">
        <f t="shared" si="92"/>
        <v>0</v>
      </c>
      <c r="K219" s="63">
        <f t="shared" si="92"/>
        <v>0</v>
      </c>
      <c r="L219" s="63">
        <f t="shared" si="92"/>
        <v>116.05</v>
      </c>
      <c r="M219" s="63">
        <f t="shared" si="92"/>
        <v>26359.52</v>
      </c>
      <c r="N219" s="63">
        <f t="shared" si="92"/>
        <v>0</v>
      </c>
      <c r="O219" s="63">
        <f t="shared" si="92"/>
        <v>149510.14000000001</v>
      </c>
      <c r="P219" s="63">
        <f t="shared" si="92"/>
        <v>64332.56</v>
      </c>
      <c r="Q219" s="63">
        <f t="shared" si="92"/>
        <v>98781.34</v>
      </c>
      <c r="R219" s="63">
        <f t="shared" si="92"/>
        <v>0</v>
      </c>
      <c r="S219" s="63">
        <f t="shared" si="92"/>
        <v>0</v>
      </c>
      <c r="T219" s="63">
        <f t="shared" si="92"/>
        <v>0</v>
      </c>
      <c r="U219" s="63">
        <f t="shared" si="92"/>
        <v>1362428.67</v>
      </c>
      <c r="V219" s="63">
        <f t="shared" si="92"/>
        <v>116840.13</v>
      </c>
      <c r="W219" s="63">
        <f t="shared" si="92"/>
        <v>0</v>
      </c>
      <c r="X219" s="63">
        <f t="shared" si="92"/>
        <v>0</v>
      </c>
      <c r="Y219" s="63">
        <f t="shared" si="92"/>
        <v>2037288.7399999998</v>
      </c>
      <c r="Z219" s="87"/>
      <c r="AA219" s="30"/>
      <c r="AG219" s="30"/>
    </row>
    <row r="220" spans="1:33" ht="35.1" customHeight="1">
      <c r="A220" s="88"/>
      <c r="B220" s="46" t="s">
        <v>223</v>
      </c>
      <c r="C220" s="69" t="s">
        <v>176</v>
      </c>
      <c r="D220" s="66" t="s">
        <v>177</v>
      </c>
      <c r="E220" s="97">
        <f>414800-414800</f>
        <v>0</v>
      </c>
      <c r="F220" s="98">
        <f t="shared" ref="F220:X220" si="93">414800-414800</f>
        <v>0</v>
      </c>
      <c r="G220" s="98">
        <f t="shared" si="93"/>
        <v>0</v>
      </c>
      <c r="H220" s="98">
        <f t="shared" si="93"/>
        <v>0</v>
      </c>
      <c r="I220" s="98">
        <f t="shared" si="93"/>
        <v>0</v>
      </c>
      <c r="J220" s="98">
        <f t="shared" si="93"/>
        <v>0</v>
      </c>
      <c r="K220" s="98">
        <f t="shared" si="93"/>
        <v>0</v>
      </c>
      <c r="L220" s="98">
        <f t="shared" si="93"/>
        <v>0</v>
      </c>
      <c r="M220" s="98">
        <f t="shared" si="93"/>
        <v>0</v>
      </c>
      <c r="N220" s="98">
        <f t="shared" si="93"/>
        <v>0</v>
      </c>
      <c r="O220" s="98">
        <f t="shared" si="93"/>
        <v>0</v>
      </c>
      <c r="P220" s="98">
        <f t="shared" si="93"/>
        <v>0</v>
      </c>
      <c r="Q220" s="98">
        <f t="shared" si="93"/>
        <v>0</v>
      </c>
      <c r="R220" s="98">
        <f t="shared" si="93"/>
        <v>0</v>
      </c>
      <c r="S220" s="98">
        <f t="shared" si="93"/>
        <v>0</v>
      </c>
      <c r="T220" s="98">
        <f t="shared" si="93"/>
        <v>0</v>
      </c>
      <c r="U220" s="98">
        <f t="shared" si="93"/>
        <v>0</v>
      </c>
      <c r="V220" s="98">
        <f t="shared" si="93"/>
        <v>0</v>
      </c>
      <c r="W220" s="98">
        <f t="shared" si="93"/>
        <v>0</v>
      </c>
      <c r="X220" s="98">
        <f t="shared" si="93"/>
        <v>0</v>
      </c>
      <c r="Y220" s="51">
        <f>SUM(E220:X220)</f>
        <v>0</v>
      </c>
      <c r="Z220" s="100"/>
    </row>
    <row r="221" spans="1:33" ht="35.1" customHeight="1">
      <c r="A221" s="88"/>
      <c r="B221" s="46" t="s">
        <v>223</v>
      </c>
      <c r="C221" s="69" t="s">
        <v>178</v>
      </c>
      <c r="D221" s="66" t="s">
        <v>179</v>
      </c>
      <c r="E221" s="97">
        <v>0</v>
      </c>
      <c r="F221" s="98">
        <v>0</v>
      </c>
      <c r="G221" s="98">
        <v>104998.62</v>
      </c>
      <c r="H221" s="98">
        <v>0</v>
      </c>
      <c r="I221" s="98">
        <v>0</v>
      </c>
      <c r="J221" s="98">
        <v>0</v>
      </c>
      <c r="K221" s="98">
        <v>0</v>
      </c>
      <c r="L221" s="98">
        <v>0</v>
      </c>
      <c r="M221" s="98">
        <v>0</v>
      </c>
      <c r="N221" s="98">
        <v>0</v>
      </c>
      <c r="O221" s="98">
        <v>0</v>
      </c>
      <c r="P221" s="98">
        <v>0</v>
      </c>
      <c r="Q221" s="98">
        <v>0</v>
      </c>
      <c r="R221" s="98">
        <v>0</v>
      </c>
      <c r="S221" s="98">
        <v>0</v>
      </c>
      <c r="T221" s="98">
        <v>0</v>
      </c>
      <c r="U221" s="98">
        <v>0</v>
      </c>
      <c r="V221" s="98">
        <v>116840.13</v>
      </c>
      <c r="W221" s="98">
        <v>0</v>
      </c>
      <c r="X221" s="98">
        <v>0</v>
      </c>
      <c r="Y221" s="51">
        <f>SUM(E221:X221)</f>
        <v>221838.75</v>
      </c>
      <c r="Z221" s="100"/>
    </row>
    <row r="222" spans="1:33" ht="35.1" customHeight="1">
      <c r="A222" s="88"/>
      <c r="B222" s="46" t="s">
        <v>223</v>
      </c>
      <c r="C222" s="69" t="s">
        <v>170</v>
      </c>
      <c r="D222" s="66" t="s">
        <v>224</v>
      </c>
      <c r="E222" s="97">
        <v>0</v>
      </c>
      <c r="F222" s="98">
        <v>0</v>
      </c>
      <c r="G222" s="98">
        <v>0</v>
      </c>
      <c r="H222" s="98">
        <v>2204.9499999999998</v>
      </c>
      <c r="I222" s="98">
        <v>0</v>
      </c>
      <c r="J222" s="98">
        <v>0</v>
      </c>
      <c r="K222" s="98">
        <v>0</v>
      </c>
      <c r="L222" s="98">
        <v>116.05</v>
      </c>
      <c r="M222" s="98">
        <v>0</v>
      </c>
      <c r="N222" s="98">
        <v>0</v>
      </c>
      <c r="O222" s="98">
        <v>0</v>
      </c>
      <c r="P222" s="98">
        <v>0</v>
      </c>
      <c r="Q222" s="98">
        <v>98781.34</v>
      </c>
      <c r="R222" s="98">
        <v>0</v>
      </c>
      <c r="S222" s="98">
        <v>0</v>
      </c>
      <c r="T222" s="98">
        <v>0</v>
      </c>
      <c r="U222" s="98">
        <v>0</v>
      </c>
      <c r="V222" s="98">
        <v>0</v>
      </c>
      <c r="W222" s="98">
        <v>0</v>
      </c>
      <c r="X222" s="98">
        <v>0</v>
      </c>
      <c r="Y222" s="51">
        <f>SUM(E222:X222)</f>
        <v>101102.34</v>
      </c>
      <c r="Z222" s="100"/>
    </row>
    <row r="223" spans="1:33" ht="35.1" customHeight="1">
      <c r="A223" s="88"/>
      <c r="B223" s="46" t="s">
        <v>223</v>
      </c>
      <c r="C223" s="69" t="s">
        <v>180</v>
      </c>
      <c r="D223" s="66" t="s">
        <v>181</v>
      </c>
      <c r="E223" s="97">
        <v>0</v>
      </c>
      <c r="F223" s="98">
        <v>0</v>
      </c>
      <c r="G223" s="98">
        <v>0</v>
      </c>
      <c r="H223" s="98">
        <v>111716.76</v>
      </c>
      <c r="I223" s="98">
        <v>0</v>
      </c>
      <c r="J223" s="98">
        <v>0</v>
      </c>
      <c r="K223" s="98">
        <v>0</v>
      </c>
      <c r="L223" s="98">
        <v>0</v>
      </c>
      <c r="M223" s="98">
        <v>26359.52</v>
      </c>
      <c r="N223" s="98">
        <v>0</v>
      </c>
      <c r="O223" s="98">
        <v>149510.14000000001</v>
      </c>
      <c r="P223" s="98">
        <v>64332.56</v>
      </c>
      <c r="Q223" s="98">
        <v>0</v>
      </c>
      <c r="R223" s="98">
        <v>0</v>
      </c>
      <c r="S223" s="98">
        <v>0</v>
      </c>
      <c r="T223" s="98">
        <v>0</v>
      </c>
      <c r="U223" s="98">
        <v>1362428.67</v>
      </c>
      <c r="V223" s="98">
        <v>0</v>
      </c>
      <c r="W223" s="98">
        <v>0</v>
      </c>
      <c r="X223" s="98">
        <v>0</v>
      </c>
      <c r="Y223" s="51">
        <f>SUM(E223:X223)</f>
        <v>1714347.65</v>
      </c>
      <c r="Z223" s="100"/>
    </row>
    <row r="224" spans="1:33" s="29" customFormat="1" ht="35.1" customHeight="1">
      <c r="A224" s="88"/>
      <c r="B224" s="89" t="s">
        <v>225</v>
      </c>
      <c r="C224" s="90"/>
      <c r="D224" s="91"/>
      <c r="E224" s="92">
        <f t="shared" ref="E224" si="94">+E225+E228</f>
        <v>0</v>
      </c>
      <c r="F224" s="93">
        <f>+F225+F228+F232</f>
        <v>0</v>
      </c>
      <c r="G224" s="93">
        <f t="shared" ref="G224:Y224" si="95">+G225+G228+G232</f>
        <v>13599</v>
      </c>
      <c r="H224" s="93">
        <f t="shared" si="95"/>
        <v>2950</v>
      </c>
      <c r="I224" s="93">
        <f t="shared" si="95"/>
        <v>0</v>
      </c>
      <c r="J224" s="93">
        <f t="shared" si="95"/>
        <v>0</v>
      </c>
      <c r="K224" s="93">
        <f t="shared" si="95"/>
        <v>0</v>
      </c>
      <c r="L224" s="93">
        <f t="shared" si="95"/>
        <v>0</v>
      </c>
      <c r="M224" s="93">
        <f t="shared" si="95"/>
        <v>0</v>
      </c>
      <c r="N224" s="93">
        <f t="shared" si="95"/>
        <v>0</v>
      </c>
      <c r="O224" s="93">
        <f t="shared" si="95"/>
        <v>0</v>
      </c>
      <c r="P224" s="93">
        <f t="shared" si="95"/>
        <v>6736.92</v>
      </c>
      <c r="Q224" s="93">
        <f t="shared" si="95"/>
        <v>0</v>
      </c>
      <c r="R224" s="93">
        <f t="shared" si="95"/>
        <v>0</v>
      </c>
      <c r="S224" s="93">
        <f t="shared" si="95"/>
        <v>0</v>
      </c>
      <c r="T224" s="93">
        <f t="shared" si="95"/>
        <v>0</v>
      </c>
      <c r="U224" s="93">
        <f t="shared" si="95"/>
        <v>0</v>
      </c>
      <c r="V224" s="93">
        <f t="shared" si="95"/>
        <v>3950.25</v>
      </c>
      <c r="W224" s="93">
        <f t="shared" si="95"/>
        <v>0</v>
      </c>
      <c r="X224" s="93">
        <f t="shared" si="95"/>
        <v>0</v>
      </c>
      <c r="Y224" s="93">
        <f t="shared" si="95"/>
        <v>27236.17</v>
      </c>
      <c r="Z224" s="87"/>
      <c r="AA224" s="30"/>
      <c r="AG224" s="30"/>
    </row>
    <row r="225" spans="1:33" s="29" customFormat="1" ht="35.1" customHeight="1">
      <c r="A225" s="88"/>
      <c r="B225" s="59" t="s">
        <v>97</v>
      </c>
      <c r="C225" s="94" t="s">
        <v>98</v>
      </c>
      <c r="D225" s="95"/>
      <c r="E225" s="62">
        <f t="shared" ref="E225" si="96">+E226</f>
        <v>0</v>
      </c>
      <c r="F225" s="63">
        <f>SUM(F226:F227)</f>
        <v>0</v>
      </c>
      <c r="G225" s="63">
        <f t="shared" ref="G225:Y225" si="97">SUM(G226:G227)</f>
        <v>0</v>
      </c>
      <c r="H225" s="63">
        <f t="shared" si="97"/>
        <v>0</v>
      </c>
      <c r="I225" s="63">
        <f t="shared" si="97"/>
        <v>0</v>
      </c>
      <c r="J225" s="63">
        <f t="shared" si="97"/>
        <v>0</v>
      </c>
      <c r="K225" s="63">
        <f t="shared" si="97"/>
        <v>0</v>
      </c>
      <c r="L225" s="63">
        <f t="shared" si="97"/>
        <v>0</v>
      </c>
      <c r="M225" s="63">
        <f t="shared" si="97"/>
        <v>0</v>
      </c>
      <c r="N225" s="63">
        <f t="shared" si="97"/>
        <v>0</v>
      </c>
      <c r="O225" s="63">
        <f t="shared" si="97"/>
        <v>0</v>
      </c>
      <c r="P225" s="63">
        <f t="shared" si="97"/>
        <v>0</v>
      </c>
      <c r="Q225" s="63">
        <f t="shared" si="97"/>
        <v>0</v>
      </c>
      <c r="R225" s="63">
        <f t="shared" si="97"/>
        <v>0</v>
      </c>
      <c r="S225" s="63">
        <f t="shared" si="97"/>
        <v>0</v>
      </c>
      <c r="T225" s="63">
        <f t="shared" si="97"/>
        <v>0</v>
      </c>
      <c r="U225" s="63">
        <f t="shared" si="97"/>
        <v>0</v>
      </c>
      <c r="V225" s="63">
        <f t="shared" si="97"/>
        <v>0</v>
      </c>
      <c r="W225" s="63">
        <f t="shared" si="97"/>
        <v>0</v>
      </c>
      <c r="X225" s="63">
        <f t="shared" si="97"/>
        <v>0</v>
      </c>
      <c r="Y225" s="63">
        <f t="shared" si="97"/>
        <v>0</v>
      </c>
      <c r="Z225" s="87"/>
      <c r="AA225" s="30"/>
      <c r="AG225" s="30"/>
    </row>
    <row r="226" spans="1:33" ht="35.1" customHeight="1">
      <c r="A226" s="88"/>
      <c r="B226" s="46" t="s">
        <v>184</v>
      </c>
      <c r="C226" s="69" t="s">
        <v>134</v>
      </c>
      <c r="D226" s="66" t="s">
        <v>135</v>
      </c>
      <c r="E226" s="97">
        <v>0</v>
      </c>
      <c r="F226" s="98">
        <v>0</v>
      </c>
      <c r="G226" s="98">
        <v>0</v>
      </c>
      <c r="H226" s="98">
        <v>0</v>
      </c>
      <c r="I226" s="98">
        <v>0</v>
      </c>
      <c r="J226" s="98">
        <v>0</v>
      </c>
      <c r="K226" s="98">
        <v>0</v>
      </c>
      <c r="L226" s="98">
        <v>0</v>
      </c>
      <c r="M226" s="98">
        <v>0</v>
      </c>
      <c r="N226" s="98">
        <v>0</v>
      </c>
      <c r="O226" s="98">
        <v>0</v>
      </c>
      <c r="P226" s="98">
        <v>0</v>
      </c>
      <c r="Q226" s="98">
        <v>0</v>
      </c>
      <c r="R226" s="98">
        <v>0</v>
      </c>
      <c r="S226" s="98">
        <v>0</v>
      </c>
      <c r="T226" s="98">
        <v>0</v>
      </c>
      <c r="U226" s="98">
        <v>0</v>
      </c>
      <c r="V226" s="98">
        <v>0</v>
      </c>
      <c r="W226" s="98">
        <v>0</v>
      </c>
      <c r="X226" s="98">
        <v>0</v>
      </c>
      <c r="Y226" s="51">
        <f>SUM(E226:X226)</f>
        <v>0</v>
      </c>
      <c r="Z226" s="100"/>
    </row>
    <row r="227" spans="1:33" ht="35.1" customHeight="1">
      <c r="A227" s="88"/>
      <c r="B227" s="46" t="s">
        <v>184</v>
      </c>
      <c r="C227" s="69" t="s">
        <v>137</v>
      </c>
      <c r="D227" s="66" t="s">
        <v>138</v>
      </c>
      <c r="E227" s="97"/>
      <c r="F227" s="98"/>
      <c r="G227" s="98"/>
      <c r="H227" s="98"/>
      <c r="I227" s="98"/>
      <c r="J227" s="98"/>
      <c r="K227" s="98"/>
      <c r="L227" s="98"/>
      <c r="M227" s="98"/>
      <c r="N227" s="98"/>
      <c r="O227" s="98"/>
      <c r="P227" s="98"/>
      <c r="Q227" s="98"/>
      <c r="R227" s="98"/>
      <c r="S227" s="98"/>
      <c r="T227" s="98"/>
      <c r="U227" s="98"/>
      <c r="V227" s="98"/>
      <c r="W227" s="98"/>
      <c r="X227" s="98"/>
      <c r="Y227" s="51"/>
      <c r="Z227" s="100"/>
    </row>
    <row r="228" spans="1:33" s="29" customFormat="1" ht="35.1" customHeight="1">
      <c r="A228" s="88"/>
      <c r="B228" s="59" t="s">
        <v>182</v>
      </c>
      <c r="C228" s="94" t="s">
        <v>183</v>
      </c>
      <c r="D228" s="95"/>
      <c r="E228" s="62">
        <f t="shared" ref="E228" si="98">SUM(E229:E233)</f>
        <v>0</v>
      </c>
      <c r="F228" s="63">
        <f>SUM(F229:F231)</f>
        <v>0</v>
      </c>
      <c r="G228" s="63">
        <f t="shared" ref="G228:Y228" si="99">SUM(G229:G231)</f>
        <v>13599</v>
      </c>
      <c r="H228" s="63">
        <f t="shared" si="99"/>
        <v>2950</v>
      </c>
      <c r="I228" s="63">
        <f t="shared" si="99"/>
        <v>0</v>
      </c>
      <c r="J228" s="63">
        <f t="shared" si="99"/>
        <v>0</v>
      </c>
      <c r="K228" s="63">
        <f t="shared" si="99"/>
        <v>0</v>
      </c>
      <c r="L228" s="63">
        <f t="shared" si="99"/>
        <v>0</v>
      </c>
      <c r="M228" s="63">
        <f t="shared" si="99"/>
        <v>0</v>
      </c>
      <c r="N228" s="63">
        <f t="shared" si="99"/>
        <v>0</v>
      </c>
      <c r="O228" s="63">
        <f t="shared" si="99"/>
        <v>0</v>
      </c>
      <c r="P228" s="63">
        <f t="shared" si="99"/>
        <v>6736.92</v>
      </c>
      <c r="Q228" s="63">
        <f t="shared" si="99"/>
        <v>0</v>
      </c>
      <c r="R228" s="63">
        <f t="shared" si="99"/>
        <v>0</v>
      </c>
      <c r="S228" s="63">
        <f t="shared" si="99"/>
        <v>0</v>
      </c>
      <c r="T228" s="63">
        <f t="shared" si="99"/>
        <v>0</v>
      </c>
      <c r="U228" s="63">
        <f t="shared" si="99"/>
        <v>0</v>
      </c>
      <c r="V228" s="63">
        <f t="shared" si="99"/>
        <v>3950.25</v>
      </c>
      <c r="W228" s="63">
        <f t="shared" si="99"/>
        <v>0</v>
      </c>
      <c r="X228" s="63">
        <f t="shared" si="99"/>
        <v>0</v>
      </c>
      <c r="Y228" s="63">
        <f t="shared" si="99"/>
        <v>27236.17</v>
      </c>
      <c r="Z228" s="87"/>
      <c r="AA228" s="30"/>
      <c r="AG228" s="30"/>
    </row>
    <row r="229" spans="1:33" ht="35.1" customHeight="1">
      <c r="A229" s="88"/>
      <c r="B229" s="46" t="s">
        <v>184</v>
      </c>
      <c r="C229" s="69" t="s">
        <v>185</v>
      </c>
      <c r="D229" s="66" t="s">
        <v>186</v>
      </c>
      <c r="E229" s="97">
        <v>0</v>
      </c>
      <c r="F229" s="98">
        <v>0</v>
      </c>
      <c r="G229" s="98">
        <v>0</v>
      </c>
      <c r="H229" s="98">
        <v>2950</v>
      </c>
      <c r="I229" s="98">
        <v>0</v>
      </c>
      <c r="J229" s="98">
        <v>0</v>
      </c>
      <c r="K229" s="98">
        <v>0</v>
      </c>
      <c r="L229" s="98">
        <v>0</v>
      </c>
      <c r="M229" s="98">
        <v>0</v>
      </c>
      <c r="N229" s="98">
        <v>0</v>
      </c>
      <c r="O229" s="98">
        <v>0</v>
      </c>
      <c r="P229" s="98">
        <v>6736.92</v>
      </c>
      <c r="Q229" s="98">
        <v>0</v>
      </c>
      <c r="R229" s="98">
        <v>0</v>
      </c>
      <c r="S229" s="98">
        <v>0</v>
      </c>
      <c r="T229" s="98">
        <v>0</v>
      </c>
      <c r="U229" s="98">
        <v>0</v>
      </c>
      <c r="V229" s="98">
        <v>0</v>
      </c>
      <c r="W229" s="98">
        <v>0</v>
      </c>
      <c r="X229" s="98">
        <v>0</v>
      </c>
      <c r="Y229" s="51">
        <f>SUM(E229:X229)</f>
        <v>9686.92</v>
      </c>
      <c r="Z229" s="100"/>
    </row>
    <row r="230" spans="1:33" ht="35.1" customHeight="1">
      <c r="A230" s="88"/>
      <c r="B230" s="46" t="s">
        <v>184</v>
      </c>
      <c r="C230" s="69" t="s">
        <v>187</v>
      </c>
      <c r="D230" s="66" t="s">
        <v>188</v>
      </c>
      <c r="E230" s="97">
        <v>0</v>
      </c>
      <c r="F230" s="98">
        <v>0</v>
      </c>
      <c r="G230" s="98">
        <v>13599</v>
      </c>
      <c r="H230" s="98">
        <v>0</v>
      </c>
      <c r="I230" s="98">
        <v>0</v>
      </c>
      <c r="J230" s="98">
        <v>0</v>
      </c>
      <c r="K230" s="98">
        <v>0</v>
      </c>
      <c r="L230" s="98">
        <v>0</v>
      </c>
      <c r="M230" s="98">
        <v>0</v>
      </c>
      <c r="N230" s="98">
        <v>0</v>
      </c>
      <c r="O230" s="98">
        <v>0</v>
      </c>
      <c r="P230" s="98">
        <v>0</v>
      </c>
      <c r="Q230" s="98">
        <v>0</v>
      </c>
      <c r="R230" s="98">
        <v>0</v>
      </c>
      <c r="S230" s="98">
        <v>0</v>
      </c>
      <c r="T230" s="98">
        <v>0</v>
      </c>
      <c r="U230" s="98">
        <v>0</v>
      </c>
      <c r="V230" s="98">
        <v>3950.25</v>
      </c>
      <c r="W230" s="98">
        <v>0</v>
      </c>
      <c r="X230" s="98">
        <v>0</v>
      </c>
      <c r="Y230" s="51">
        <f>SUM(E230:X230)</f>
        <v>17549.25</v>
      </c>
      <c r="Z230" s="100"/>
    </row>
    <row r="231" spans="1:33" ht="35.1" customHeight="1">
      <c r="A231" s="113"/>
      <c r="B231" s="46" t="s">
        <v>184</v>
      </c>
      <c r="C231" s="69" t="s">
        <v>189</v>
      </c>
      <c r="D231" s="66" t="s">
        <v>190</v>
      </c>
      <c r="E231" s="97">
        <v>0</v>
      </c>
      <c r="F231" s="98">
        <v>0</v>
      </c>
      <c r="G231" s="98">
        <v>0</v>
      </c>
      <c r="H231" s="98">
        <v>0</v>
      </c>
      <c r="I231" s="98">
        <v>0</v>
      </c>
      <c r="J231" s="98">
        <v>0</v>
      </c>
      <c r="K231" s="98">
        <v>0</v>
      </c>
      <c r="L231" s="98">
        <v>0</v>
      </c>
      <c r="M231" s="98">
        <v>0</v>
      </c>
      <c r="N231" s="98">
        <v>0</v>
      </c>
      <c r="O231" s="98">
        <v>0</v>
      </c>
      <c r="P231" s="98">
        <v>0</v>
      </c>
      <c r="Q231" s="98">
        <v>0</v>
      </c>
      <c r="R231" s="98">
        <v>0</v>
      </c>
      <c r="S231" s="98">
        <v>0</v>
      </c>
      <c r="T231" s="98">
        <v>0</v>
      </c>
      <c r="U231" s="98">
        <v>0</v>
      </c>
      <c r="V231" s="98">
        <v>0</v>
      </c>
      <c r="W231" s="98">
        <v>0</v>
      </c>
      <c r="X231" s="98">
        <v>0</v>
      </c>
      <c r="Y231" s="51">
        <f>SUM(E231:X231)</f>
        <v>0</v>
      </c>
      <c r="Z231" s="100"/>
    </row>
    <row r="232" spans="1:33" s="29" customFormat="1" ht="35.1" customHeight="1">
      <c r="A232" s="113"/>
      <c r="B232" s="59" t="s">
        <v>191</v>
      </c>
      <c r="C232" s="94" t="s">
        <v>192</v>
      </c>
      <c r="D232" s="95"/>
      <c r="E232" s="62"/>
      <c r="F232" s="63">
        <f>+F233</f>
        <v>0</v>
      </c>
      <c r="G232" s="63">
        <f t="shared" ref="G232:Y232" si="100">+G233</f>
        <v>0</v>
      </c>
      <c r="H232" s="63">
        <f t="shared" si="100"/>
        <v>0</v>
      </c>
      <c r="I232" s="63">
        <f t="shared" si="100"/>
        <v>0</v>
      </c>
      <c r="J232" s="63">
        <f t="shared" si="100"/>
        <v>0</v>
      </c>
      <c r="K232" s="63">
        <f t="shared" si="100"/>
        <v>0</v>
      </c>
      <c r="L232" s="63">
        <f t="shared" si="100"/>
        <v>0</v>
      </c>
      <c r="M232" s="63">
        <f t="shared" si="100"/>
        <v>0</v>
      </c>
      <c r="N232" s="63">
        <f t="shared" si="100"/>
        <v>0</v>
      </c>
      <c r="O232" s="63">
        <f t="shared" si="100"/>
        <v>0</v>
      </c>
      <c r="P232" s="63">
        <f t="shared" si="100"/>
        <v>0</v>
      </c>
      <c r="Q232" s="63">
        <f t="shared" si="100"/>
        <v>0</v>
      </c>
      <c r="R232" s="63">
        <f t="shared" si="100"/>
        <v>0</v>
      </c>
      <c r="S232" s="63">
        <f t="shared" si="100"/>
        <v>0</v>
      </c>
      <c r="T232" s="63">
        <f t="shared" si="100"/>
        <v>0</v>
      </c>
      <c r="U232" s="63">
        <f t="shared" si="100"/>
        <v>0</v>
      </c>
      <c r="V232" s="63">
        <f t="shared" si="100"/>
        <v>0</v>
      </c>
      <c r="W232" s="63">
        <f t="shared" si="100"/>
        <v>0</v>
      </c>
      <c r="X232" s="63">
        <f t="shared" si="100"/>
        <v>0</v>
      </c>
      <c r="Y232" s="63">
        <f t="shared" si="100"/>
        <v>0</v>
      </c>
      <c r="Z232" s="87"/>
      <c r="AA232" s="30"/>
      <c r="AG232" s="30"/>
    </row>
    <row r="233" spans="1:33" ht="35.1" customHeight="1">
      <c r="A233" s="114"/>
      <c r="B233" s="46" t="s">
        <v>184</v>
      </c>
      <c r="C233" s="69" t="s">
        <v>193</v>
      </c>
      <c r="D233" s="66" t="s">
        <v>194</v>
      </c>
      <c r="E233" s="97">
        <v>0</v>
      </c>
      <c r="F233" s="98">
        <v>0</v>
      </c>
      <c r="G233" s="98">
        <v>0</v>
      </c>
      <c r="H233" s="98">
        <v>0</v>
      </c>
      <c r="I233" s="98">
        <v>0</v>
      </c>
      <c r="J233" s="98">
        <v>0</v>
      </c>
      <c r="K233" s="98">
        <v>0</v>
      </c>
      <c r="L233" s="98">
        <v>0</v>
      </c>
      <c r="M233" s="98">
        <v>0</v>
      </c>
      <c r="N233" s="98">
        <v>0</v>
      </c>
      <c r="O233" s="98">
        <v>0</v>
      </c>
      <c r="P233" s="98">
        <v>0</v>
      </c>
      <c r="Q233" s="98">
        <v>0</v>
      </c>
      <c r="R233" s="98">
        <v>0</v>
      </c>
      <c r="S233" s="98">
        <v>0</v>
      </c>
      <c r="T233" s="98">
        <v>0</v>
      </c>
      <c r="U233" s="98">
        <v>0</v>
      </c>
      <c r="V233" s="98">
        <v>0</v>
      </c>
      <c r="W233" s="98">
        <v>0</v>
      </c>
      <c r="X233" s="50">
        <f>0-SUM(F233:W233)</f>
        <v>0</v>
      </c>
      <c r="Y233" s="51">
        <f>SUM(E233:X233)</f>
        <v>0</v>
      </c>
      <c r="Z233" s="100"/>
      <c r="AA233" s="43">
        <v>0</v>
      </c>
      <c r="AB233" s="10">
        <f>+Y101-AA233</f>
        <v>0</v>
      </c>
      <c r="AC233" s="44" t="s">
        <v>6</v>
      </c>
      <c r="AD233" s="45">
        <v>5</v>
      </c>
      <c r="AF233" s="10">
        <v>0</v>
      </c>
      <c r="AG233" s="9">
        <v>1585719</v>
      </c>
    </row>
    <row r="234" spans="1:33" ht="35.1" customHeight="1">
      <c r="B234" s="115"/>
      <c r="C234" s="116"/>
      <c r="D234" s="117"/>
      <c r="E234" s="118"/>
      <c r="F234" s="118"/>
      <c r="G234" s="118"/>
      <c r="H234" s="118"/>
      <c r="I234" s="118"/>
      <c r="J234" s="118"/>
      <c r="K234" s="118"/>
      <c r="L234" s="118"/>
      <c r="M234" s="118"/>
      <c r="N234" s="118"/>
      <c r="O234" s="118"/>
      <c r="P234" s="118"/>
      <c r="Q234" s="118"/>
      <c r="R234" s="118"/>
      <c r="S234" s="118"/>
      <c r="T234" s="118"/>
      <c r="U234" s="118"/>
      <c r="V234" s="118"/>
      <c r="W234" s="118"/>
      <c r="X234" s="118"/>
      <c r="Y234" s="119"/>
      <c r="Z234" s="100"/>
    </row>
    <row r="235" spans="1:33" s="124" customFormat="1" ht="35.1" hidden="1" customHeight="1">
      <c r="A235" s="1"/>
      <c r="B235" s="120"/>
      <c r="C235" s="1"/>
      <c r="D235" s="121" t="s">
        <v>226</v>
      </c>
      <c r="E235" s="122">
        <f t="shared" ref="E235:X235" si="101">+E110-E25</f>
        <v>0</v>
      </c>
      <c r="F235" s="122">
        <f t="shared" si="101"/>
        <v>0</v>
      </c>
      <c r="G235" s="122">
        <f t="shared" si="101"/>
        <v>0</v>
      </c>
      <c r="H235" s="122">
        <f t="shared" si="101"/>
        <v>0</v>
      </c>
      <c r="I235" s="122">
        <f t="shared" si="101"/>
        <v>0</v>
      </c>
      <c r="J235" s="122">
        <f t="shared" si="101"/>
        <v>0</v>
      </c>
      <c r="K235" s="122">
        <f t="shared" si="101"/>
        <v>0</v>
      </c>
      <c r="L235" s="122">
        <f t="shared" si="101"/>
        <v>0</v>
      </c>
      <c r="M235" s="122">
        <f t="shared" si="101"/>
        <v>0</v>
      </c>
      <c r="N235" s="122">
        <f t="shared" si="101"/>
        <v>0</v>
      </c>
      <c r="O235" s="122">
        <f t="shared" si="101"/>
        <v>0</v>
      </c>
      <c r="P235" s="122">
        <f t="shared" si="101"/>
        <v>0</v>
      </c>
      <c r="Q235" s="122">
        <f t="shared" si="101"/>
        <v>0</v>
      </c>
      <c r="R235" s="122">
        <f t="shared" si="101"/>
        <v>0</v>
      </c>
      <c r="S235" s="122">
        <f t="shared" si="101"/>
        <v>0</v>
      </c>
      <c r="T235" s="122">
        <f t="shared" si="101"/>
        <v>0</v>
      </c>
      <c r="U235" s="122">
        <f t="shared" si="101"/>
        <v>0</v>
      </c>
      <c r="V235" s="122">
        <f t="shared" si="101"/>
        <v>0</v>
      </c>
      <c r="W235" s="122">
        <f t="shared" si="101"/>
        <v>0</v>
      </c>
      <c r="X235" s="122">
        <f t="shared" si="101"/>
        <v>0</v>
      </c>
      <c r="Y235" s="123"/>
      <c r="AA235" s="1"/>
      <c r="AB235" s="1"/>
      <c r="AC235" s="1"/>
      <c r="AD235" s="1"/>
      <c r="AE235" s="1"/>
      <c r="AF235" s="1"/>
      <c r="AG235" s="1"/>
    </row>
    <row r="236" spans="1:33" s="124" customFormat="1" ht="35.1" hidden="1" customHeight="1">
      <c r="A236" s="1"/>
      <c r="B236" s="120"/>
      <c r="C236" s="1"/>
      <c r="F236" s="125"/>
      <c r="G236" s="125"/>
      <c r="H236" s="125"/>
      <c r="I236" s="125"/>
      <c r="J236" s="125"/>
      <c r="K236" s="125"/>
      <c r="L236" s="125"/>
      <c r="M236" s="125"/>
      <c r="N236" s="125"/>
      <c r="O236" s="125"/>
      <c r="P236" s="125"/>
      <c r="Q236" s="125"/>
      <c r="R236" s="125"/>
      <c r="S236" s="125"/>
      <c r="T236" s="125"/>
      <c r="U236" s="125"/>
      <c r="V236" s="125"/>
      <c r="W236" s="125"/>
      <c r="X236" s="125"/>
      <c r="Y236" s="123"/>
      <c r="AA236" s="1"/>
      <c r="AB236" s="1"/>
      <c r="AC236" s="1"/>
      <c r="AD236" s="1"/>
      <c r="AE236" s="1"/>
      <c r="AF236" s="1"/>
      <c r="AG236" s="1"/>
    </row>
    <row r="237" spans="1:33" s="21" customFormat="1" ht="35.1" hidden="1" customHeight="1">
      <c r="A237" s="1"/>
      <c r="B237" s="12"/>
      <c r="C237" s="3"/>
      <c r="F237" s="126"/>
      <c r="G237" s="126"/>
      <c r="H237" s="126"/>
      <c r="I237" s="126"/>
      <c r="J237" s="126"/>
      <c r="K237" s="126"/>
      <c r="L237" s="126"/>
      <c r="M237" s="126"/>
      <c r="N237" s="126"/>
      <c r="O237" s="126"/>
      <c r="P237" s="126"/>
      <c r="Q237" s="126"/>
      <c r="R237" s="126"/>
      <c r="S237" s="126"/>
      <c r="T237" s="126"/>
      <c r="U237" s="126"/>
      <c r="V237" s="126"/>
      <c r="W237" s="126"/>
      <c r="X237" s="126"/>
      <c r="Y237" s="127"/>
      <c r="AA237" s="1"/>
      <c r="AB237" s="3"/>
      <c r="AC237" s="3"/>
      <c r="AD237" s="3"/>
      <c r="AE237" s="3"/>
      <c r="AF237" s="3"/>
      <c r="AG237" s="1"/>
    </row>
    <row r="238" spans="1:33" s="131" customFormat="1" ht="35.1" hidden="1" customHeight="1">
      <c r="A238" s="1"/>
      <c r="B238" s="12"/>
      <c r="C238" s="3"/>
      <c r="D238" s="128" t="s">
        <v>227</v>
      </c>
      <c r="E238" s="129">
        <v>0</v>
      </c>
      <c r="F238" s="130">
        <v>-4.9999421462416649E-3</v>
      </c>
      <c r="G238" s="130">
        <v>-4.9999421462416649E-3</v>
      </c>
      <c r="H238" s="130">
        <v>-4.9999412149190903E-3</v>
      </c>
      <c r="I238" s="130">
        <v>-4.9999430775642395E-3</v>
      </c>
      <c r="J238" s="130">
        <v>-4.9999440088868141E-3</v>
      </c>
      <c r="K238" s="130">
        <v>-4.9999430775642395E-3</v>
      </c>
      <c r="L238" s="130">
        <v>-4.9999449402093887E-3</v>
      </c>
      <c r="M238" s="130">
        <v>-4.9999430775642395E-3</v>
      </c>
      <c r="N238" s="130">
        <v>-4.9999449402093887E-3</v>
      </c>
      <c r="O238" s="130">
        <v>-4.9999449402093887E-3</v>
      </c>
      <c r="P238" s="130">
        <v>-4.9999449402093887E-3</v>
      </c>
      <c r="Q238" s="130">
        <v>-4.9999449402093887E-3</v>
      </c>
      <c r="R238" s="130">
        <v>-4.999946802854538E-3</v>
      </c>
      <c r="S238" s="130">
        <v>-4.999946802854538E-3</v>
      </c>
      <c r="T238" s="130">
        <v>-4.9999449402093887E-3</v>
      </c>
      <c r="U238" s="130">
        <v>-4.9999430775642395E-3</v>
      </c>
      <c r="V238" s="130">
        <v>-4.9999449402093887E-3</v>
      </c>
      <c r="W238" s="130">
        <v>-4.9999412149190903E-3</v>
      </c>
      <c r="X238" s="130">
        <v>-4.9999412149190903E-3</v>
      </c>
      <c r="Y238" s="75"/>
      <c r="AA238" s="30"/>
      <c r="AB238" s="29"/>
      <c r="AC238" s="29"/>
      <c r="AD238" s="29"/>
      <c r="AE238" s="29"/>
      <c r="AF238" s="29"/>
      <c r="AG238" s="30"/>
    </row>
    <row r="239" spans="1:33" ht="35.1" hidden="1" customHeight="1">
      <c r="D239" s="8"/>
      <c r="F239" s="132"/>
      <c r="G239" s="132"/>
      <c r="H239" s="132"/>
      <c r="I239" s="132"/>
      <c r="J239" s="132"/>
      <c r="K239" s="132"/>
      <c r="L239" s="132"/>
      <c r="M239" s="132"/>
      <c r="N239" s="132"/>
      <c r="O239" s="132"/>
      <c r="P239" s="132"/>
      <c r="Q239" s="132"/>
      <c r="R239" s="132"/>
      <c r="S239" s="132"/>
      <c r="T239" s="132"/>
      <c r="U239" s="132"/>
      <c r="V239" s="132"/>
      <c r="W239" s="132"/>
      <c r="X239" s="132"/>
    </row>
    <row r="240" spans="1:33" ht="35.1" customHeight="1">
      <c r="D240" s="8"/>
      <c r="F240" s="132"/>
      <c r="G240" s="132"/>
      <c r="H240" s="132"/>
      <c r="I240" s="132"/>
      <c r="J240" s="132"/>
      <c r="K240" s="132"/>
      <c r="L240" s="132"/>
      <c r="M240" s="132"/>
      <c r="N240" s="132"/>
      <c r="O240" s="132"/>
      <c r="P240" s="132"/>
      <c r="Q240" s="132"/>
      <c r="R240" s="132"/>
      <c r="S240" s="132"/>
      <c r="T240" s="132"/>
      <c r="U240" s="132"/>
      <c r="V240" s="132"/>
      <c r="W240" s="132"/>
      <c r="X240" s="132"/>
    </row>
    <row r="241" spans="4:24" ht="35.1" customHeight="1">
      <c r="D241" s="8"/>
      <c r="F241" s="132"/>
      <c r="G241" s="132"/>
      <c r="H241" s="132"/>
      <c r="I241" s="132"/>
      <c r="J241" s="132"/>
      <c r="K241" s="132"/>
      <c r="L241" s="132"/>
      <c r="M241" s="132"/>
      <c r="N241" s="132"/>
      <c r="O241" s="132"/>
      <c r="P241" s="132"/>
      <c r="Q241" s="132"/>
      <c r="R241" s="132"/>
      <c r="S241" s="132"/>
      <c r="T241" s="132"/>
      <c r="U241" s="132"/>
      <c r="V241" s="132"/>
      <c r="W241" s="132"/>
      <c r="X241" s="132"/>
    </row>
    <row r="242" spans="4:24" ht="35.1" customHeight="1">
      <c r="D242" s="8"/>
      <c r="F242" s="132"/>
      <c r="G242" s="132"/>
      <c r="H242" s="132"/>
      <c r="I242" s="132"/>
      <c r="J242" s="132"/>
      <c r="K242" s="132"/>
      <c r="L242" s="132"/>
      <c r="M242" s="132"/>
      <c r="N242" s="132"/>
      <c r="O242" s="132"/>
      <c r="P242" s="132"/>
      <c r="Q242" s="132"/>
      <c r="R242" s="132"/>
      <c r="S242" s="132"/>
      <c r="T242" s="132"/>
      <c r="U242" s="132"/>
      <c r="V242" s="132"/>
      <c r="W242" s="132"/>
      <c r="X242" s="132"/>
    </row>
    <row r="243" spans="4:24" ht="35.1" customHeight="1">
      <c r="D243" s="8"/>
      <c r="F243" s="132"/>
      <c r="G243" s="132"/>
      <c r="H243" s="132"/>
      <c r="I243" s="132"/>
      <c r="J243" s="132"/>
      <c r="K243" s="132"/>
      <c r="L243" s="132"/>
      <c r="M243" s="132"/>
      <c r="N243" s="132"/>
      <c r="O243" s="132"/>
      <c r="P243" s="132"/>
      <c r="Q243" s="132"/>
      <c r="R243" s="132"/>
      <c r="S243" s="132"/>
      <c r="T243" s="132"/>
      <c r="U243" s="132"/>
      <c r="V243" s="132"/>
      <c r="W243" s="132"/>
      <c r="X243" s="132"/>
    </row>
    <row r="244" spans="4:24" ht="35.1" customHeight="1">
      <c r="F244" s="132"/>
      <c r="G244" s="132"/>
      <c r="H244" s="132"/>
      <c r="I244" s="132"/>
      <c r="J244" s="132"/>
      <c r="K244" s="132"/>
      <c r="L244" s="132"/>
      <c r="M244" s="132"/>
      <c r="N244" s="132"/>
      <c r="O244" s="132"/>
      <c r="P244" s="132"/>
      <c r="Q244" s="132"/>
      <c r="R244" s="132"/>
      <c r="S244" s="132"/>
      <c r="T244" s="132"/>
      <c r="U244" s="132"/>
      <c r="V244" s="132"/>
      <c r="W244" s="132"/>
      <c r="X244" s="132"/>
    </row>
    <row r="245" spans="4:24" ht="35.1" customHeight="1">
      <c r="F245" s="132"/>
      <c r="G245" s="132"/>
      <c r="H245" s="132"/>
      <c r="I245" s="132"/>
      <c r="J245" s="132"/>
      <c r="K245" s="132"/>
      <c r="L245" s="132"/>
      <c r="M245" s="132"/>
      <c r="N245" s="132"/>
      <c r="O245" s="132"/>
      <c r="P245" s="132"/>
      <c r="Q245" s="132"/>
      <c r="R245" s="132"/>
      <c r="S245" s="132"/>
      <c r="T245" s="132"/>
      <c r="U245" s="132"/>
      <c r="V245" s="132"/>
      <c r="W245" s="132"/>
      <c r="X245" s="132"/>
    </row>
    <row r="246" spans="4:24" ht="35.1" customHeight="1">
      <c r="F246" s="132"/>
      <c r="G246" s="132"/>
      <c r="H246" s="132"/>
      <c r="I246" s="132"/>
      <c r="J246" s="132"/>
      <c r="K246" s="132"/>
      <c r="L246" s="132"/>
      <c r="M246" s="132"/>
      <c r="N246" s="132"/>
      <c r="O246" s="132"/>
      <c r="P246" s="132"/>
      <c r="Q246" s="132"/>
      <c r="R246" s="132"/>
      <c r="S246" s="132"/>
      <c r="T246" s="132"/>
      <c r="U246" s="132"/>
      <c r="V246" s="132"/>
      <c r="W246" s="132"/>
      <c r="X246" s="132"/>
    </row>
    <row r="247" spans="4:24" ht="35.1" customHeight="1">
      <c r="F247" s="132"/>
      <c r="G247" s="132"/>
      <c r="H247" s="132"/>
      <c r="I247" s="132"/>
      <c r="J247" s="132"/>
      <c r="K247" s="132"/>
      <c r="L247" s="132"/>
      <c r="M247" s="132"/>
      <c r="N247" s="132"/>
      <c r="O247" s="132"/>
      <c r="P247" s="132"/>
      <c r="Q247" s="132"/>
      <c r="R247" s="132"/>
      <c r="S247" s="132"/>
      <c r="T247" s="132"/>
      <c r="U247" s="132"/>
      <c r="V247" s="132"/>
      <c r="W247" s="132"/>
      <c r="X247" s="132"/>
    </row>
    <row r="248" spans="4:24" ht="35.1" customHeight="1">
      <c r="F248" s="132"/>
      <c r="G248" s="132"/>
      <c r="H248" s="132"/>
      <c r="I248" s="132"/>
      <c r="J248" s="132"/>
      <c r="K248" s="132"/>
      <c r="L248" s="132"/>
      <c r="M248" s="132"/>
      <c r="N248" s="132"/>
      <c r="O248" s="132"/>
      <c r="P248" s="132"/>
      <c r="Q248" s="132"/>
      <c r="R248" s="132"/>
      <c r="S248" s="132"/>
      <c r="T248" s="132"/>
      <c r="U248" s="132"/>
      <c r="V248" s="132"/>
      <c r="W248" s="132"/>
      <c r="X248" s="132"/>
    </row>
    <row r="249" spans="4:24" ht="35.1" customHeight="1">
      <c r="F249" s="132"/>
      <c r="G249" s="132"/>
      <c r="H249" s="132"/>
      <c r="I249" s="132"/>
      <c r="J249" s="132"/>
      <c r="K249" s="132"/>
      <c r="L249" s="132"/>
      <c r="M249" s="132"/>
      <c r="N249" s="132"/>
      <c r="O249" s="132"/>
      <c r="P249" s="132"/>
      <c r="Q249" s="132"/>
      <c r="R249" s="132"/>
      <c r="S249" s="132"/>
      <c r="T249" s="132"/>
      <c r="U249" s="132"/>
      <c r="V249" s="132"/>
      <c r="W249" s="132"/>
      <c r="X249" s="132"/>
    </row>
    <row r="250" spans="4:24" ht="35.1" customHeight="1">
      <c r="F250" s="132"/>
      <c r="G250" s="132"/>
      <c r="H250" s="132"/>
      <c r="I250" s="132"/>
      <c r="J250" s="132"/>
      <c r="K250" s="132"/>
      <c r="L250" s="132"/>
      <c r="M250" s="132"/>
      <c r="N250" s="132"/>
      <c r="O250" s="132"/>
      <c r="P250" s="132"/>
      <c r="Q250" s="132"/>
      <c r="R250" s="132"/>
      <c r="S250" s="132"/>
      <c r="T250" s="132"/>
      <c r="U250" s="132"/>
      <c r="V250" s="132"/>
      <c r="W250" s="132"/>
      <c r="X250" s="132"/>
    </row>
    <row r="251" spans="4:24" ht="35.1" customHeight="1">
      <c r="F251" s="132"/>
      <c r="G251" s="132"/>
      <c r="H251" s="132"/>
      <c r="I251" s="132"/>
      <c r="J251" s="132"/>
      <c r="K251" s="132"/>
      <c r="L251" s="132"/>
      <c r="M251" s="132"/>
      <c r="N251" s="132"/>
      <c r="O251" s="132"/>
      <c r="P251" s="132"/>
      <c r="Q251" s="132"/>
      <c r="R251" s="132"/>
      <c r="S251" s="132"/>
      <c r="T251" s="132"/>
      <c r="U251" s="132"/>
      <c r="V251" s="132"/>
      <c r="W251" s="132"/>
      <c r="X251" s="132"/>
    </row>
    <row r="252" spans="4:24" ht="35.1" customHeight="1">
      <c r="F252" s="132"/>
      <c r="G252" s="132"/>
      <c r="H252" s="132"/>
      <c r="I252" s="132"/>
      <c r="J252" s="132"/>
      <c r="K252" s="132"/>
      <c r="L252" s="132"/>
      <c r="M252" s="132"/>
      <c r="N252" s="132"/>
      <c r="O252" s="132"/>
      <c r="P252" s="132"/>
      <c r="Q252" s="132"/>
      <c r="R252" s="132"/>
      <c r="S252" s="132"/>
      <c r="T252" s="132"/>
      <c r="U252" s="132"/>
      <c r="V252" s="132"/>
      <c r="W252" s="132"/>
      <c r="X252" s="132"/>
    </row>
    <row r="253" spans="4:24" ht="35.1" customHeight="1">
      <c r="F253" s="132"/>
      <c r="G253" s="132"/>
      <c r="H253" s="132"/>
      <c r="I253" s="132"/>
      <c r="J253" s="132"/>
      <c r="K253" s="132"/>
      <c r="L253" s="132"/>
      <c r="M253" s="132"/>
      <c r="N253" s="132"/>
      <c r="O253" s="132"/>
      <c r="P253" s="132"/>
      <c r="Q253" s="132"/>
      <c r="R253" s="132"/>
      <c r="S253" s="132"/>
      <c r="T253" s="132"/>
      <c r="U253" s="132"/>
      <c r="V253" s="132"/>
      <c r="W253" s="132"/>
      <c r="X253" s="132"/>
    </row>
    <row r="254" spans="4:24">
      <c r="F254" s="132"/>
      <c r="G254" s="132"/>
      <c r="H254" s="132"/>
      <c r="I254" s="132"/>
      <c r="J254" s="132"/>
      <c r="K254" s="132"/>
      <c r="L254" s="132"/>
      <c r="M254" s="132"/>
      <c r="N254" s="132"/>
      <c r="O254" s="132"/>
      <c r="P254" s="132"/>
      <c r="Q254" s="132"/>
      <c r="R254" s="132"/>
      <c r="S254" s="132"/>
      <c r="T254" s="132"/>
      <c r="U254" s="132"/>
      <c r="V254" s="132"/>
      <c r="W254" s="132"/>
      <c r="X254" s="132"/>
    </row>
  </sheetData>
  <autoFilter ref="A1:A254">
    <filterColumn colId="0"/>
  </autoFilter>
  <mergeCells count="42">
    <mergeCell ref="A207:A217"/>
    <mergeCell ref="B215:D215"/>
    <mergeCell ref="C216:D216"/>
    <mergeCell ref="A218:A233"/>
    <mergeCell ref="C219:D219"/>
    <mergeCell ref="B224:D224"/>
    <mergeCell ref="C225:D225"/>
    <mergeCell ref="C228:D228"/>
    <mergeCell ref="C232:D232"/>
    <mergeCell ref="A177:A186"/>
    <mergeCell ref="B178:D178"/>
    <mergeCell ref="C179:D179"/>
    <mergeCell ref="A187:A196"/>
    <mergeCell ref="C196:D196"/>
    <mergeCell ref="A197:A206"/>
    <mergeCell ref="C201:D201"/>
    <mergeCell ref="C206:D206"/>
    <mergeCell ref="A140:A149"/>
    <mergeCell ref="C140:D140"/>
    <mergeCell ref="A150:A156"/>
    <mergeCell ref="A157:A166"/>
    <mergeCell ref="A167:A176"/>
    <mergeCell ref="C167:D167"/>
    <mergeCell ref="A110:A119"/>
    <mergeCell ref="C110:D110"/>
    <mergeCell ref="B111:D111"/>
    <mergeCell ref="C112:D112"/>
    <mergeCell ref="A120:A129"/>
    <mergeCell ref="A130:A139"/>
    <mergeCell ref="C133:D133"/>
    <mergeCell ref="C47:D47"/>
    <mergeCell ref="C55:D55"/>
    <mergeCell ref="C63:D63"/>
    <mergeCell ref="C82:D82"/>
    <mergeCell ref="C96:D96"/>
    <mergeCell ref="C108:D108"/>
    <mergeCell ref="C2:D2"/>
    <mergeCell ref="C4:D4"/>
    <mergeCell ref="C5:D5"/>
    <mergeCell ref="C9:D9"/>
    <mergeCell ref="C25:D25"/>
    <mergeCell ref="C26:D26"/>
  </mergeCells>
  <pageMargins left="0" right="0" top="0" bottom="0.39370078740157483" header="0" footer="0"/>
  <pageSetup paperSize="8" scale="40" orientation="landscape" r:id="rId1"/>
  <headerFooter>
    <oddFooter>&amp;R&amp;"Arial,Negrito"&amp;16&amp;D  /   &amp;T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10</vt:i4>
      </vt:variant>
    </vt:vector>
  </HeadingPairs>
  <TitlesOfParts>
    <vt:vector size="11" baseType="lpstr">
      <vt:lpstr>gestao</vt:lpstr>
      <vt:lpstr>gestao!Area_de_impressao</vt:lpstr>
      <vt:lpstr>BENEFICIOS</vt:lpstr>
      <vt:lpstr>DESPGER</vt:lpstr>
      <vt:lpstr>ENCARGOS</vt:lpstr>
      <vt:lpstr>FORNECEDOR</vt:lpstr>
      <vt:lpstr>INVESTIMENTO</vt:lpstr>
      <vt:lpstr>LANÇAMENTO</vt:lpstr>
      <vt:lpstr>OUTPESS</vt:lpstr>
      <vt:lpstr>TERCEIRIZACAO</vt:lpstr>
      <vt:lpstr>gestao!Titulos_de_impressao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Sptrans</dc:creator>
  <cp:lastModifiedBy>Sptrans</cp:lastModifiedBy>
  <dcterms:created xsi:type="dcterms:W3CDTF">2017-12-15T13:15:39Z</dcterms:created>
  <dcterms:modified xsi:type="dcterms:W3CDTF">2017-12-15T13:16:47Z</dcterms:modified>
</cp:coreProperties>
</file>