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<sst xmlns="http://schemas.openxmlformats.org/spreadsheetml/2006/main" count="106" uniqueCount="104">
  <si>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</si>
  <si>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</si>
  <si>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</si>
  <si>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</si>
  <si>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</si>
  <si>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</si>
  <si>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</si>
  <si>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</si>
  <si>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</si>
  <si>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</si>
  <si>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</si>
  <si>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</si>
  <si>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</si>
  <si>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</si>
  <si>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</si>
  <si>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</si>
  <si>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</si>
  <si>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</si>
  <si>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</si>
  <si>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</si>
  <si>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</si>
  <si>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</si>
  <si>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</si>
  <si>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</si>
  <si>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</si>
  <si>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</si>
  <si>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</si>
  <si>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</si>
  <si>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</si>
  <si>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</si>
  <si>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</si>
  <si>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</si>
  <si>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</si>
  <si>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</si>
  <si>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</si>
  <si>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</si>
  <si>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</si>
  <si>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</si>
  <si>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</si>
  <si>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</si>
  <si>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</si>
  <si>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</si>
  <si>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</si>
  <si>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</si>
  <si>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</si>
  <si>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</si>
  <si>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</si>
  <si>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</si>
  <si>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</si>
  <si>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</si>
  <si>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</si>
  <si>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</si>
  <si>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</si>
  <si>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</si>
  <si>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</si>
  <si>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</si>
  <si>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</si>
  <si>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</si>
  <si>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</si>
  <si>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</si>
  <si>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</si>
  <si>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</si>
  <si>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</si>
  <si>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</si>
  <si>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</si>
  <si>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</si>
  <si>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</si>
  <si>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</si>
  <si>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</si>
  <si>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</si>
  <si>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</si>
  <si>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</si>
  <si>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</si>
  <si>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</si>
  <si>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</si>
  <si>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</si>
  <si>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</si>
  <si>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</si>
  <si>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</si>
  <si>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</si>
  <si>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</si>
  <si>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</si>
  <si>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</si>
  <si>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</si>
  <si>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</si>
  <si>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</si>
  <si>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</si>
  <si>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</si>
  <si>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</si>
  <si>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</si>
  <si>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</si>
  <si>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</si>
  <si>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</si>
  <si>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</si>
  <si>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</si>
  <si>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</si>
  <si>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</si>
  <si>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</si>
  <si>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</si>
  <si>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23/06/17 - VENCIMENTO 30/06/17</t>
  </si>
  <si>
    <t>5.2.8. Ajuste de Remuneração Previsto Contratualmente (1)</t>
  </si>
  <si>
    <t>5.3. Revisão de Remuneração pelo Transporte Coletivo (2)</t>
  </si>
  <si>
    <t>Nota:  (1) Ajuste de remuneração previsto contratualmente, período de 04 a 24/05/17, parcela 8/8.
               (2) Revisão referente ao reajuste da tarifa de remuneração, período de 01/05 a 11/06/17, parcela 9/9.
                     Remuneração da rede da madrugada (linhas noturnas), mês de maio/17, todas as áreas.
               (3) Tarifa de remuneração de cada empresa considerando o  reequilibrio interno estabelecido e informado pelo consórcio. Não consideram os acertos financeiros previstos no item 7.</t>
  </si>
  <si>
    <t>8. Tarifa de Remuneração por Passageiro (3)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</si>
</sst>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088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088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088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505771</v>
      </c>
      <c r="C7" s="10">
        <f>C8+C20+C24</f>
        <v>371725</v>
      </c>
      <c r="D7" s="10">
        <f>D8+D20+D24</f>
        <v>383286</v>
      </c>
      <c r="E7" s="10">
        <f>E8+E20+E24</f>
        <v>52787</v>
      </c>
      <c r="F7" s="10">
        <f aca="true" t="shared" si="0" ref="F7:M7">F8+F20+F24</f>
        <v>325918</v>
      </c>
      <c r="G7" s="10">
        <f t="shared" si="0"/>
        <v>515720</v>
      </c>
      <c r="H7" s="10">
        <f t="shared" si="0"/>
        <v>469666</v>
      </c>
      <c r="I7" s="10">
        <f t="shared" si="0"/>
        <v>418339</v>
      </c>
      <c r="J7" s="10">
        <f t="shared" si="0"/>
        <v>300474</v>
      </c>
      <c r="K7" s="10">
        <f t="shared" si="0"/>
        <v>366909</v>
      </c>
      <c r="L7" s="10">
        <f t="shared" si="0"/>
        <v>152179</v>
      </c>
      <c r="M7" s="10">
        <f t="shared" si="0"/>
        <v>90200</v>
      </c>
      <c r="N7" s="10">
        <f>+N8+N20+N24</f>
        <v>3952974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210450</v>
      </c>
      <c r="C8" s="12">
        <f>+C9+C12+C16</f>
        <v>167901</v>
      </c>
      <c r="D8" s="12">
        <f>+D9+D12+D16</f>
        <v>187122</v>
      </c>
      <c r="E8" s="12">
        <f>+E9+E12+E16</f>
        <v>23416</v>
      </c>
      <c r="F8" s="12">
        <f aca="true" t="shared" si="1" ref="F8:M8">+F9+F12+F16</f>
        <v>144566</v>
      </c>
      <c r="G8" s="12">
        <f t="shared" si="1"/>
        <v>237855</v>
      </c>
      <c r="H8" s="12">
        <f t="shared" si="1"/>
        <v>210262</v>
      </c>
      <c r="I8" s="12">
        <f t="shared" si="1"/>
        <v>192248</v>
      </c>
      <c r="J8" s="12">
        <f t="shared" si="1"/>
        <v>138196</v>
      </c>
      <c r="K8" s="12">
        <f t="shared" si="1"/>
        <v>158510</v>
      </c>
      <c r="L8" s="12">
        <f t="shared" si="1"/>
        <v>75692</v>
      </c>
      <c r="M8" s="12">
        <f t="shared" si="1"/>
        <v>46161</v>
      </c>
      <c r="N8" s="12">
        <f>SUM(B8:M8)</f>
        <v>1792379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19556</v>
      </c>
      <c r="C9" s="14">
        <v>20421</v>
      </c>
      <c r="D9" s="14">
        <v>14520</v>
      </c>
      <c r="E9" s="14">
        <v>1447</v>
      </c>
      <c r="F9" s="14">
        <v>11916</v>
      </c>
      <c r="G9" s="14">
        <v>22500</v>
      </c>
      <c r="H9" s="14">
        <v>25960</v>
      </c>
      <c r="I9" s="14">
        <v>12198</v>
      </c>
      <c r="J9" s="14">
        <v>15697</v>
      </c>
      <c r="K9" s="14">
        <v>11958</v>
      </c>
      <c r="L9" s="14">
        <v>8510</v>
      </c>
      <c r="M9" s="14">
        <v>5835</v>
      </c>
      <c r="N9" s="12">
        <f aca="true" t="shared" si="2" ref="N9:N19">SUM(B9:M9)</f>
        <v>170518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19556</v>
      </c>
      <c r="C10" s="14">
        <f>+C9-C11</f>
        <v>20421</v>
      </c>
      <c r="D10" s="14">
        <f>+D9-D11</f>
        <v>14520</v>
      </c>
      <c r="E10" s="14">
        <f>+E9-E11</f>
        <v>1447</v>
      </c>
      <c r="F10" s="14">
        <f aca="true" t="shared" si="3" ref="F10:M10">+F9-F11</f>
        <v>11916</v>
      </c>
      <c r="G10" s="14">
        <f t="shared" si="3"/>
        <v>22500</v>
      </c>
      <c r="H10" s="14">
        <f t="shared" si="3"/>
        <v>25960</v>
      </c>
      <c r="I10" s="14">
        <f t="shared" si="3"/>
        <v>12198</v>
      </c>
      <c r="J10" s="14">
        <f t="shared" si="3"/>
        <v>15697</v>
      </c>
      <c r="K10" s="14">
        <f t="shared" si="3"/>
        <v>11958</v>
      </c>
      <c r="L10" s="14">
        <f t="shared" si="3"/>
        <v>8510</v>
      </c>
      <c r="M10" s="14">
        <f t="shared" si="3"/>
        <v>5835</v>
      </c>
      <c r="N10" s="12">
        <f t="shared" si="2"/>
        <v>170518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177788</v>
      </c>
      <c r="C12" s="14">
        <f>C13+C14+C15</f>
        <v>137925</v>
      </c>
      <c r="D12" s="14">
        <f>D13+D14+D15</f>
        <v>162390</v>
      </c>
      <c r="E12" s="14">
        <f>E13+E14+E15</f>
        <v>20639</v>
      </c>
      <c r="F12" s="14">
        <f aca="true" t="shared" si="4" ref="F12:M12">F13+F14+F15</f>
        <v>124112</v>
      </c>
      <c r="G12" s="14">
        <f t="shared" si="4"/>
        <v>200223</v>
      </c>
      <c r="H12" s="14">
        <f t="shared" si="4"/>
        <v>172123</v>
      </c>
      <c r="I12" s="14">
        <f t="shared" si="4"/>
        <v>167520</v>
      </c>
      <c r="J12" s="14">
        <f t="shared" si="4"/>
        <v>114190</v>
      </c>
      <c r="K12" s="14">
        <f t="shared" si="4"/>
        <v>135322</v>
      </c>
      <c r="L12" s="14">
        <f t="shared" si="4"/>
        <v>62932</v>
      </c>
      <c r="M12" s="14">
        <f t="shared" si="4"/>
        <v>38072</v>
      </c>
      <c r="N12" s="12">
        <f t="shared" si="2"/>
        <v>1513236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87660</v>
      </c>
      <c r="C13" s="14">
        <v>69597</v>
      </c>
      <c r="D13" s="14">
        <v>78934</v>
      </c>
      <c r="E13" s="14">
        <v>10348</v>
      </c>
      <c r="F13" s="14">
        <v>59619</v>
      </c>
      <c r="G13" s="14">
        <v>98058</v>
      </c>
      <c r="H13" s="14">
        <v>89137</v>
      </c>
      <c r="I13" s="14">
        <v>85280</v>
      </c>
      <c r="J13" s="14">
        <v>56254</v>
      </c>
      <c r="K13" s="14">
        <v>66132</v>
      </c>
      <c r="L13" s="14">
        <v>30414</v>
      </c>
      <c r="M13" s="14">
        <v>17950</v>
      </c>
      <c r="N13" s="12">
        <f t="shared" si="2"/>
        <v>749383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85676</v>
      </c>
      <c r="C14" s="14">
        <v>62678</v>
      </c>
      <c r="D14" s="14">
        <v>80583</v>
      </c>
      <c r="E14" s="14">
        <v>9613</v>
      </c>
      <c r="F14" s="14">
        <v>60826</v>
      </c>
      <c r="G14" s="14">
        <v>94460</v>
      </c>
      <c r="H14" s="14">
        <v>77855</v>
      </c>
      <c r="I14" s="14">
        <v>79401</v>
      </c>
      <c r="J14" s="14">
        <v>54842</v>
      </c>
      <c r="K14" s="14">
        <v>66344</v>
      </c>
      <c r="L14" s="14">
        <v>30646</v>
      </c>
      <c r="M14" s="14">
        <v>19246</v>
      </c>
      <c r="N14" s="12">
        <f t="shared" si="2"/>
        <v>722170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4452</v>
      </c>
      <c r="C15" s="14">
        <v>5650</v>
      </c>
      <c r="D15" s="14">
        <v>2873</v>
      </c>
      <c r="E15" s="14">
        <v>678</v>
      </c>
      <c r="F15" s="14">
        <v>3667</v>
      </c>
      <c r="G15" s="14">
        <v>7705</v>
      </c>
      <c r="H15" s="14">
        <v>5131</v>
      </c>
      <c r="I15" s="14">
        <v>2839</v>
      </c>
      <c r="J15" s="14">
        <v>3094</v>
      </c>
      <c r="K15" s="14">
        <v>2846</v>
      </c>
      <c r="L15" s="14">
        <v>1872</v>
      </c>
      <c r="M15" s="14">
        <v>876</v>
      </c>
      <c r="N15" s="12">
        <f t="shared" si="2"/>
        <v>41683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13106</v>
      </c>
      <c r="C16" s="14">
        <f>C17+C18+C19</f>
        <v>9555</v>
      </c>
      <c r="D16" s="14">
        <f>D17+D18+D19</f>
        <v>10212</v>
      </c>
      <c r="E16" s="14">
        <f>E17+E18+E19</f>
        <v>1330</v>
      </c>
      <c r="F16" s="14">
        <f aca="true" t="shared" si="5" ref="F16:M16">F17+F18+F19</f>
        <v>8538</v>
      </c>
      <c r="G16" s="14">
        <f t="shared" si="5"/>
        <v>15132</v>
      </c>
      <c r="H16" s="14">
        <f t="shared" si="5"/>
        <v>12179</v>
      </c>
      <c r="I16" s="14">
        <f t="shared" si="5"/>
        <v>12530</v>
      </c>
      <c r="J16" s="14">
        <f t="shared" si="5"/>
        <v>8309</v>
      </c>
      <c r="K16" s="14">
        <f t="shared" si="5"/>
        <v>11230</v>
      </c>
      <c r="L16" s="14">
        <f t="shared" si="5"/>
        <v>4250</v>
      </c>
      <c r="M16" s="14">
        <f t="shared" si="5"/>
        <v>2254</v>
      </c>
      <c r="N16" s="12">
        <f t="shared" si="2"/>
        <v>108625</v>
      </c>
    </row>
    <row r="17" spans="1:25" ht="18.75" customHeight="1">
      <c r="A17" s="15" t="s">
        <v>16</v>
      </c>
      <c r="B17" s="14">
        <v>12539</v>
      </c>
      <c r="C17" s="14">
        <v>9163</v>
      </c>
      <c r="D17" s="14">
        <v>9724</v>
      </c>
      <c r="E17" s="14">
        <v>1261</v>
      </c>
      <c r="F17" s="14">
        <v>8153</v>
      </c>
      <c r="G17" s="14">
        <v>14535</v>
      </c>
      <c r="H17" s="14">
        <v>11630</v>
      </c>
      <c r="I17" s="14">
        <v>12131</v>
      </c>
      <c r="J17" s="14">
        <v>7919</v>
      </c>
      <c r="K17" s="14">
        <v>10674</v>
      </c>
      <c r="L17" s="14">
        <v>4011</v>
      </c>
      <c r="M17" s="14">
        <v>2122</v>
      </c>
      <c r="N17" s="12">
        <f t="shared" si="2"/>
        <v>103862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566</v>
      </c>
      <c r="C18" s="14">
        <v>383</v>
      </c>
      <c r="D18" s="14">
        <v>488</v>
      </c>
      <c r="E18" s="14">
        <v>67</v>
      </c>
      <c r="F18" s="14">
        <v>384</v>
      </c>
      <c r="G18" s="14">
        <v>590</v>
      </c>
      <c r="H18" s="14">
        <v>538</v>
      </c>
      <c r="I18" s="14">
        <v>393</v>
      </c>
      <c r="J18" s="14">
        <v>383</v>
      </c>
      <c r="K18" s="14">
        <v>539</v>
      </c>
      <c r="L18" s="14">
        <v>239</v>
      </c>
      <c r="M18" s="14">
        <v>132</v>
      </c>
      <c r="N18" s="12">
        <f t="shared" si="2"/>
        <v>4702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</v>
      </c>
      <c r="C19" s="14">
        <v>9</v>
      </c>
      <c r="D19" s="14">
        <v>0</v>
      </c>
      <c r="E19" s="14">
        <v>2</v>
      </c>
      <c r="F19" s="14">
        <v>1</v>
      </c>
      <c r="G19" s="14">
        <v>7</v>
      </c>
      <c r="H19" s="14">
        <v>11</v>
      </c>
      <c r="I19" s="14">
        <v>6</v>
      </c>
      <c r="J19" s="14">
        <v>7</v>
      </c>
      <c r="K19" s="14">
        <v>17</v>
      </c>
      <c r="L19" s="14">
        <v>0</v>
      </c>
      <c r="M19" s="14">
        <v>0</v>
      </c>
      <c r="N19" s="12">
        <f t="shared" si="2"/>
        <v>61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128335</v>
      </c>
      <c r="C20" s="18">
        <f>C21+C22+C23</f>
        <v>81729</v>
      </c>
      <c r="D20" s="18">
        <f>D21+D22+D23</f>
        <v>76665</v>
      </c>
      <c r="E20" s="18">
        <f>E21+E22+E23</f>
        <v>10428</v>
      </c>
      <c r="F20" s="18">
        <f aca="true" t="shared" si="6" ref="F20:M20">F21+F22+F23</f>
        <v>66340</v>
      </c>
      <c r="G20" s="18">
        <f t="shared" si="6"/>
        <v>106577</v>
      </c>
      <c r="H20" s="18">
        <f t="shared" si="6"/>
        <v>111339</v>
      </c>
      <c r="I20" s="18">
        <f t="shared" si="6"/>
        <v>104256</v>
      </c>
      <c r="J20" s="18">
        <f t="shared" si="6"/>
        <v>69663</v>
      </c>
      <c r="K20" s="18">
        <f t="shared" si="6"/>
        <v>106246</v>
      </c>
      <c r="L20" s="18">
        <f t="shared" si="6"/>
        <v>41046</v>
      </c>
      <c r="M20" s="18">
        <f t="shared" si="6"/>
        <v>23834</v>
      </c>
      <c r="N20" s="12">
        <f aca="true" t="shared" si="7" ref="N20:N26">SUM(B20:M20)</f>
        <v>926458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68689</v>
      </c>
      <c r="C21" s="14">
        <v>47242</v>
      </c>
      <c r="D21" s="14">
        <v>42340</v>
      </c>
      <c r="E21" s="14">
        <v>6001</v>
      </c>
      <c r="F21" s="14">
        <v>36139</v>
      </c>
      <c r="G21" s="14">
        <v>59300</v>
      </c>
      <c r="H21" s="14">
        <v>64435</v>
      </c>
      <c r="I21" s="14">
        <v>59181</v>
      </c>
      <c r="J21" s="14">
        <v>38700</v>
      </c>
      <c r="K21" s="14">
        <v>56620</v>
      </c>
      <c r="L21" s="14">
        <v>22047</v>
      </c>
      <c r="M21" s="14">
        <v>12448</v>
      </c>
      <c r="N21" s="12">
        <f t="shared" si="7"/>
        <v>513142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57363</v>
      </c>
      <c r="C22" s="14">
        <v>32480</v>
      </c>
      <c r="D22" s="14">
        <v>33166</v>
      </c>
      <c r="E22" s="14">
        <v>4172</v>
      </c>
      <c r="F22" s="14">
        <v>28804</v>
      </c>
      <c r="G22" s="14">
        <v>44463</v>
      </c>
      <c r="H22" s="14">
        <v>44912</v>
      </c>
      <c r="I22" s="14">
        <v>43645</v>
      </c>
      <c r="J22" s="14">
        <v>29591</v>
      </c>
      <c r="K22" s="14">
        <v>47909</v>
      </c>
      <c r="L22" s="14">
        <v>18196</v>
      </c>
      <c r="M22" s="14">
        <v>10953</v>
      </c>
      <c r="N22" s="12">
        <f t="shared" si="7"/>
        <v>395654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2283</v>
      </c>
      <c r="C23" s="14">
        <v>2007</v>
      </c>
      <c r="D23" s="14">
        <v>1159</v>
      </c>
      <c r="E23" s="14">
        <v>255</v>
      </c>
      <c r="F23" s="14">
        <v>1397</v>
      </c>
      <c r="G23" s="14">
        <v>2814</v>
      </c>
      <c r="H23" s="14">
        <v>1992</v>
      </c>
      <c r="I23" s="14">
        <v>1430</v>
      </c>
      <c r="J23" s="14">
        <v>1372</v>
      </c>
      <c r="K23" s="14">
        <v>1717</v>
      </c>
      <c r="L23" s="14">
        <v>803</v>
      </c>
      <c r="M23" s="14">
        <v>433</v>
      </c>
      <c r="N23" s="12">
        <f t="shared" si="7"/>
        <v>17662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166986</v>
      </c>
      <c r="C24" s="14">
        <f>C25+C26</f>
        <v>122095</v>
      </c>
      <c r="D24" s="14">
        <f>D25+D26</f>
        <v>119499</v>
      </c>
      <c r="E24" s="14">
        <f>E25+E26</f>
        <v>18943</v>
      </c>
      <c r="F24" s="14">
        <f aca="true" t="shared" si="8" ref="F24:M24">F25+F26</f>
        <v>115012</v>
      </c>
      <c r="G24" s="14">
        <f t="shared" si="8"/>
        <v>171288</v>
      </c>
      <c r="H24" s="14">
        <f t="shared" si="8"/>
        <v>148065</v>
      </c>
      <c r="I24" s="14">
        <f t="shared" si="8"/>
        <v>121835</v>
      </c>
      <c r="J24" s="14">
        <f t="shared" si="8"/>
        <v>92615</v>
      </c>
      <c r="K24" s="14">
        <f t="shared" si="8"/>
        <v>102153</v>
      </c>
      <c r="L24" s="14">
        <f t="shared" si="8"/>
        <v>35441</v>
      </c>
      <c r="M24" s="14">
        <f t="shared" si="8"/>
        <v>20205</v>
      </c>
      <c r="N24" s="12">
        <f t="shared" si="7"/>
        <v>1234137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67835</v>
      </c>
      <c r="C25" s="14">
        <v>58133</v>
      </c>
      <c r="D25" s="14">
        <v>55310</v>
      </c>
      <c r="E25" s="14">
        <v>9900</v>
      </c>
      <c r="F25" s="14">
        <v>52837</v>
      </c>
      <c r="G25" s="14">
        <v>83074</v>
      </c>
      <c r="H25" s="14">
        <v>74386</v>
      </c>
      <c r="I25" s="14">
        <v>51783</v>
      </c>
      <c r="J25" s="14">
        <v>45233</v>
      </c>
      <c r="K25" s="14">
        <v>43809</v>
      </c>
      <c r="L25" s="14">
        <v>15244</v>
      </c>
      <c r="M25" s="14">
        <v>8076</v>
      </c>
      <c r="N25" s="12">
        <f t="shared" si="7"/>
        <v>565620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99151</v>
      </c>
      <c r="C26" s="14">
        <v>63962</v>
      </c>
      <c r="D26" s="14">
        <v>64189</v>
      </c>
      <c r="E26" s="14">
        <v>9043</v>
      </c>
      <c r="F26" s="14">
        <v>62175</v>
      </c>
      <c r="G26" s="14">
        <v>88214</v>
      </c>
      <c r="H26" s="14">
        <v>73679</v>
      </c>
      <c r="I26" s="14">
        <v>70052</v>
      </c>
      <c r="J26" s="14">
        <v>47382</v>
      </c>
      <c r="K26" s="14">
        <v>58344</v>
      </c>
      <c r="L26" s="14">
        <v>20197</v>
      </c>
      <c r="M26" s="14">
        <v>12129</v>
      </c>
      <c r="N26" s="12">
        <f t="shared" si="7"/>
        <v>668517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1056629.1032096602</v>
      </c>
      <c r="C36" s="60">
        <f aca="true" t="shared" si="11" ref="C36:M36">C37+C38+C39+C40</f>
        <v>750351.7301124999</v>
      </c>
      <c r="D36" s="60">
        <f t="shared" si="11"/>
        <v>726276.1570643</v>
      </c>
      <c r="E36" s="60">
        <f t="shared" si="11"/>
        <v>137254.7285808</v>
      </c>
      <c r="F36" s="60">
        <f t="shared" si="11"/>
        <v>711014.1630519</v>
      </c>
      <c r="G36" s="60">
        <f t="shared" si="11"/>
        <v>892176.0160000001</v>
      </c>
      <c r="H36" s="60">
        <f t="shared" si="11"/>
        <v>951012.3142000001</v>
      </c>
      <c r="I36" s="60">
        <f t="shared" si="11"/>
        <v>826804.8681002</v>
      </c>
      <c r="J36" s="60">
        <f t="shared" si="11"/>
        <v>668910.7596582</v>
      </c>
      <c r="K36" s="60">
        <f t="shared" si="11"/>
        <v>780981.24999184</v>
      </c>
      <c r="L36" s="60">
        <f t="shared" si="11"/>
        <v>384553.97238596994</v>
      </c>
      <c r="M36" s="60">
        <f t="shared" si="11"/>
        <v>223303.64611200002</v>
      </c>
      <c r="N36" s="60">
        <f>N37+N38+N39+N40</f>
        <v>8109268.70846737</v>
      </c>
    </row>
    <row r="37" spans="1:14" ht="18.75" customHeight="1">
      <c r="A37" s="57" t="s">
        <v>54</v>
      </c>
      <c r="B37" s="54">
        <f aca="true" t="shared" si="12" ref="B37:M37">B29*B7</f>
        <v>1056505.0419</v>
      </c>
      <c r="C37" s="54">
        <f t="shared" si="12"/>
        <v>750141.0499999999</v>
      </c>
      <c r="D37" s="54">
        <f t="shared" si="12"/>
        <v>716054.9052</v>
      </c>
      <c r="E37" s="54">
        <f t="shared" si="12"/>
        <v>136940.0354</v>
      </c>
      <c r="F37" s="54">
        <f t="shared" si="12"/>
        <v>710924.9334</v>
      </c>
      <c r="G37" s="54">
        <f t="shared" si="12"/>
        <v>892144.028</v>
      </c>
      <c r="H37" s="54">
        <f t="shared" si="12"/>
        <v>950744.8838000001</v>
      </c>
      <c r="I37" s="54">
        <f t="shared" si="12"/>
        <v>826637.864</v>
      </c>
      <c r="J37" s="54">
        <f t="shared" si="12"/>
        <v>668704.887</v>
      </c>
      <c r="K37" s="54">
        <f t="shared" si="12"/>
        <v>780672.2792999999</v>
      </c>
      <c r="L37" s="54">
        <f t="shared" si="12"/>
        <v>384404.154</v>
      </c>
      <c r="M37" s="54">
        <f t="shared" si="12"/>
        <v>223245</v>
      </c>
      <c r="N37" s="56">
        <f>SUM(B37:M37)</f>
        <v>8097119.062</v>
      </c>
    </row>
    <row r="38" spans="1:14" ht="18.75" customHeight="1">
      <c r="A38" s="57" t="s">
        <v>55</v>
      </c>
      <c r="B38" s="54">
        <f aca="true" t="shared" si="13" ref="B38:M38">B30*B7</f>
        <v>-3133.01869034</v>
      </c>
      <c r="C38" s="54">
        <f t="shared" si="13"/>
        <v>-2181.8398875</v>
      </c>
      <c r="D38" s="54">
        <f t="shared" si="13"/>
        <v>-2127.2181357</v>
      </c>
      <c r="E38" s="54">
        <f t="shared" si="13"/>
        <v>-331.5868192</v>
      </c>
      <c r="F38" s="54">
        <f t="shared" si="13"/>
        <v>-2072.1703481</v>
      </c>
      <c r="G38" s="54">
        <f t="shared" si="13"/>
        <v>-2630.172</v>
      </c>
      <c r="H38" s="54">
        <f t="shared" si="13"/>
        <v>-2630.1295999999998</v>
      </c>
      <c r="I38" s="54">
        <f t="shared" si="13"/>
        <v>-2379.5958998</v>
      </c>
      <c r="J38" s="54">
        <f t="shared" si="13"/>
        <v>-1912.7273418</v>
      </c>
      <c r="K38" s="54">
        <f t="shared" si="13"/>
        <v>-2293.26930816</v>
      </c>
      <c r="L38" s="54">
        <f t="shared" si="13"/>
        <v>-1121.3416140299998</v>
      </c>
      <c r="M38" s="54">
        <f t="shared" si="13"/>
        <v>-660.3938880000001</v>
      </c>
      <c r="N38" s="25">
        <f>SUM(B38:M38)</f>
        <v>-23473.463532629998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33215.26999999999</v>
      </c>
      <c r="C42" s="25">
        <f aca="true" t="shared" si="15" ref="C42:M42">+C43+C46+C55+C56</f>
        <v>37212.020000000004</v>
      </c>
      <c r="D42" s="25">
        <f t="shared" si="15"/>
        <v>18539.14</v>
      </c>
      <c r="E42" s="25">
        <f t="shared" si="15"/>
        <v>-7250.810000000005</v>
      </c>
      <c r="F42" s="25">
        <f t="shared" si="15"/>
        <v>4079.87999999999</v>
      </c>
      <c r="G42" s="25">
        <f t="shared" si="15"/>
        <v>36132.340000000026</v>
      </c>
      <c r="H42" s="25">
        <f t="shared" si="15"/>
        <v>-57640.20000000001</v>
      </c>
      <c r="I42" s="25">
        <f t="shared" si="15"/>
        <v>-29481.809999999998</v>
      </c>
      <c r="J42" s="25">
        <f t="shared" si="15"/>
        <v>-90100.61000000002</v>
      </c>
      <c r="K42" s="25">
        <f t="shared" si="15"/>
        <v>-32247.540000000008</v>
      </c>
      <c r="L42" s="25">
        <f t="shared" si="15"/>
        <v>-5170.3399999999965</v>
      </c>
      <c r="M42" s="25">
        <f t="shared" si="15"/>
        <v>14387.440000000002</v>
      </c>
      <c r="N42" s="25">
        <f>+N43+N46+N55+N56</f>
        <v>-78325.2200000002</v>
      </c>
    </row>
    <row r="43" spans="1:14" ht="18.75" customHeight="1">
      <c r="A43" s="17" t="s">
        <v>59</v>
      </c>
      <c r="B43" s="26">
        <f>B44+B45</f>
        <v>-74312.8</v>
      </c>
      <c r="C43" s="26">
        <f>C44+C45</f>
        <v>-77599.8</v>
      </c>
      <c r="D43" s="26">
        <f>D44+D45</f>
        <v>-55176</v>
      </c>
      <c r="E43" s="26">
        <f>E44+E45</f>
        <v>-5498.6</v>
      </c>
      <c r="F43" s="26">
        <f aca="true" t="shared" si="16" ref="F43:M43">F44+F45</f>
        <v>-45280.8</v>
      </c>
      <c r="G43" s="26">
        <f t="shared" si="16"/>
        <v>-85500</v>
      </c>
      <c r="H43" s="26">
        <f t="shared" si="16"/>
        <v>-98648</v>
      </c>
      <c r="I43" s="26">
        <f t="shared" si="16"/>
        <v>-46352.4</v>
      </c>
      <c r="J43" s="26">
        <f t="shared" si="16"/>
        <v>-59648.6</v>
      </c>
      <c r="K43" s="26">
        <f t="shared" si="16"/>
        <v>-45440.4</v>
      </c>
      <c r="L43" s="26">
        <f t="shared" si="16"/>
        <v>-32338</v>
      </c>
      <c r="M43" s="26">
        <f t="shared" si="16"/>
        <v>-22173</v>
      </c>
      <c r="N43" s="25">
        <f aca="true" t="shared" si="17" ref="N43:N56">SUM(B43:M43)</f>
        <v>-647968.4</v>
      </c>
    </row>
    <row r="44" spans="1:25" ht="18.75" customHeight="1">
      <c r="A44" s="13" t="s">
        <v>60</v>
      </c>
      <c r="B44" s="20">
        <f>ROUND(-B9*$D$3,2)</f>
        <v>-74312.8</v>
      </c>
      <c r="C44" s="20">
        <f>ROUND(-C9*$D$3,2)</f>
        <v>-77599.8</v>
      </c>
      <c r="D44" s="20">
        <f>ROUND(-D9*$D$3,2)</f>
        <v>-55176</v>
      </c>
      <c r="E44" s="20">
        <f>ROUND(-E9*$D$3,2)</f>
        <v>-5498.6</v>
      </c>
      <c r="F44" s="20">
        <f aca="true" t="shared" si="18" ref="F44:M44">ROUND(-F9*$D$3,2)</f>
        <v>-45280.8</v>
      </c>
      <c r="G44" s="20">
        <f t="shared" si="18"/>
        <v>-85500</v>
      </c>
      <c r="H44" s="20">
        <f t="shared" si="18"/>
        <v>-98648</v>
      </c>
      <c r="I44" s="20">
        <f t="shared" si="18"/>
        <v>-46352.4</v>
      </c>
      <c r="J44" s="20">
        <f t="shared" si="18"/>
        <v>-59648.6</v>
      </c>
      <c r="K44" s="20">
        <f t="shared" si="18"/>
        <v>-45440.4</v>
      </c>
      <c r="L44" s="20">
        <f t="shared" si="18"/>
        <v>-32338</v>
      </c>
      <c r="M44" s="20">
        <f t="shared" si="18"/>
        <v>-22173</v>
      </c>
      <c r="N44" s="46">
        <f t="shared" si="17"/>
        <v>-647968.4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SUM(B47:B54)</f>
        <v>-91497.96</v>
      </c>
      <c r="C46" s="26">
        <f aca="true" t="shared" si="20" ref="C46:M46">SUM(C47:C54)</f>
        <v>-45448.44</v>
      </c>
      <c r="D46" s="26">
        <f t="shared" si="20"/>
        <v>-19677.88</v>
      </c>
      <c r="E46" s="26">
        <f t="shared" si="20"/>
        <v>-34154.990000000005</v>
      </c>
      <c r="F46" s="26">
        <f t="shared" si="20"/>
        <v>-84366.51000000001</v>
      </c>
      <c r="G46" s="26">
        <f t="shared" si="20"/>
        <v>-52101.74</v>
      </c>
      <c r="H46" s="26">
        <f t="shared" si="20"/>
        <v>-53256.39</v>
      </c>
      <c r="I46" s="26">
        <f t="shared" si="20"/>
        <v>-50234.53999999999</v>
      </c>
      <c r="J46" s="26">
        <f t="shared" si="20"/>
        <v>-88304.16</v>
      </c>
      <c r="K46" s="26">
        <f t="shared" si="20"/>
        <v>-60188.04</v>
      </c>
      <c r="L46" s="26">
        <f t="shared" si="20"/>
        <v>-27025.98</v>
      </c>
      <c r="M46" s="26">
        <f t="shared" si="20"/>
        <v>-12977.92</v>
      </c>
      <c r="N46" s="26">
        <f>SUM(N47:N54)</f>
        <v>-619234.55</v>
      </c>
    </row>
    <row r="47" spans="1:25" ht="18.75" customHeight="1">
      <c r="A47" s="13" t="s">
        <v>63</v>
      </c>
      <c r="B47" s="24">
        <v>-85213.46</v>
      </c>
      <c r="C47" s="24">
        <v>-40998.21</v>
      </c>
      <c r="D47" s="24">
        <v>-15395.83</v>
      </c>
      <c r="E47" s="24">
        <v>-32298.38</v>
      </c>
      <c r="F47" s="24">
        <v>-80099.94</v>
      </c>
      <c r="G47" s="24">
        <v>-46768.36</v>
      </c>
      <c r="H47" s="24">
        <v>-47137.11</v>
      </c>
      <c r="I47" s="24">
        <v>-45277.77</v>
      </c>
      <c r="J47" s="24">
        <v>-84343.34</v>
      </c>
      <c r="K47" s="24">
        <v>-55373.42</v>
      </c>
      <c r="L47" s="24">
        <v>-24815.71</v>
      </c>
      <c r="M47" s="24">
        <v>-11700</v>
      </c>
      <c r="N47" s="24">
        <f t="shared" si="17"/>
        <v>-569421.53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100</v>
      </c>
      <c r="B54" s="24">
        <f>-1183.29-5101.21</f>
        <v>-6284.5</v>
      </c>
      <c r="C54" s="24">
        <f>-1283.93-3166.3</f>
        <v>-4450.2300000000005</v>
      </c>
      <c r="D54" s="24">
        <v>-4282.05</v>
      </c>
      <c r="E54" s="24">
        <v>-856.61</v>
      </c>
      <c r="F54" s="24">
        <v>-4266.57</v>
      </c>
      <c r="G54" s="24">
        <v>-5333.38</v>
      </c>
      <c r="H54" s="24">
        <f>-4381.04-1238.24</f>
        <v>-5619.28</v>
      </c>
      <c r="I54" s="24">
        <v>-4956.77</v>
      </c>
      <c r="J54" s="24">
        <v>-3960.82</v>
      </c>
      <c r="K54" s="24">
        <v>-4814.62</v>
      </c>
      <c r="L54" s="24">
        <v>-2210.27</v>
      </c>
      <c r="M54" s="24">
        <v>-1277.92</v>
      </c>
      <c r="N54" s="24">
        <f t="shared" si="17"/>
        <v>-48313.02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101</v>
      </c>
      <c r="B55" s="27">
        <f>81825.66+19744.15+97456.22</f>
        <v>199026.03</v>
      </c>
      <c r="C55" s="27">
        <f>77799.74+20954.55+61505.97</f>
        <v>160260.26</v>
      </c>
      <c r="D55" s="27">
        <f>12775.77+80617.25</f>
        <v>93393.02</v>
      </c>
      <c r="E55" s="27">
        <f>16897.94+15504.84</f>
        <v>32402.78</v>
      </c>
      <c r="F55" s="27">
        <f>53835.52+79891.67</f>
        <v>133727.19</v>
      </c>
      <c r="G55" s="27">
        <f>73559.76+100174.32</f>
        <v>173734.08000000002</v>
      </c>
      <c r="H55" s="27">
        <f>-10868.78+81629.95+23503.02</f>
        <v>94264.19</v>
      </c>
      <c r="I55" s="27">
        <f>-25259.33+92364.46</f>
        <v>67105.13</v>
      </c>
      <c r="J55" s="27">
        <f>-15838.72+73690.87</f>
        <v>57852.149999999994</v>
      </c>
      <c r="K55" s="27">
        <f>-15558.69+88939.59</f>
        <v>73380.9</v>
      </c>
      <c r="L55" s="27">
        <f>13101.54+41092.1</f>
        <v>54193.64</v>
      </c>
      <c r="M55" s="27">
        <f>26271.29+23267.07</f>
        <v>49538.36</v>
      </c>
      <c r="N55" s="24">
        <f t="shared" si="17"/>
        <v>1188877.73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70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71</v>
      </c>
      <c r="B58" s="29">
        <f aca="true" t="shared" si="21" ref="B58:M58">+B36+B42</f>
        <v>1089844.3732096602</v>
      </c>
      <c r="C58" s="29">
        <f t="shared" si="21"/>
        <v>787563.7501124999</v>
      </c>
      <c r="D58" s="29">
        <f t="shared" si="21"/>
        <v>744815.2970643</v>
      </c>
      <c r="E58" s="29">
        <f t="shared" si="21"/>
        <v>130003.9185808</v>
      </c>
      <c r="F58" s="29">
        <f t="shared" si="21"/>
        <v>715094.0430519</v>
      </c>
      <c r="G58" s="29">
        <f t="shared" si="21"/>
        <v>928308.3560000001</v>
      </c>
      <c r="H58" s="29">
        <f t="shared" si="21"/>
        <v>893372.1142000002</v>
      </c>
      <c r="I58" s="29">
        <f t="shared" si="21"/>
        <v>797323.0581002</v>
      </c>
      <c r="J58" s="29">
        <f t="shared" si="21"/>
        <v>578810.1496582</v>
      </c>
      <c r="K58" s="29">
        <f t="shared" si="21"/>
        <v>748733.70999184</v>
      </c>
      <c r="L58" s="29">
        <f t="shared" si="21"/>
        <v>379383.63238597</v>
      </c>
      <c r="M58" s="29">
        <f t="shared" si="21"/>
        <v>237691.08611200002</v>
      </c>
      <c r="N58" s="29">
        <f>SUM(B58:M58)</f>
        <v>8030943.488467371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6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  <c r="P60" s="72"/>
    </row>
    <row r="61" spans="1:14" ht="18.75" customHeight="1">
      <c r="A61" s="2" t="s">
        <v>72</v>
      </c>
      <c r="B61" s="36">
        <f>SUM(B62:B75)</f>
        <v>1089844.42</v>
      </c>
      <c r="C61" s="36">
        <f aca="true" t="shared" si="22" ref="C61:M61">SUM(C62:C75)</f>
        <v>787563.77</v>
      </c>
      <c r="D61" s="36">
        <f t="shared" si="22"/>
        <v>744815.31</v>
      </c>
      <c r="E61" s="36">
        <f t="shared" si="22"/>
        <v>130003.92</v>
      </c>
      <c r="F61" s="36">
        <f t="shared" si="22"/>
        <v>715094.04</v>
      </c>
      <c r="G61" s="36">
        <f t="shared" si="22"/>
        <v>928308.4</v>
      </c>
      <c r="H61" s="36">
        <f t="shared" si="22"/>
        <v>893372.04</v>
      </c>
      <c r="I61" s="36">
        <f t="shared" si="22"/>
        <v>797323.04</v>
      </c>
      <c r="J61" s="36">
        <f t="shared" si="22"/>
        <v>578810.16</v>
      </c>
      <c r="K61" s="36">
        <f t="shared" si="22"/>
        <v>748733.7</v>
      </c>
      <c r="L61" s="36">
        <f t="shared" si="22"/>
        <v>379383.62</v>
      </c>
      <c r="M61" s="36">
        <f t="shared" si="22"/>
        <v>237691.1</v>
      </c>
      <c r="N61" s="29">
        <f>SUM(N62:N75)</f>
        <v>8030943.5200000005</v>
      </c>
    </row>
    <row r="62" spans="1:15" ht="18.75" customHeight="1">
      <c r="A62" s="17" t="s">
        <v>73</v>
      </c>
      <c r="B62" s="36">
        <v>191752.91</v>
      </c>
      <c r="C62" s="36">
        <v>222464.68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414217.58999999997</v>
      </c>
      <c r="O62"/>
    </row>
    <row r="63" spans="1:15" ht="18.75" customHeight="1">
      <c r="A63" s="17" t="s">
        <v>74</v>
      </c>
      <c r="B63" s="36">
        <v>898091.51</v>
      </c>
      <c r="C63" s="36">
        <v>565099.09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1463190.6</v>
      </c>
      <c r="O63"/>
    </row>
    <row r="64" spans="1:16" ht="18.75" customHeight="1">
      <c r="A64" s="17" t="s">
        <v>75</v>
      </c>
      <c r="B64" s="35">
        <v>0</v>
      </c>
      <c r="C64" s="35">
        <v>0</v>
      </c>
      <c r="D64" s="26">
        <v>744815.31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744815.31</v>
      </c>
      <c r="P64"/>
    </row>
    <row r="65" spans="1:17" ht="18.75" customHeight="1">
      <c r="A65" s="17" t="s">
        <v>76</v>
      </c>
      <c r="B65" s="35">
        <v>0</v>
      </c>
      <c r="C65" s="35">
        <v>0</v>
      </c>
      <c r="D65" s="35">
        <v>0</v>
      </c>
      <c r="E65" s="26">
        <v>130003.92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130003.92</v>
      </c>
      <c r="Q65"/>
    </row>
    <row r="66" spans="1:18" ht="18.75" customHeight="1">
      <c r="A66" s="17" t="s">
        <v>77</v>
      </c>
      <c r="B66" s="35">
        <v>0</v>
      </c>
      <c r="C66" s="35">
        <v>0</v>
      </c>
      <c r="D66" s="35">
        <v>0</v>
      </c>
      <c r="E66" s="35">
        <v>0</v>
      </c>
      <c r="F66" s="26">
        <v>715094.04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715094.04</v>
      </c>
      <c r="R66"/>
    </row>
    <row r="67" spans="1:19" ht="18.75" customHeight="1">
      <c r="A67" s="17" t="s">
        <v>78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928308.4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928308.4</v>
      </c>
      <c r="S67"/>
    </row>
    <row r="68" spans="1:20" ht="18.75" customHeight="1">
      <c r="A68" s="17" t="s">
        <v>79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702030.15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702030.15</v>
      </c>
      <c r="T68"/>
    </row>
    <row r="69" spans="1:20" ht="18.75" customHeight="1">
      <c r="A69" s="17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191341.89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191341.89</v>
      </c>
      <c r="T69"/>
    </row>
    <row r="70" spans="1:21" ht="18.75" customHeight="1">
      <c r="A70" s="17" t="s">
        <v>81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797323.04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797323.04</v>
      </c>
      <c r="U70"/>
    </row>
    <row r="71" spans="1:22" ht="18.75" customHeight="1">
      <c r="A71" s="17" t="s">
        <v>82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578810.16</v>
      </c>
      <c r="K71" s="35">
        <v>0</v>
      </c>
      <c r="L71" s="35">
        <v>0</v>
      </c>
      <c r="M71" s="35">
        <v>0</v>
      </c>
      <c r="N71" s="29">
        <f t="shared" si="23"/>
        <v>578810.16</v>
      </c>
      <c r="V71"/>
    </row>
    <row r="72" spans="1:23" ht="18.75" customHeight="1">
      <c r="A72" s="17" t="s">
        <v>83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748733.7</v>
      </c>
      <c r="L72" s="35">
        <v>0</v>
      </c>
      <c r="M72" s="61"/>
      <c r="N72" s="26">
        <f t="shared" si="23"/>
        <v>748733.7</v>
      </c>
      <c r="W72"/>
    </row>
    <row r="73" spans="1:24" ht="18.75" customHeight="1">
      <c r="A73" s="17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379383.62</v>
      </c>
      <c r="M73" s="35">
        <v>0</v>
      </c>
      <c r="N73" s="29">
        <f t="shared" si="23"/>
        <v>379383.62</v>
      </c>
      <c r="X73"/>
    </row>
    <row r="74" spans="1:25" ht="18.75" customHeight="1">
      <c r="A74" s="17" t="s">
        <v>85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237691.1</v>
      </c>
      <c r="N74" s="26">
        <f t="shared" si="23"/>
        <v>237691.1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86</v>
      </c>
      <c r="B79" s="44">
        <v>2.339553172724811</v>
      </c>
      <c r="C79" s="44">
        <v>2.2994190304286066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87</v>
      </c>
      <c r="B80" s="44">
        <v>2.038612572829838</v>
      </c>
      <c r="C80" s="44">
        <v>1.92400978654853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88</v>
      </c>
      <c r="B81" s="44">
        <v>0</v>
      </c>
      <c r="C81" s="44">
        <v>0</v>
      </c>
      <c r="D81" s="22">
        <f>(D$37+D$38+D$39)/D$7</f>
        <v>1.8682891810927091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89</v>
      </c>
      <c r="B82" s="44">
        <v>0</v>
      </c>
      <c r="C82" s="44">
        <v>0</v>
      </c>
      <c r="D82" s="44">
        <v>0</v>
      </c>
      <c r="E82" s="22">
        <f>(E$37+E$38+E$39)/E$7</f>
        <v>2.6001615659310056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90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2.1815737794534207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91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1.7299620259055302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92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2.03483222328239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93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1.9911177503736919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1.9763992075809331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2.226185159641766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2.128542090795919</v>
      </c>
      <c r="L89" s="44">
        <v>0</v>
      </c>
      <c r="M89" s="44">
        <v>0</v>
      </c>
      <c r="N89" s="26"/>
      <c r="W89"/>
    </row>
    <row r="90" spans="1:24" ht="18.75" customHeight="1">
      <c r="A90" s="17" t="s">
        <v>97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2.5269844879120638</v>
      </c>
      <c r="M90" s="44">
        <v>0</v>
      </c>
      <c r="N90" s="62"/>
      <c r="X90"/>
    </row>
    <row r="91" spans="1:25" ht="18.75" customHeight="1">
      <c r="A91" s="34" t="s">
        <v>98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2.475650178625277</v>
      </c>
      <c r="N91" s="50"/>
      <c r="Y91"/>
    </row>
    <row r="92" spans="1:13" ht="69.75" customHeight="1">
      <c r="A92" s="73" t="s">
        <v>102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2017-06-29T20:01:29Z</dcterms:modified>
  <cp:category/>
  <cp:version/>
  <cp:contentType/>
  <cp:contentStatus/>
</cp:coreProperties>
</file>