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<sst xmlns="http://schemas.openxmlformats.org/spreadsheetml/2006/main" count="115" uniqueCount="113">
  <si>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</si>
  <si>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</si>
  <si>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</si>
  <si>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</si>
  <si>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</si>
  <si>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</si>
  <si>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</si>
  <si>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</si>
  <si>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</si>
  <si>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</si>
  <si>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</si>
  <si>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</si>
  <si>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</si>
  <si>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</si>
  <si>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</si>
  <si>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</si>
  <si>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</si>
  <si>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</si>
  <si>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</si>
  <si>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</si>
  <si>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</si>
  <si>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</si>
  <si>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</si>
  <si>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</si>
  <si>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</si>
  <si>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</si>
  <si>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</si>
  <si>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</si>
  <si>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</si>
  <si>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</si>
  <si>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</si>
  <si>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</si>
  <si>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</si>
  <si>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</si>
  <si>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</si>
  <si>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</si>
  <si>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</si>
  <si>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</si>
  <si>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</si>
  <si>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</si>
  <si>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</si>
  <si>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</si>
  <si>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</si>
  <si>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</si>
  <si>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</si>
  <si>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</si>
  <si>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</si>
  <si>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</si>
  <si>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</si>
  <si>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</si>
  <si>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</si>
  <si>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</si>
  <si>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</si>
  <si>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</si>
  <si>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</si>
  <si>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</si>
  <si>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</si>
  <si>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</si>
  <si>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</si>
  <si>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</si>
  <si>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</si>
  <si>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</si>
  <si>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</si>
  <si>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</si>
  <si>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</si>
  <si>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</si>
  <si>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</si>
  <si>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</si>
  <si>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</si>
  <si>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</si>
  <si>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</si>
  <si>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</si>
  <si>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</si>
  <si>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</si>
  <si>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</si>
  <si>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</si>
  <si>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</si>
  <si>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</si>
  <si>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</si>
  <si>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</si>
  <si>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</si>
  <si>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</si>
  <si>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</si>
  <si>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</si>
  <si>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</si>
  <si>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</si>
  <si>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</si>
  <si>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</si>
  <si>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</si>
  <si>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</si>
  <si>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</si>
  <si>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</si>
  <si>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</si>
  <si>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</si>
  <si>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</si>
  <si>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</si>
  <si>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</si>
  <si>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</si>
  <si>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</si>
  <si>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</si>
  <si>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</si>
  <si>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</si>
  <si>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</si>
  <si>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</si>
  <si>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</si>
  <si>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21/12/17 - VENCIMENTO 02/01/18</t>
  </si>
  <si>
    <r>
      <t>5.2.8. Ajuste de Remuneração Previsto Contratualmente</t>
    </r>
    <r>
      <rPr>
        <vertAlign val="superscript"/>
        <sz val="12"/>
        <rFont val="Calibri"/>
        <family val="2"/>
      </rPr>
      <t>(1)</t>
    </r>
  </si>
  <si>
    <r>
      <t>5.3. Revisão de Remuneração pelo Transporte Coletivo</t>
    </r>
    <r>
      <rPr>
        <vertAlign val="superscript"/>
        <sz val="12"/>
        <color indexed="8"/>
        <rFont val="Calibri"/>
        <family val="2"/>
      </rPr>
      <t>(2)</t>
    </r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</si>
  <si>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(3)</t>
    </r>
  </si>
  <si>
    <t>(1) Ajuste de remuneração, previsto contratualmente, período de 25/10 a 23/11/17, parcela 19/19.</t>
  </si>
  <si>
    <t>(3) Tarifa de remuneração de cada empresa considerando o  reequilibrio interno estabelecido e informado pelo consórcio. Não consideram os acertos financeiros previstos no item 7.</t>
  </si>
  <si>
    <t>(2) Revisão de passageiros transportados, mês de novembro/17, total de 879.029 passageiros.</t>
  </si>
  <si>
    <t>5.5. Saldo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</si>
</sst>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4" fillId="0" borderId="10" xfId="0" applyFont="1" applyFill="1" applyBorder="1" applyAlignment="1">
      <alignment horizontal="left" vertical="center" indent="1"/>
    </xf>
    <xf numFmtId="0" fontId="4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left" vertical="center" indent="1"/>
    </xf>
    <xf numFmtId="172" fontId="44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4" fillId="0" borderId="10" xfId="5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indent="3"/>
    </xf>
    <xf numFmtId="172" fontId="44" fillId="0" borderId="10" xfId="52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4" fillId="0" borderId="10" xfId="0" applyFont="1" applyFill="1" applyBorder="1" applyAlignment="1">
      <alignment horizontal="left" vertical="center" indent="2"/>
    </xf>
    <xf numFmtId="172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52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horizontal="center" vertical="center"/>
    </xf>
    <xf numFmtId="173" fontId="44" fillId="0" borderId="10" xfId="52" applyNumberFormat="1" applyFont="1" applyFill="1" applyBorder="1" applyAlignment="1">
      <alignment vertical="center"/>
    </xf>
    <xf numFmtId="174" fontId="44" fillId="0" borderId="10" xfId="45" applyNumberFormat="1" applyFont="1" applyFill="1" applyBorder="1" applyAlignment="1">
      <alignment horizontal="center" vertical="center"/>
    </xf>
    <xf numFmtId="171" fontId="44" fillId="0" borderId="10" xfId="45" applyNumberFormat="1" applyFont="1" applyFill="1" applyBorder="1" applyAlignment="1">
      <alignment vertical="center"/>
    </xf>
    <xf numFmtId="170" fontId="44" fillId="0" borderId="10" xfId="45" applyNumberFormat="1" applyFont="1" applyFill="1" applyBorder="1" applyAlignment="1">
      <alignment horizontal="center" vertical="center"/>
    </xf>
    <xf numFmtId="170" fontId="44" fillId="0" borderId="10" xfId="45" applyNumberFormat="1" applyFont="1" applyFill="1" applyBorder="1" applyAlignment="1">
      <alignment vertical="center"/>
    </xf>
    <xf numFmtId="171" fontId="44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4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4" fillId="0" borderId="14" xfId="45" applyFont="1" applyFill="1" applyBorder="1" applyAlignment="1">
      <alignment vertical="center"/>
    </xf>
    <xf numFmtId="0" fontId="44" fillId="0" borderId="14" xfId="0" applyFont="1" applyFill="1" applyBorder="1" applyAlignment="1">
      <alignment horizontal="left" vertical="center" indent="2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Border="1" applyAlignment="1">
      <alignment vertical="center"/>
    </xf>
    <xf numFmtId="0" fontId="44" fillId="0" borderId="12" xfId="0" applyFont="1" applyFill="1" applyBorder="1" applyAlignment="1">
      <alignment horizontal="left" vertical="center" indent="2"/>
    </xf>
    <xf numFmtId="171" fontId="44" fillId="0" borderId="12" xfId="45" applyNumberFormat="1" applyFont="1" applyBorder="1" applyAlignment="1">
      <alignment vertical="center"/>
    </xf>
    <xf numFmtId="171" fontId="44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4" fillId="0" borderId="10" xfId="52" applyNumberFormat="1" applyFont="1" applyBorder="1" applyAlignment="1">
      <alignment vertical="center"/>
    </xf>
    <xf numFmtId="173" fontId="44" fillId="0" borderId="14" xfId="52" applyNumberFormat="1" applyFont="1" applyBorder="1" applyAlignment="1">
      <alignment vertical="center"/>
    </xf>
    <xf numFmtId="171" fontId="44" fillId="0" borderId="10" xfId="52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171" fontId="44" fillId="0" borderId="14" xfId="52" applyFont="1" applyFill="1" applyBorder="1" applyAlignment="1">
      <alignment vertical="center"/>
    </xf>
    <xf numFmtId="173" fontId="44" fillId="0" borderId="14" xfId="52" applyNumberFormat="1" applyFont="1" applyFill="1" applyBorder="1" applyAlignment="1">
      <alignment vertical="center"/>
    </xf>
    <xf numFmtId="170" fontId="44" fillId="0" borderId="14" xfId="45" applyNumberFormat="1" applyFont="1" applyFill="1" applyBorder="1" applyAlignment="1">
      <alignment vertical="center"/>
    </xf>
    <xf numFmtId="44" fontId="44" fillId="0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2"/>
    </xf>
    <xf numFmtId="0" fontId="44" fillId="34" borderId="10" xfId="0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44" fillId="34" borderId="10" xfId="0" applyFont="1" applyFill="1" applyBorder="1" applyAlignment="1">
      <alignment horizontal="left" vertical="center" indent="1"/>
    </xf>
    <xf numFmtId="44" fontId="44" fillId="34" borderId="10" xfId="45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 indent="3"/>
    </xf>
    <xf numFmtId="172" fontId="44" fillId="34" borderId="10" xfId="52" applyNumberFormat="1" applyFont="1" applyFill="1" applyBorder="1" applyAlignment="1">
      <alignment vertical="center"/>
    </xf>
    <xf numFmtId="0" fontId="44" fillId="35" borderId="10" xfId="0" applyFont="1" applyFill="1" applyBorder="1" applyAlignment="1">
      <alignment horizontal="left" vertical="center" indent="1"/>
    </xf>
    <xf numFmtId="44" fontId="44" fillId="35" borderId="10" xfId="45" applyFont="1" applyFill="1" applyBorder="1" applyAlignment="1">
      <alignment horizontal="center" vertical="center"/>
    </xf>
    <xf numFmtId="171" fontId="45" fillId="0" borderId="10" xfId="45" applyNumberFormat="1" applyFont="1" applyBorder="1" applyAlignment="1">
      <alignment vertical="center"/>
    </xf>
    <xf numFmtId="44" fontId="45" fillId="0" borderId="10" xfId="45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171" fontId="45" fillId="0" borderId="10" xfId="45" applyNumberFormat="1" applyFont="1" applyFill="1" applyBorder="1" applyAlignment="1">
      <alignment vertical="center"/>
    </xf>
    <xf numFmtId="171" fontId="45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173" fontId="44" fillId="0" borderId="0" xfId="52" applyNumberFormat="1" applyFont="1" applyBorder="1" applyAlignment="1">
      <alignment vertical="center"/>
    </xf>
    <xf numFmtId="173" fontId="44" fillId="0" borderId="0" xfId="52" applyNumberFormat="1" applyFont="1" applyFill="1" applyBorder="1" applyAlignment="1">
      <alignment vertical="center"/>
    </xf>
    <xf numFmtId="0" fontId="44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1" fontId="45" fillId="0" borderId="10" xfId="52" applyFont="1" applyFill="1" applyBorder="1" applyAlignment="1">
      <alignment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934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934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934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104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5" t="s">
        <v>29</v>
      </c>
      <c r="I6" s="65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467995</v>
      </c>
      <c r="C7" s="10">
        <f>C8+C20+C24</f>
        <v>343610</v>
      </c>
      <c r="D7" s="10">
        <f>D8+D20+D24</f>
        <v>365647</v>
      </c>
      <c r="E7" s="10">
        <f>E8+E20+E24</f>
        <v>50354</v>
      </c>
      <c r="F7" s="10">
        <f aca="true" t="shared" si="0" ref="F7:N7">F8+F20+F24</f>
        <v>304984</v>
      </c>
      <c r="G7" s="10">
        <f t="shared" si="0"/>
        <v>471522</v>
      </c>
      <c r="H7" s="10">
        <f>H8+H20+H24</f>
        <v>332181</v>
      </c>
      <c r="I7" s="10">
        <f>I8+I20+I24</f>
        <v>94178</v>
      </c>
      <c r="J7" s="10">
        <f>J8+J20+J24</f>
        <v>385834</v>
      </c>
      <c r="K7" s="10">
        <f>K8+K20+K24</f>
        <v>281991</v>
      </c>
      <c r="L7" s="10">
        <f>L8+L20+L24</f>
        <v>342163</v>
      </c>
      <c r="M7" s="10">
        <f t="shared" si="0"/>
        <v>130830</v>
      </c>
      <c r="N7" s="10">
        <f t="shared" si="0"/>
        <v>87859</v>
      </c>
      <c r="O7" s="10">
        <f>+O8+O20+O24</f>
        <v>3659148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230425</v>
      </c>
      <c r="C8" s="12">
        <f>+C9+C12+C16</f>
        <v>179769</v>
      </c>
      <c r="D8" s="12">
        <f>+D9+D12+D16</f>
        <v>207578</v>
      </c>
      <c r="E8" s="12">
        <f>+E9+E12+E16</f>
        <v>26208</v>
      </c>
      <c r="F8" s="12">
        <f aca="true" t="shared" si="1" ref="F8:N8">+F9+F12+F16</f>
        <v>163641</v>
      </c>
      <c r="G8" s="12">
        <f t="shared" si="1"/>
        <v>251847</v>
      </c>
      <c r="H8" s="12">
        <f>+H9+H12+H16</f>
        <v>170307</v>
      </c>
      <c r="I8" s="12">
        <f>+I9+I12+I16</f>
        <v>49461</v>
      </c>
      <c r="J8" s="12">
        <f>+J9+J12+J16</f>
        <v>206400</v>
      </c>
      <c r="K8" s="12">
        <f>+K9+K12+K16</f>
        <v>150536</v>
      </c>
      <c r="L8" s="12">
        <f>+L9+L12+L16</f>
        <v>170760</v>
      </c>
      <c r="M8" s="12">
        <f t="shared" si="1"/>
        <v>72512</v>
      </c>
      <c r="N8" s="12">
        <f t="shared" si="1"/>
        <v>50811</v>
      </c>
      <c r="O8" s="12">
        <f>SUM(B8:N8)</f>
        <v>1930255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27794</v>
      </c>
      <c r="C9" s="14">
        <v>27617</v>
      </c>
      <c r="D9" s="14">
        <v>22289</v>
      </c>
      <c r="E9" s="14">
        <v>2871</v>
      </c>
      <c r="F9" s="14">
        <v>18524</v>
      </c>
      <c r="G9" s="14">
        <v>31244</v>
      </c>
      <c r="H9" s="14">
        <v>26600</v>
      </c>
      <c r="I9" s="14">
        <v>7564</v>
      </c>
      <c r="J9" s="14">
        <v>17232</v>
      </c>
      <c r="K9" s="14">
        <v>21335</v>
      </c>
      <c r="L9" s="14">
        <v>17385</v>
      </c>
      <c r="M9" s="14">
        <v>9848</v>
      </c>
      <c r="N9" s="14">
        <v>7412</v>
      </c>
      <c r="O9" s="12">
        <f aca="true" t="shared" si="2" ref="O9:O19">SUM(B9:N9)</f>
        <v>237715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27794</v>
      </c>
      <c r="C10" s="14">
        <f>+C9-C11</f>
        <v>27617</v>
      </c>
      <c r="D10" s="14">
        <f>+D9-D11</f>
        <v>22289</v>
      </c>
      <c r="E10" s="14">
        <f>+E9-E11</f>
        <v>2871</v>
      </c>
      <c r="F10" s="14">
        <f aca="true" t="shared" si="3" ref="F10:N10">+F9-F11</f>
        <v>18524</v>
      </c>
      <c r="G10" s="14">
        <f t="shared" si="3"/>
        <v>31244</v>
      </c>
      <c r="H10" s="14">
        <f>+H9-H11</f>
        <v>26600</v>
      </c>
      <c r="I10" s="14">
        <f>+I9-I11</f>
        <v>7564</v>
      </c>
      <c r="J10" s="14">
        <f>+J9-J11</f>
        <v>17232</v>
      </c>
      <c r="K10" s="14">
        <f>+K9-K11</f>
        <v>21335</v>
      </c>
      <c r="L10" s="14">
        <f>+L9-L11</f>
        <v>17385</v>
      </c>
      <c r="M10" s="14">
        <f t="shared" si="3"/>
        <v>9848</v>
      </c>
      <c r="N10" s="14">
        <f t="shared" si="3"/>
        <v>7412</v>
      </c>
      <c r="O10" s="12">
        <f t="shared" si="2"/>
        <v>237715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192543</v>
      </c>
      <c r="C12" s="14">
        <f>C13+C14+C15</f>
        <v>145001</v>
      </c>
      <c r="D12" s="14">
        <f>D13+D14+D15</f>
        <v>176952</v>
      </c>
      <c r="E12" s="14">
        <f>E13+E14+E15</f>
        <v>22344</v>
      </c>
      <c r="F12" s="14">
        <f aca="true" t="shared" si="4" ref="F12:N12">F13+F14+F15</f>
        <v>138333</v>
      </c>
      <c r="G12" s="14">
        <f t="shared" si="4"/>
        <v>209282</v>
      </c>
      <c r="H12" s="14">
        <f>H13+H14+H15</f>
        <v>136886</v>
      </c>
      <c r="I12" s="14">
        <f>I13+I14+I15</f>
        <v>39841</v>
      </c>
      <c r="J12" s="14">
        <f>J13+J14+J15</f>
        <v>179928</v>
      </c>
      <c r="K12" s="14">
        <f>K13+K14+K15</f>
        <v>122898</v>
      </c>
      <c r="L12" s="14">
        <f>L13+L14+L15</f>
        <v>145227</v>
      </c>
      <c r="M12" s="14">
        <f t="shared" si="4"/>
        <v>59834</v>
      </c>
      <c r="N12" s="14">
        <f t="shared" si="4"/>
        <v>41658</v>
      </c>
      <c r="O12" s="12">
        <f t="shared" si="2"/>
        <v>1610727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102885</v>
      </c>
      <c r="C13" s="14">
        <v>78187</v>
      </c>
      <c r="D13" s="14">
        <v>91067</v>
      </c>
      <c r="E13" s="14">
        <v>11869</v>
      </c>
      <c r="F13" s="14">
        <v>71608</v>
      </c>
      <c r="G13" s="14">
        <v>109581</v>
      </c>
      <c r="H13" s="14">
        <v>75323</v>
      </c>
      <c r="I13" s="14">
        <v>22113</v>
      </c>
      <c r="J13" s="14">
        <v>97377</v>
      </c>
      <c r="K13" s="14">
        <v>64550</v>
      </c>
      <c r="L13" s="14">
        <v>75648</v>
      </c>
      <c r="M13" s="14">
        <v>30547</v>
      </c>
      <c r="N13" s="14">
        <v>20730</v>
      </c>
      <c r="O13" s="12">
        <f t="shared" si="2"/>
        <v>851485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87313</v>
      </c>
      <c r="C14" s="14">
        <v>64126</v>
      </c>
      <c r="D14" s="14">
        <v>84245</v>
      </c>
      <c r="E14" s="14">
        <v>10126</v>
      </c>
      <c r="F14" s="14">
        <v>64836</v>
      </c>
      <c r="G14" s="14">
        <v>95724</v>
      </c>
      <c r="H14" s="14">
        <v>59497</v>
      </c>
      <c r="I14" s="14">
        <v>17104</v>
      </c>
      <c r="J14" s="14">
        <v>81086</v>
      </c>
      <c r="K14" s="14">
        <v>56607</v>
      </c>
      <c r="L14" s="14">
        <v>68031</v>
      </c>
      <c r="M14" s="14">
        <v>28481</v>
      </c>
      <c r="N14" s="14">
        <v>20438</v>
      </c>
      <c r="O14" s="12">
        <f t="shared" si="2"/>
        <v>737614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2345</v>
      </c>
      <c r="C15" s="14">
        <v>2688</v>
      </c>
      <c r="D15" s="14">
        <v>1640</v>
      </c>
      <c r="E15" s="14">
        <v>349</v>
      </c>
      <c r="F15" s="14">
        <v>1889</v>
      </c>
      <c r="G15" s="14">
        <v>3977</v>
      </c>
      <c r="H15" s="14">
        <v>2066</v>
      </c>
      <c r="I15" s="14">
        <v>624</v>
      </c>
      <c r="J15" s="14">
        <v>1465</v>
      </c>
      <c r="K15" s="14">
        <v>1741</v>
      </c>
      <c r="L15" s="14">
        <v>1548</v>
      </c>
      <c r="M15" s="14">
        <v>806</v>
      </c>
      <c r="N15" s="14">
        <v>490</v>
      </c>
      <c r="O15" s="12">
        <f t="shared" si="2"/>
        <v>21628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10088</v>
      </c>
      <c r="C16" s="14">
        <f>C17+C18+C19</f>
        <v>7151</v>
      </c>
      <c r="D16" s="14">
        <f>D17+D18+D19</f>
        <v>8337</v>
      </c>
      <c r="E16" s="14">
        <f>E17+E18+E19</f>
        <v>993</v>
      </c>
      <c r="F16" s="14">
        <f aca="true" t="shared" si="5" ref="F16:N16">F17+F18+F19</f>
        <v>6784</v>
      </c>
      <c r="G16" s="14">
        <f t="shared" si="5"/>
        <v>11321</v>
      </c>
      <c r="H16" s="14">
        <f>H17+H18+H19</f>
        <v>6821</v>
      </c>
      <c r="I16" s="14">
        <f>I17+I18+I19</f>
        <v>2056</v>
      </c>
      <c r="J16" s="14">
        <f>J17+J18+J19</f>
        <v>9240</v>
      </c>
      <c r="K16" s="14">
        <f>K17+K18+K19</f>
        <v>6303</v>
      </c>
      <c r="L16" s="14">
        <f>L17+L18+L19</f>
        <v>8148</v>
      </c>
      <c r="M16" s="14">
        <f t="shared" si="5"/>
        <v>2830</v>
      </c>
      <c r="N16" s="14">
        <f t="shared" si="5"/>
        <v>1741</v>
      </c>
      <c r="O16" s="12">
        <f t="shared" si="2"/>
        <v>81813</v>
      </c>
    </row>
    <row r="17" spans="1:26" ht="18.75" customHeight="1">
      <c r="A17" s="15" t="s">
        <v>16</v>
      </c>
      <c r="B17" s="14">
        <v>10026</v>
      </c>
      <c r="C17" s="14">
        <v>7099</v>
      </c>
      <c r="D17" s="14">
        <v>8297</v>
      </c>
      <c r="E17" s="14">
        <v>988</v>
      </c>
      <c r="F17" s="14">
        <v>6745</v>
      </c>
      <c r="G17" s="14">
        <v>11276</v>
      </c>
      <c r="H17" s="14">
        <v>6786</v>
      </c>
      <c r="I17" s="14">
        <v>2044</v>
      </c>
      <c r="J17" s="14">
        <v>9190</v>
      </c>
      <c r="K17" s="14">
        <v>6261</v>
      </c>
      <c r="L17" s="14">
        <v>8094</v>
      </c>
      <c r="M17" s="14">
        <v>2815</v>
      </c>
      <c r="N17" s="14">
        <v>1728</v>
      </c>
      <c r="O17" s="12">
        <f t="shared" si="2"/>
        <v>81349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58</v>
      </c>
      <c r="C18" s="14">
        <v>47</v>
      </c>
      <c r="D18" s="14">
        <v>37</v>
      </c>
      <c r="E18" s="14">
        <v>4</v>
      </c>
      <c r="F18" s="14">
        <v>33</v>
      </c>
      <c r="G18" s="14">
        <v>39</v>
      </c>
      <c r="H18" s="14">
        <v>32</v>
      </c>
      <c r="I18" s="14">
        <v>7</v>
      </c>
      <c r="J18" s="14">
        <v>43</v>
      </c>
      <c r="K18" s="14">
        <v>36</v>
      </c>
      <c r="L18" s="14">
        <v>51</v>
      </c>
      <c r="M18" s="14">
        <v>14</v>
      </c>
      <c r="N18" s="14">
        <v>13</v>
      </c>
      <c r="O18" s="12">
        <f t="shared" si="2"/>
        <v>414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4</v>
      </c>
      <c r="C19" s="14">
        <v>5</v>
      </c>
      <c r="D19" s="14">
        <v>3</v>
      </c>
      <c r="E19" s="14">
        <v>1</v>
      </c>
      <c r="F19" s="14">
        <v>6</v>
      </c>
      <c r="G19" s="14">
        <v>6</v>
      </c>
      <c r="H19" s="14">
        <v>3</v>
      </c>
      <c r="I19" s="14">
        <v>5</v>
      </c>
      <c r="J19" s="14">
        <v>7</v>
      </c>
      <c r="K19" s="14">
        <v>6</v>
      </c>
      <c r="L19" s="14">
        <v>3</v>
      </c>
      <c r="M19" s="14">
        <v>1</v>
      </c>
      <c r="N19" s="14">
        <v>0</v>
      </c>
      <c r="O19" s="12">
        <f t="shared" si="2"/>
        <v>50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139301</v>
      </c>
      <c r="C20" s="18">
        <f>C21+C22+C23</f>
        <v>86539</v>
      </c>
      <c r="D20" s="18">
        <f>D21+D22+D23</f>
        <v>81267</v>
      </c>
      <c r="E20" s="18">
        <f>E21+E22+E23</f>
        <v>11226</v>
      </c>
      <c r="F20" s="18">
        <f aca="true" t="shared" si="6" ref="F20:N20">F21+F22+F23</f>
        <v>70617</v>
      </c>
      <c r="G20" s="18">
        <f t="shared" si="6"/>
        <v>110347</v>
      </c>
      <c r="H20" s="18">
        <f>H21+H22+H23</f>
        <v>90662</v>
      </c>
      <c r="I20" s="18">
        <f>I21+I22+I23</f>
        <v>24755</v>
      </c>
      <c r="J20" s="18">
        <f>J21+J22+J23</f>
        <v>108898</v>
      </c>
      <c r="K20" s="18">
        <f>K21+K22+K23</f>
        <v>73369</v>
      </c>
      <c r="L20" s="18">
        <f>L21+L22+L23</f>
        <v>111180</v>
      </c>
      <c r="M20" s="18">
        <f t="shared" si="6"/>
        <v>38837</v>
      </c>
      <c r="N20" s="18">
        <f t="shared" si="6"/>
        <v>24821</v>
      </c>
      <c r="O20" s="12">
        <f aca="true" t="shared" si="7" ref="O20:O26">SUM(B20:N20)</f>
        <v>971819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81363</v>
      </c>
      <c r="C21" s="14">
        <v>53326</v>
      </c>
      <c r="D21" s="14">
        <v>49649</v>
      </c>
      <c r="E21" s="14">
        <v>7041</v>
      </c>
      <c r="F21" s="14">
        <v>42774</v>
      </c>
      <c r="G21" s="14">
        <v>67445</v>
      </c>
      <c r="H21" s="14">
        <v>55928</v>
      </c>
      <c r="I21" s="14">
        <v>15330</v>
      </c>
      <c r="J21" s="14">
        <v>66164</v>
      </c>
      <c r="K21" s="14">
        <v>43725</v>
      </c>
      <c r="L21" s="14">
        <v>63297</v>
      </c>
      <c r="M21" s="14">
        <v>22211</v>
      </c>
      <c r="N21" s="14">
        <v>13827</v>
      </c>
      <c r="O21" s="12">
        <f t="shared" si="7"/>
        <v>582080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56588</v>
      </c>
      <c r="C22" s="14">
        <v>32116</v>
      </c>
      <c r="D22" s="14">
        <v>31043</v>
      </c>
      <c r="E22" s="14">
        <v>4052</v>
      </c>
      <c r="F22" s="14">
        <v>27052</v>
      </c>
      <c r="G22" s="14">
        <v>41412</v>
      </c>
      <c r="H22" s="14">
        <v>33919</v>
      </c>
      <c r="I22" s="14">
        <v>9161</v>
      </c>
      <c r="J22" s="14">
        <v>41920</v>
      </c>
      <c r="K22" s="14">
        <v>28878</v>
      </c>
      <c r="L22" s="14">
        <v>46946</v>
      </c>
      <c r="M22" s="14">
        <v>16217</v>
      </c>
      <c r="N22" s="14">
        <v>10756</v>
      </c>
      <c r="O22" s="12">
        <f t="shared" si="7"/>
        <v>380060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1350</v>
      </c>
      <c r="C23" s="14">
        <v>1097</v>
      </c>
      <c r="D23" s="14">
        <v>575</v>
      </c>
      <c r="E23" s="14">
        <v>133</v>
      </c>
      <c r="F23" s="14">
        <v>791</v>
      </c>
      <c r="G23" s="14">
        <v>1490</v>
      </c>
      <c r="H23" s="14">
        <v>815</v>
      </c>
      <c r="I23" s="14">
        <v>264</v>
      </c>
      <c r="J23" s="14">
        <v>814</v>
      </c>
      <c r="K23" s="14">
        <v>766</v>
      </c>
      <c r="L23" s="14">
        <v>937</v>
      </c>
      <c r="M23" s="14">
        <v>409</v>
      </c>
      <c r="N23" s="14">
        <v>238</v>
      </c>
      <c r="O23" s="12">
        <f t="shared" si="7"/>
        <v>9679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98269</v>
      </c>
      <c r="C24" s="14">
        <f>C25+C26</f>
        <v>77302</v>
      </c>
      <c r="D24" s="14">
        <f>D25+D26</f>
        <v>76802</v>
      </c>
      <c r="E24" s="14">
        <f>E25+E26</f>
        <v>12920</v>
      </c>
      <c r="F24" s="14">
        <f aca="true" t="shared" si="8" ref="F24:N24">F25+F26</f>
        <v>70726</v>
      </c>
      <c r="G24" s="14">
        <f t="shared" si="8"/>
        <v>109328</v>
      </c>
      <c r="H24" s="14">
        <f>H25+H26</f>
        <v>71212</v>
      </c>
      <c r="I24" s="14">
        <f>I25+I26</f>
        <v>19962</v>
      </c>
      <c r="J24" s="14">
        <f>J25+J26</f>
        <v>70536</v>
      </c>
      <c r="K24" s="14">
        <f>K25+K26</f>
        <v>58086</v>
      </c>
      <c r="L24" s="14">
        <f>L25+L26</f>
        <v>60223</v>
      </c>
      <c r="M24" s="14">
        <f t="shared" si="8"/>
        <v>19481</v>
      </c>
      <c r="N24" s="14">
        <f t="shared" si="8"/>
        <v>12227</v>
      </c>
      <c r="O24" s="12">
        <f t="shared" si="7"/>
        <v>757074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64404</v>
      </c>
      <c r="C25" s="14">
        <v>55096</v>
      </c>
      <c r="D25" s="14">
        <v>53491</v>
      </c>
      <c r="E25" s="14">
        <v>9542</v>
      </c>
      <c r="F25" s="14">
        <v>51672</v>
      </c>
      <c r="G25" s="14">
        <v>80099</v>
      </c>
      <c r="H25" s="14">
        <v>52636</v>
      </c>
      <c r="I25" s="14">
        <v>15413</v>
      </c>
      <c r="J25" s="14">
        <v>47524</v>
      </c>
      <c r="K25" s="14">
        <v>41567</v>
      </c>
      <c r="L25" s="14">
        <v>40777</v>
      </c>
      <c r="M25" s="14">
        <v>12974</v>
      </c>
      <c r="N25" s="14">
        <v>7352</v>
      </c>
      <c r="O25" s="12">
        <f t="shared" si="7"/>
        <v>532547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33865</v>
      </c>
      <c r="C26" s="14">
        <v>22206</v>
      </c>
      <c r="D26" s="14">
        <v>23311</v>
      </c>
      <c r="E26" s="14">
        <v>3378</v>
      </c>
      <c r="F26" s="14">
        <v>19054</v>
      </c>
      <c r="G26" s="14">
        <v>29229</v>
      </c>
      <c r="H26" s="14">
        <v>18576</v>
      </c>
      <c r="I26" s="14">
        <v>4549</v>
      </c>
      <c r="J26" s="14">
        <v>23012</v>
      </c>
      <c r="K26" s="14">
        <v>16519</v>
      </c>
      <c r="L26" s="14">
        <v>19446</v>
      </c>
      <c r="M26" s="14">
        <v>6507</v>
      </c>
      <c r="N26" s="14">
        <v>4875</v>
      </c>
      <c r="O26" s="12">
        <f t="shared" si="7"/>
        <v>224527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1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46</v>
      </c>
      <c r="B32" s="55">
        <f>B33*B34</f>
        <v>3257.0800000000004</v>
      </c>
      <c r="C32" s="55">
        <f aca="true" t="shared" si="10" ref="C32:N32">C33*C34</f>
        <v>2392.52</v>
      </c>
      <c r="D32" s="55">
        <f t="shared" si="10"/>
        <v>2161.4</v>
      </c>
      <c r="E32" s="55">
        <f t="shared" si="10"/>
        <v>646.2800000000001</v>
      </c>
      <c r="F32" s="55">
        <f t="shared" si="10"/>
        <v>2161.4</v>
      </c>
      <c r="G32" s="55">
        <f t="shared" si="10"/>
        <v>2662.1600000000003</v>
      </c>
      <c r="H32" s="55">
        <f t="shared" si="10"/>
        <v>2242.7200000000003</v>
      </c>
      <c r="I32" s="55">
        <f t="shared" si="10"/>
        <v>654.84</v>
      </c>
      <c r="J32" s="55">
        <f>J33*J34</f>
        <v>2546.6000000000004</v>
      </c>
      <c r="K32" s="55">
        <f>K33*K34</f>
        <v>2118.6</v>
      </c>
      <c r="L32" s="55">
        <f>L33*L34</f>
        <v>2602.2400000000002</v>
      </c>
      <c r="M32" s="55">
        <f t="shared" si="10"/>
        <v>1271.16</v>
      </c>
      <c r="N32" s="55">
        <f t="shared" si="10"/>
        <v>719.0400000000001</v>
      </c>
      <c r="O32" s="25">
        <f>SUM(B32:N32)</f>
        <v>25436.04</v>
      </c>
    </row>
    <row r="33" spans="1:26" ht="18.75" customHeight="1">
      <c r="A33" s="51" t="s">
        <v>47</v>
      </c>
      <c r="B33" s="57">
        <v>761</v>
      </c>
      <c r="C33" s="57">
        <v>559</v>
      </c>
      <c r="D33" s="57">
        <v>505</v>
      </c>
      <c r="E33" s="57">
        <v>151</v>
      </c>
      <c r="F33" s="57">
        <v>505</v>
      </c>
      <c r="G33" s="57">
        <v>622</v>
      </c>
      <c r="H33" s="57">
        <v>524</v>
      </c>
      <c r="I33" s="57">
        <v>153</v>
      </c>
      <c r="J33" s="57">
        <v>595</v>
      </c>
      <c r="K33" s="57">
        <v>495</v>
      </c>
      <c r="L33" s="57">
        <v>608</v>
      </c>
      <c r="M33" s="57">
        <v>297</v>
      </c>
      <c r="N33" s="57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48</v>
      </c>
      <c r="B34" s="53">
        <v>4.28</v>
      </c>
      <c r="C34" s="53">
        <v>4.28</v>
      </c>
      <c r="D34" s="53">
        <v>4.28</v>
      </c>
      <c r="E34" s="53">
        <v>4.28</v>
      </c>
      <c r="F34" s="53">
        <v>4.28</v>
      </c>
      <c r="G34" s="53">
        <v>4.28</v>
      </c>
      <c r="H34" s="53">
        <v>4.28</v>
      </c>
      <c r="I34" s="53">
        <v>4.28</v>
      </c>
      <c r="J34" s="53">
        <v>4.28</v>
      </c>
      <c r="K34" s="53">
        <v>4.28</v>
      </c>
      <c r="L34" s="53">
        <v>4.28</v>
      </c>
      <c r="M34" s="53">
        <v>4.28</v>
      </c>
      <c r="N34" s="53">
        <v>4.28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49</v>
      </c>
      <c r="B36" s="59">
        <f>B37+B38+B39+B40</f>
        <v>982611.6617527</v>
      </c>
      <c r="C36" s="59">
        <f aca="true" t="shared" si="11" ref="C36:N36">C37+C38+C39+C40</f>
        <v>697803.711105</v>
      </c>
      <c r="D36" s="59">
        <f t="shared" si="11"/>
        <v>693420.65283235</v>
      </c>
      <c r="E36" s="59">
        <f t="shared" si="11"/>
        <v>130958.32311359998</v>
      </c>
      <c r="F36" s="59">
        <f t="shared" si="11"/>
        <v>665483.9261771999</v>
      </c>
      <c r="G36" s="59">
        <f t="shared" si="11"/>
        <v>820034.8256000001</v>
      </c>
      <c r="H36" s="59">
        <f t="shared" si="11"/>
        <v>679578.9185</v>
      </c>
      <c r="I36" s="59">
        <f>I37+I38+I39+I40</f>
        <v>187598.1888356</v>
      </c>
      <c r="J36" s="59">
        <f>J37+J38+J39+J40</f>
        <v>767401.7630411999</v>
      </c>
      <c r="K36" s="59">
        <f>K37+K38+K39+K40</f>
        <v>631401.4103913</v>
      </c>
      <c r="L36" s="59">
        <f>L37+L38+L39+L40</f>
        <v>732542.11423088</v>
      </c>
      <c r="M36" s="59">
        <f t="shared" si="11"/>
        <v>333121.6499868999</v>
      </c>
      <c r="N36" s="59">
        <f t="shared" si="11"/>
        <v>217526.81060304</v>
      </c>
      <c r="O36" s="59">
        <f>O37+O38+O39+O40</f>
        <v>7539483.95616977</v>
      </c>
    </row>
    <row r="37" spans="1:15" ht="18.75" customHeight="1">
      <c r="A37" s="56" t="s">
        <v>50</v>
      </c>
      <c r="B37" s="53">
        <f aca="true" t="shared" si="12" ref="B37:N37">B29*B7</f>
        <v>977594.7555000001</v>
      </c>
      <c r="C37" s="53">
        <f t="shared" si="12"/>
        <v>693404.98</v>
      </c>
      <c r="D37" s="53">
        <f t="shared" si="12"/>
        <v>683101.7254</v>
      </c>
      <c r="E37" s="53">
        <f t="shared" si="12"/>
        <v>130628.34679999998</v>
      </c>
      <c r="F37" s="53">
        <f t="shared" si="12"/>
        <v>665261.5991999999</v>
      </c>
      <c r="G37" s="53">
        <f t="shared" si="12"/>
        <v>815685.9078</v>
      </c>
      <c r="H37" s="53">
        <f t="shared" si="12"/>
        <v>675689.3721</v>
      </c>
      <c r="I37" s="53">
        <f>I29*I7</f>
        <v>187470.7268</v>
      </c>
      <c r="J37" s="53">
        <f>J29*J7</f>
        <v>762407.9839999999</v>
      </c>
      <c r="K37" s="53">
        <f>K29*K7</f>
        <v>627570.9704999999</v>
      </c>
      <c r="L37" s="53">
        <f>L29*L7</f>
        <v>728020.2151</v>
      </c>
      <c r="M37" s="53">
        <f t="shared" si="12"/>
        <v>330476.57999999996</v>
      </c>
      <c r="N37" s="53">
        <f t="shared" si="12"/>
        <v>217451.025</v>
      </c>
      <c r="O37" s="55">
        <f>SUM(B37:N37)</f>
        <v>7494764.188200001</v>
      </c>
    </row>
    <row r="38" spans="1:15" ht="18.75" customHeight="1">
      <c r="A38" s="56" t="s">
        <v>51</v>
      </c>
      <c r="B38" s="53">
        <f aca="true" t="shared" si="13" ref="B38:N38">B30*B7</f>
        <v>-2899.0137473</v>
      </c>
      <c r="C38" s="53">
        <f t="shared" si="13"/>
        <v>-2016.8188949999999</v>
      </c>
      <c r="D38" s="53">
        <f t="shared" si="13"/>
        <v>-2029.3225676499999</v>
      </c>
      <c r="E38" s="53">
        <f t="shared" si="13"/>
        <v>-316.3036864</v>
      </c>
      <c r="F38" s="53">
        <f t="shared" si="13"/>
        <v>-1939.0730228</v>
      </c>
      <c r="G38" s="53">
        <f t="shared" si="13"/>
        <v>-2404.7622</v>
      </c>
      <c r="H38" s="53">
        <f t="shared" si="13"/>
        <v>-1860.2136</v>
      </c>
      <c r="I38" s="53">
        <f>I30*I7</f>
        <v>-527.3779644</v>
      </c>
      <c r="J38" s="53">
        <f>J30*J7</f>
        <v>-2194.7009588</v>
      </c>
      <c r="K38" s="53">
        <f>K30*K7</f>
        <v>-1795.0701087</v>
      </c>
      <c r="L38" s="53">
        <f>L30*L7</f>
        <v>-2138.60086912</v>
      </c>
      <c r="M38" s="53">
        <f t="shared" si="13"/>
        <v>-964.0300130999999</v>
      </c>
      <c r="N38" s="53">
        <f t="shared" si="13"/>
        <v>-643.25439696</v>
      </c>
      <c r="O38" s="25">
        <f>SUM(B38:N38)</f>
        <v>-21728.54203023</v>
      </c>
    </row>
    <row r="39" spans="1:15" ht="18.75" customHeight="1">
      <c r="A39" s="56" t="s">
        <v>52</v>
      </c>
      <c r="B39" s="53">
        <f aca="true" t="shared" si="14" ref="B39:N39">B32</f>
        <v>3257.0800000000004</v>
      </c>
      <c r="C39" s="53">
        <f t="shared" si="14"/>
        <v>2392.52</v>
      </c>
      <c r="D39" s="53">
        <f t="shared" si="14"/>
        <v>2161.4</v>
      </c>
      <c r="E39" s="53">
        <f t="shared" si="14"/>
        <v>646.2800000000001</v>
      </c>
      <c r="F39" s="53">
        <f t="shared" si="14"/>
        <v>2161.4</v>
      </c>
      <c r="G39" s="53">
        <f t="shared" si="14"/>
        <v>2662.1600000000003</v>
      </c>
      <c r="H39" s="53">
        <f t="shared" si="14"/>
        <v>2242.7200000000003</v>
      </c>
      <c r="I39" s="53">
        <f>I32</f>
        <v>654.84</v>
      </c>
      <c r="J39" s="53">
        <f>J32</f>
        <v>2546.6000000000004</v>
      </c>
      <c r="K39" s="53">
        <f>K32</f>
        <v>2118.6</v>
      </c>
      <c r="L39" s="53">
        <f>L32</f>
        <v>2602.2400000000002</v>
      </c>
      <c r="M39" s="53">
        <f t="shared" si="14"/>
        <v>1271.16</v>
      </c>
      <c r="N39" s="53">
        <f t="shared" si="14"/>
        <v>719.0400000000001</v>
      </c>
      <c r="O39" s="55">
        <f>SUM(B39:N39)</f>
        <v>25436.04</v>
      </c>
    </row>
    <row r="40" spans="1:26" ht="18.75" customHeight="1">
      <c r="A40" s="2" t="s">
        <v>53</v>
      </c>
      <c r="B40" s="53">
        <v>4658.84</v>
      </c>
      <c r="C40" s="53">
        <v>4023.03</v>
      </c>
      <c r="D40" s="53">
        <v>10186.85</v>
      </c>
      <c r="E40" s="53">
        <v>0</v>
      </c>
      <c r="F40" s="53">
        <v>0</v>
      </c>
      <c r="G40" s="53">
        <v>4091.52</v>
      </c>
      <c r="H40" s="53">
        <v>3507.04</v>
      </c>
      <c r="I40" s="53">
        <v>0</v>
      </c>
      <c r="J40" s="53">
        <v>4641.88</v>
      </c>
      <c r="K40" s="53">
        <v>3506.91</v>
      </c>
      <c r="L40" s="53">
        <v>4058.26</v>
      </c>
      <c r="M40" s="53">
        <v>2337.94</v>
      </c>
      <c r="N40" s="53">
        <v>0</v>
      </c>
      <c r="O40" s="55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54</v>
      </c>
      <c r="B42" s="25">
        <f>+B43+B46+B58+B59</f>
        <v>93078.86000000002</v>
      </c>
      <c r="C42" s="25">
        <f>+C43+C46+C58+C59+C60</f>
        <v>-121373.5</v>
      </c>
      <c r="D42" s="25">
        <f aca="true" t="shared" si="15" ref="C42:N42">+D43+D46+D58+D59</f>
        <v>17077.300000000017</v>
      </c>
      <c r="E42" s="25">
        <f t="shared" si="15"/>
        <v>41795.16</v>
      </c>
      <c r="F42" s="25">
        <f t="shared" si="15"/>
        <v>252654.59</v>
      </c>
      <c r="G42" s="25">
        <f t="shared" si="15"/>
        <v>103067.26999999999</v>
      </c>
      <c r="H42" s="25">
        <f t="shared" si="15"/>
        <v>-75674.09</v>
      </c>
      <c r="I42" s="25">
        <f>+I43+I46+I58+I59</f>
        <v>30685.690000000002</v>
      </c>
      <c r="J42" s="25">
        <f>+J43+J46+J58+J59</f>
        <v>-4161.330000000002</v>
      </c>
      <c r="K42" s="25">
        <f>+K43+K46+K58+K59</f>
        <v>-74450.66</v>
      </c>
      <c r="L42" s="25">
        <f>+L43+L46+L58+L59</f>
        <v>139210.11000000002</v>
      </c>
      <c r="M42" s="25">
        <f t="shared" si="15"/>
        <v>-44109.86</v>
      </c>
      <c r="N42" s="25">
        <f t="shared" si="15"/>
        <v>115361.29</v>
      </c>
      <c r="O42" s="25">
        <f>+O43+O46+O58+O59</f>
        <v>478929.8999999999</v>
      </c>
    </row>
    <row r="43" spans="1:15" ht="18.75" customHeight="1">
      <c r="A43" s="17" t="s">
        <v>55</v>
      </c>
      <c r="B43" s="26">
        <f>B44+B45</f>
        <v>-105617.2</v>
      </c>
      <c r="C43" s="26">
        <f>C44+C45</f>
        <v>-104944.6</v>
      </c>
      <c r="D43" s="26">
        <f>D44+D45</f>
        <v>-84698.2</v>
      </c>
      <c r="E43" s="26">
        <f>E44+E45</f>
        <v>-10909.8</v>
      </c>
      <c r="F43" s="26">
        <f aca="true" t="shared" si="16" ref="F43:N43">F44+F45</f>
        <v>-70391.2</v>
      </c>
      <c r="G43" s="26">
        <f t="shared" si="16"/>
        <v>-118727.2</v>
      </c>
      <c r="H43" s="26">
        <f t="shared" si="16"/>
        <v>-101080</v>
      </c>
      <c r="I43" s="26">
        <f>I44+I45</f>
        <v>-28743.2</v>
      </c>
      <c r="J43" s="26">
        <f>J44+J45</f>
        <v>-65481.6</v>
      </c>
      <c r="K43" s="26">
        <f>K44+K45</f>
        <v>-81073</v>
      </c>
      <c r="L43" s="26">
        <f>L44+L45</f>
        <v>-66063</v>
      </c>
      <c r="M43" s="26">
        <f t="shared" si="16"/>
        <v>-37422.4</v>
      </c>
      <c r="N43" s="26">
        <f t="shared" si="16"/>
        <v>-28165.6</v>
      </c>
      <c r="O43" s="25">
        <f aca="true" t="shared" si="17" ref="O43:O59">SUM(B43:N43)</f>
        <v>-903316.9999999999</v>
      </c>
    </row>
    <row r="44" spans="1:26" ht="18.75" customHeight="1">
      <c r="A44" s="13" t="s">
        <v>56</v>
      </c>
      <c r="B44" s="20">
        <f>ROUND(-B9*$D$3,2)</f>
        <v>-105617.2</v>
      </c>
      <c r="C44" s="20">
        <f>ROUND(-C9*$D$3,2)</f>
        <v>-104944.6</v>
      </c>
      <c r="D44" s="20">
        <f>ROUND(-D9*$D$3,2)</f>
        <v>-84698.2</v>
      </c>
      <c r="E44" s="20">
        <f>ROUND(-E9*$D$3,2)</f>
        <v>-10909.8</v>
      </c>
      <c r="F44" s="20">
        <f aca="true" t="shared" si="18" ref="F44:N44">ROUND(-F9*$D$3,2)</f>
        <v>-70391.2</v>
      </c>
      <c r="G44" s="20">
        <f t="shared" si="18"/>
        <v>-118727.2</v>
      </c>
      <c r="H44" s="20">
        <f t="shared" si="18"/>
        <v>-101080</v>
      </c>
      <c r="I44" s="20">
        <f>ROUND(-I9*$D$3,2)</f>
        <v>-28743.2</v>
      </c>
      <c r="J44" s="20">
        <f>ROUND(-J9*$D$3,2)</f>
        <v>-65481.6</v>
      </c>
      <c r="K44" s="20">
        <f>ROUND(-K9*$D$3,2)</f>
        <v>-81073</v>
      </c>
      <c r="L44" s="20">
        <f>ROUND(-L9*$D$3,2)</f>
        <v>-66063</v>
      </c>
      <c r="M44" s="20">
        <f t="shared" si="18"/>
        <v>-37422.4</v>
      </c>
      <c r="N44" s="20">
        <f t="shared" si="18"/>
        <v>-28165.6</v>
      </c>
      <c r="O44" s="45">
        <f t="shared" si="17"/>
        <v>-903316.9999999999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-33563.42</v>
      </c>
      <c r="C46" s="26">
        <f aca="true" t="shared" si="20" ref="C46:O46">SUM(C47:C57)</f>
        <v>-23634.16</v>
      </c>
      <c r="D46" s="26">
        <f t="shared" si="20"/>
        <v>-23395.57</v>
      </c>
      <c r="E46" s="26">
        <f t="shared" si="20"/>
        <v>-4306.26</v>
      </c>
      <c r="F46" s="26">
        <f t="shared" si="20"/>
        <v>-23620.95</v>
      </c>
      <c r="G46" s="26">
        <f t="shared" si="20"/>
        <v>-29021.86</v>
      </c>
      <c r="H46" s="26">
        <f t="shared" si="20"/>
        <v>-23777.59</v>
      </c>
      <c r="I46" s="26">
        <f t="shared" si="20"/>
        <v>-10932.35</v>
      </c>
      <c r="J46" s="26">
        <f t="shared" si="20"/>
        <v>-26579.46</v>
      </c>
      <c r="K46" s="26">
        <f t="shared" si="20"/>
        <v>-21404.19</v>
      </c>
      <c r="L46" s="26">
        <f t="shared" si="20"/>
        <v>-25727.93</v>
      </c>
      <c r="M46" s="26">
        <f t="shared" si="20"/>
        <v>-11724.99</v>
      </c>
      <c r="N46" s="26">
        <f t="shared" si="20"/>
        <v>-6684.73</v>
      </c>
      <c r="O46" s="26">
        <f t="shared" si="20"/>
        <v>-264373.45999999996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-4500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106</v>
      </c>
      <c r="B54" s="24">
        <v>-33563.42</v>
      </c>
      <c r="C54" s="24">
        <v>-23634.16</v>
      </c>
      <c r="D54" s="24">
        <v>-22895.57</v>
      </c>
      <c r="E54" s="24">
        <v>-4306.26</v>
      </c>
      <c r="F54" s="24">
        <v>-23120.95</v>
      </c>
      <c r="G54" s="24">
        <v>-28521.86</v>
      </c>
      <c r="H54" s="24">
        <v>-23277.59</v>
      </c>
      <c r="I54" s="24">
        <v>-6432.35</v>
      </c>
      <c r="J54" s="24">
        <v>-26579.46</v>
      </c>
      <c r="K54" s="24">
        <v>-21404.19</v>
      </c>
      <c r="L54" s="24">
        <v>-25727.93</v>
      </c>
      <c r="M54" s="24">
        <v>-11724.99</v>
      </c>
      <c r="N54" s="24">
        <v>-6684.73</v>
      </c>
      <c r="O54" s="24">
        <f t="shared" si="17"/>
        <v>-257873.45999999996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100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101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v>232259.48</v>
      </c>
      <c r="C58" s="27">
        <v>12974.33</v>
      </c>
      <c r="D58" s="27">
        <v>125171.07</v>
      </c>
      <c r="E58" s="27">
        <v>57011.22</v>
      </c>
      <c r="F58" s="27">
        <v>346666.74</v>
      </c>
      <c r="G58" s="27">
        <v>250816.33</v>
      </c>
      <c r="H58" s="27">
        <v>49183.5</v>
      </c>
      <c r="I58" s="27">
        <v>70361.24</v>
      </c>
      <c r="J58" s="27">
        <v>87899.73</v>
      </c>
      <c r="K58" s="27">
        <v>28026.53</v>
      </c>
      <c r="L58" s="27">
        <v>231001.04</v>
      </c>
      <c r="M58" s="27">
        <v>5037.53</v>
      </c>
      <c r="N58" s="27">
        <v>150211.62</v>
      </c>
      <c r="O58" s="24">
        <f t="shared" si="17"/>
        <v>1646620.3599999999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8" customHeight="1">
      <c r="A60" s="17" t="s">
        <v>112</v>
      </c>
      <c r="B60" s="62"/>
      <c r="C60" s="77">
        <v>-5769.07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8.75" customHeight="1">
      <c r="A61" s="2" t="s">
        <v>67</v>
      </c>
      <c r="B61" s="29">
        <f aca="true" t="shared" si="21" ref="B61:N61">+B36+B42</f>
        <v>1075690.5217527</v>
      </c>
      <c r="C61" s="29">
        <f t="shared" si="21"/>
        <v>576430.211105</v>
      </c>
      <c r="D61" s="29">
        <f t="shared" si="21"/>
        <v>710497.95283235</v>
      </c>
      <c r="E61" s="29">
        <f t="shared" si="21"/>
        <v>172753.4831136</v>
      </c>
      <c r="F61" s="29">
        <f t="shared" si="21"/>
        <v>918138.5161771999</v>
      </c>
      <c r="G61" s="29">
        <f t="shared" si="21"/>
        <v>923102.0956000001</v>
      </c>
      <c r="H61" s="29">
        <f t="shared" si="21"/>
        <v>603904.8285000001</v>
      </c>
      <c r="I61" s="29">
        <f t="shared" si="21"/>
        <v>218283.87883560002</v>
      </c>
      <c r="J61" s="29">
        <f>+J36+J42</f>
        <v>763240.4330411999</v>
      </c>
      <c r="K61" s="29">
        <f>+K36+K42</f>
        <v>556950.7503913</v>
      </c>
      <c r="L61" s="29">
        <f>+L36+L42</f>
        <v>871752.22423088</v>
      </c>
      <c r="M61" s="29">
        <f t="shared" si="21"/>
        <v>289011.78998689994</v>
      </c>
      <c r="N61" s="29">
        <f t="shared" si="21"/>
        <v>332888.10060304</v>
      </c>
      <c r="O61" s="29">
        <f>SUM(B61:N61)</f>
        <v>8012644.78616977</v>
      </c>
      <c r="P61"/>
      <c r="Q61" s="78"/>
      <c r="R61"/>
      <c r="S61"/>
      <c r="T61"/>
      <c r="U61"/>
      <c r="V61"/>
      <c r="W61"/>
      <c r="X61"/>
      <c r="Y61"/>
      <c r="Z61"/>
    </row>
    <row r="62" spans="1:15" ht="15" customHeight="1">
      <c r="A62" s="33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5">
        <f>SUM(B65:B78)</f>
        <v>1075690.53</v>
      </c>
      <c r="C64" s="35">
        <f aca="true" t="shared" si="22" ref="C64:N64">SUM(C65:C78)</f>
        <v>576430.2</v>
      </c>
      <c r="D64" s="35">
        <f t="shared" si="22"/>
        <v>710497.96</v>
      </c>
      <c r="E64" s="35">
        <f t="shared" si="22"/>
        <v>172753.49</v>
      </c>
      <c r="F64" s="35">
        <f t="shared" si="22"/>
        <v>918138.52</v>
      </c>
      <c r="G64" s="35">
        <f t="shared" si="22"/>
        <v>923102.1</v>
      </c>
      <c r="H64" s="35">
        <f t="shared" si="22"/>
        <v>603904.83</v>
      </c>
      <c r="I64" s="35">
        <f t="shared" si="22"/>
        <v>218283.88</v>
      </c>
      <c r="J64" s="35">
        <f t="shared" si="22"/>
        <v>763240.44</v>
      </c>
      <c r="K64" s="35">
        <f t="shared" si="22"/>
        <v>556950.75</v>
      </c>
      <c r="L64" s="35">
        <f t="shared" si="22"/>
        <v>871752.23</v>
      </c>
      <c r="M64" s="35">
        <f t="shared" si="22"/>
        <v>289011.79</v>
      </c>
      <c r="N64" s="35">
        <f t="shared" si="22"/>
        <v>332888.11</v>
      </c>
      <c r="O64" s="29">
        <f>SUM(O65:O78)</f>
        <v>8012644.83</v>
      </c>
    </row>
    <row r="65" spans="1:16" ht="18.75" customHeight="1">
      <c r="A65" s="17" t="s">
        <v>69</v>
      </c>
      <c r="B65" s="35">
        <f>161640.6+1151.8+27910.33</f>
        <v>190702.72999999998</v>
      </c>
      <c r="C65" s="35">
        <f>160629.16+1169.01+1575.35</f>
        <v>163373.52000000002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354076.25</v>
      </c>
      <c r="P65"/>
    </row>
    <row r="66" spans="1:16" ht="18.75" customHeight="1">
      <c r="A66" s="17" t="s">
        <v>70</v>
      </c>
      <c r="B66" s="35">
        <f>204349.15+3507.04+677131.61</f>
        <v>884987.8</v>
      </c>
      <c r="C66" s="35">
        <f>398803.68+2854.02+11398.98</f>
        <v>413056.68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1298044.48</v>
      </c>
      <c r="P66"/>
    </row>
    <row r="67" spans="1:17" ht="18.75" customHeight="1">
      <c r="A67" s="17" t="s">
        <v>71</v>
      </c>
      <c r="B67" s="34">
        <v>0</v>
      </c>
      <c r="C67" s="34">
        <v>0</v>
      </c>
      <c r="D67" s="26">
        <v>710497.96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710497.96</v>
      </c>
      <c r="Q67"/>
    </row>
    <row r="68" spans="1:18" ht="18.75" customHeight="1">
      <c r="A68" s="17" t="s">
        <v>72</v>
      </c>
      <c r="B68" s="34">
        <v>0</v>
      </c>
      <c r="C68" s="34">
        <v>0</v>
      </c>
      <c r="D68" s="34">
        <v>0</v>
      </c>
      <c r="E68" s="26">
        <v>172753.49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172753.49</v>
      </c>
      <c r="R68"/>
    </row>
    <row r="69" spans="1:19" ht="18.75" customHeight="1">
      <c r="A69" s="17" t="s">
        <v>73</v>
      </c>
      <c r="B69" s="34">
        <v>0</v>
      </c>
      <c r="C69" s="34">
        <v>0</v>
      </c>
      <c r="D69" s="34">
        <v>0</v>
      </c>
      <c r="E69" s="34">
        <v>0</v>
      </c>
      <c r="F69" s="26">
        <v>918138.52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918138.52</v>
      </c>
      <c r="S69"/>
    </row>
    <row r="70" spans="1:20" ht="18.75" customHeight="1">
      <c r="A70" s="17" t="s">
        <v>74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v>923102.1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923102.1</v>
      </c>
      <c r="T70"/>
    </row>
    <row r="71" spans="1:21" ht="18.75" customHeight="1">
      <c r="A71" s="17" t="s">
        <v>99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603904.83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603904.83</v>
      </c>
      <c r="U71"/>
    </row>
    <row r="72" spans="1:21" ht="18.75" customHeight="1">
      <c r="A72" s="17" t="s">
        <v>75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218283.88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218283.88</v>
      </c>
      <c r="U72"/>
    </row>
    <row r="73" spans="1:22" ht="18.75" customHeight="1">
      <c r="A73" s="17" t="s">
        <v>76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v>763240.44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763240.44</v>
      </c>
      <c r="V73"/>
    </row>
    <row r="74" spans="1:23" ht="18.75" customHeight="1">
      <c r="A74" s="17" t="s">
        <v>77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v>556950.75</v>
      </c>
      <c r="L74" s="34">
        <v>0</v>
      </c>
      <c r="M74" s="34">
        <v>0</v>
      </c>
      <c r="N74" s="34">
        <v>0</v>
      </c>
      <c r="O74" s="29">
        <f t="shared" si="23"/>
        <v>556950.75</v>
      </c>
      <c r="W74"/>
    </row>
    <row r="75" spans="1:24" ht="18.75" customHeight="1">
      <c r="A75" s="17" t="s">
        <v>78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v>871752.23</v>
      </c>
      <c r="M75" s="34">
        <v>0</v>
      </c>
      <c r="N75" s="60">
        <v>0</v>
      </c>
      <c r="O75" s="26">
        <f t="shared" si="23"/>
        <v>871752.23</v>
      </c>
      <c r="X75"/>
    </row>
    <row r="76" spans="1:25" ht="18.75" customHeight="1">
      <c r="A76" s="17" t="s">
        <v>79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289011.79</v>
      </c>
      <c r="N76" s="34">
        <v>0</v>
      </c>
      <c r="O76" s="29">
        <f t="shared" si="23"/>
        <v>289011.79</v>
      </c>
      <c r="Y76"/>
    </row>
    <row r="77" spans="1:26" ht="18.75" customHeight="1">
      <c r="A77" s="17" t="s">
        <v>80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v>332888.11</v>
      </c>
      <c r="O77" s="26">
        <f t="shared" si="23"/>
        <v>332888.11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18.75" customHeight="1">
      <c r="A81" s="2" t="s">
        <v>108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81</v>
      </c>
      <c r="B82" s="43">
        <v>2.336109735969452</v>
      </c>
      <c r="C82" s="43">
        <v>2.286602932420529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82</v>
      </c>
      <c r="B83" s="43">
        <v>2.0391481017449276</v>
      </c>
      <c r="C83" s="43">
        <v>1.9246075495327322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83</v>
      </c>
      <c r="B84" s="43">
        <v>0</v>
      </c>
      <c r="C84" s="43">
        <v>0</v>
      </c>
      <c r="D84" s="22">
        <f>(D$37+D$38+D$39)/D$7</f>
        <v>1.8685612156871245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84</v>
      </c>
      <c r="B85" s="43">
        <v>0</v>
      </c>
      <c r="C85" s="43">
        <v>0</v>
      </c>
      <c r="D85" s="43">
        <v>0</v>
      </c>
      <c r="E85" s="22">
        <f>(E$37+E$38+E$39)/E$7</f>
        <v>2.600753130110815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85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2.1820289791503815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86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1.7304458871484258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87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2.0352514999352764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88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1.9919534162500798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89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1.9769120477749496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90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2.2266473057342253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91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2.129055024157726</v>
      </c>
      <c r="M92" s="43">
        <v>0</v>
      </c>
      <c r="N92" s="43">
        <v>0</v>
      </c>
      <c r="O92" s="26"/>
      <c r="X92"/>
    </row>
    <row r="93" spans="1:25" ht="18.75" customHeight="1">
      <c r="A93" s="17" t="s">
        <v>92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2.528347550155927</v>
      </c>
      <c r="N93" s="43">
        <v>0</v>
      </c>
      <c r="O93" s="61"/>
      <c r="Y93"/>
    </row>
    <row r="94" spans="1:26" ht="18.75" customHeight="1">
      <c r="A94" s="33" t="s">
        <v>93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8">
        <f>(N$37+N$38+N$39)/N$7</f>
        <v>2.4758625821263616</v>
      </c>
      <c r="O94" s="49"/>
      <c r="P94"/>
      <c r="Z94"/>
    </row>
    <row r="95" spans="1:14" ht="21" customHeight="1">
      <c r="A95" s="66" t="s">
        <v>103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21" customHeight="1">
      <c r="A96" s="69" t="s">
        <v>109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ht="15" customHeight="1">
      <c r="A97" s="76" t="s">
        <v>111</v>
      </c>
    </row>
    <row r="98" spans="1:2" ht="17.25" customHeight="1">
      <c r="A98" s="76" t="s">
        <v>110</v>
      </c>
      <c r="B98" s="39"/>
    </row>
    <row r="99" spans="8:9" ht="14.25">
      <c r="H99" s="40"/>
      <c r="I99" s="40"/>
    </row>
    <row r="101" spans="8:12" ht="14.25">
      <c r="H101" s="41"/>
      <c r="I101" s="41"/>
      <c r="J101" s="42"/>
      <c r="K101" s="42"/>
      <c r="L101" s="42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2018-01-03T12:01:49Z</dcterms:modified>
  <cp:category/>
  <cp:version/>
  <cp:contentType/>
  <cp:contentStatus/>
</cp:coreProperties>
</file>