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<sst xmlns="http://schemas.openxmlformats.org/spreadsheetml/2006/main" count="117" uniqueCount="115">
  <si>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</si>
  <si>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</si>
  <si>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</si>
  <si>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</si>
  <si>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</si>
  <si>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</si>
  <si>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</si>
  <si>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</si>
  <si>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</si>
  <si>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</si>
  <si>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</si>
  <si>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</si>
  <si>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</si>
  <si>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</si>
  <si>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</si>
  <si>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</si>
  <si>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</si>
  <si>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</si>
  <si>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</si>
  <si>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</si>
  <si>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</si>
  <si>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</si>
  <si>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</si>
  <si>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</si>
  <si>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</si>
  <si>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</si>
  <si>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</si>
  <si>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</si>
  <si>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</si>
  <si>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</si>
  <si>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</si>
  <si>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</si>
  <si>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</si>
  <si>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</si>
  <si>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</si>
  <si>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</si>
  <si>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</si>
  <si>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</si>
  <si>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</si>
  <si>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</si>
  <si>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</si>
  <si>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</si>
  <si>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</si>
  <si>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</si>
  <si>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</si>
  <si>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</si>
  <si>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</si>
  <si>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</si>
  <si>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</si>
  <si>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</si>
  <si>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</si>
  <si>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</si>
  <si>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</si>
  <si>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</si>
  <si>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</si>
  <si>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</si>
  <si>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</si>
  <si>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</si>
  <si>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</si>
  <si>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</si>
  <si>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</si>
  <si>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</si>
  <si>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</si>
  <si>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</si>
  <si>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</si>
  <si>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</si>
  <si>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</si>
  <si>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</si>
  <si>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</si>
  <si>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</si>
  <si>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</si>
  <si>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</si>
  <si>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</si>
  <si>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</si>
  <si>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</si>
  <si>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</si>
  <si>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</si>
  <si>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</si>
  <si>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</si>
  <si>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</si>
  <si>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</si>
  <si>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</si>
  <si>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</si>
  <si>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</si>
  <si>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</si>
  <si>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</si>
  <si>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</si>
  <si>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</si>
  <si>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</si>
  <si>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</si>
  <si>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</si>
  <si>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</si>
  <si>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</si>
  <si>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</si>
  <si>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</si>
  <si>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</si>
  <si>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</si>
  <si>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</si>
  <si>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</si>
  <si>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</si>
  <si>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Nota:</t>
  </si>
  <si>
    <t>Movebuss Soluções em Mobilidde Urbana Ltda</t>
  </si>
  <si>
    <t>OPERAÇÃO 20/12/17 - VENCIMENTO 28/12/17</t>
  </si>
  <si>
    <t>5.5. Saldo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</si>
  <si>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</si>
  <si>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r>
      <t>5.2.10. Revisão do Ajuste de Remuneração Previsto Contratualmente</t>
    </r>
    <r>
      <rPr>
        <vertAlign val="superscript"/>
        <sz val="12"/>
        <rFont val="Calibri"/>
        <family val="2"/>
      </rPr>
      <t>(3)</t>
    </r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</si>
  <si>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(4)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</si>
  <si>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(5)</t>
    </r>
  </si>
  <si>
    <t>(4) Revisão de tarifa nominal, reequilíbrio e validdor, período de 04/07 a 07/09/17, área 5.0. Remuneração rede da madrugada, linhas noturnas, mês de novembro/17, todas as áreas.</t>
  </si>
  <si>
    <t>(1) Ajuste de remuneração, previsto contratualmente, período de 24/11 a 20/12/17.</t>
  </si>
  <si>
    <t>(3) Revisão do ajuste de remuneração, período de 25/10 a  23/11/17.</t>
  </si>
  <si>
    <t>(5) Tarifa de remuneração de cada empresa considerando o  reequilibrio interno estabelecido e informado pelo consórcio. Não consideram os acertos financeiros previstos no item 7.</t>
  </si>
  <si>
    <t>(2) Revisão remuneração ar-condicionado, períodos de 25/10 a 23/11/17 e de 24/11 a 20/12/17.</t>
  </si>
  <si>
    <r>
      <t>5.2.9. Ajuste de Remuneração Previsto Contratualmente  Ar-condicionado (+)</t>
    </r>
    <r>
      <rPr>
        <vertAlign val="superscript"/>
        <sz val="12"/>
        <rFont val="Calibri"/>
        <family val="2"/>
      </rPr>
      <t>(2)</t>
    </r>
  </si>
  <si>
    <r>
      <t>5.2.9. Ajuste de Remuneração Previsto Contratualmente  Ar-condicionado  (-)</t>
    </r>
    <r>
      <rPr>
        <vertAlign val="superscript"/>
        <sz val="12"/>
        <rFont val="Calibri"/>
        <family val="2"/>
      </rPr>
      <t>(2)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</si>
</sst>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4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43" fontId="0" fillId="0" borderId="0" xfId="0" applyNumberFormat="1" applyAlignment="1">
      <alignment/>
    </xf>
    <xf numFmtId="171" fontId="45" fillId="0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44" fillId="0" borderId="14" xfId="0" applyNumberFormat="1" applyFont="1" applyFill="1" applyBorder="1" applyAlignment="1">
      <alignment vertical="center"/>
    </xf>
    <xf numFmtId="44" fontId="0" fillId="0" borderId="0" xfId="0" applyNumberFormat="1" applyAlignment="1">
      <alignment/>
    </xf>
    <xf numFmtId="43" fontId="45" fillId="0" borderId="10" xfId="0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914400</xdr:colOff>
      <xdr:row>98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07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914400</xdr:colOff>
      <xdr:row>98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07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914400</xdr:colOff>
      <xdr:row>98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07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37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4.375" style="1" bestFit="1" customWidth="1"/>
    <col min="18" max="16384" width="9.00390625" style="1" customWidth="1"/>
  </cols>
  <sheetData>
    <row r="1" spans="1:15" ht="21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1">
      <c r="A2" s="78" t="s">
        <v>102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9" t="s">
        <v>1</v>
      </c>
      <c r="B4" s="79" t="s">
        <v>38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 t="s">
        <v>2</v>
      </c>
    </row>
    <row r="5" spans="1:15" ht="42" customHeight="1">
      <c r="A5" s="79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101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9"/>
    </row>
    <row r="6" spans="1:15" ht="20.25" customHeight="1">
      <c r="A6" s="79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4" t="s">
        <v>29</v>
      </c>
      <c r="I6" s="64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9"/>
    </row>
    <row r="7" spans="1:26" ht="18.75" customHeight="1">
      <c r="A7" s="9" t="s">
        <v>3</v>
      </c>
      <c r="B7" s="10">
        <f>B8+B20+B24</f>
        <v>491651</v>
      </c>
      <c r="C7" s="10">
        <f>C8+C20+C24</f>
        <v>355499</v>
      </c>
      <c r="D7" s="10">
        <f>D8+D20+D24</f>
        <v>371829</v>
      </c>
      <c r="E7" s="10">
        <f>E8+E20+E24</f>
        <v>51021</v>
      </c>
      <c r="F7" s="10">
        <f aca="true" t="shared" si="0" ref="F7:N7">F8+F20+F24</f>
        <v>318949</v>
      </c>
      <c r="G7" s="10">
        <f t="shared" si="0"/>
        <v>488936</v>
      </c>
      <c r="H7" s="10">
        <f>H8+H20+H24</f>
        <v>339287</v>
      </c>
      <c r="I7" s="10">
        <f>I8+I20+I24</f>
        <v>100756</v>
      </c>
      <c r="J7" s="10">
        <f>J8+J20+J24</f>
        <v>406103</v>
      </c>
      <c r="K7" s="10">
        <f>K8+K20+K24</f>
        <v>296112</v>
      </c>
      <c r="L7" s="10">
        <f>L8+L20+L24</f>
        <v>365472</v>
      </c>
      <c r="M7" s="10">
        <f t="shared" si="0"/>
        <v>138462</v>
      </c>
      <c r="N7" s="10">
        <f t="shared" si="0"/>
        <v>90873</v>
      </c>
      <c r="O7" s="10">
        <f>+O8+O20+O24</f>
        <v>3814950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235983</v>
      </c>
      <c r="C8" s="12">
        <f>+C9+C12+C16</f>
        <v>180583</v>
      </c>
      <c r="D8" s="12">
        <f>+D9+D12+D16</f>
        <v>207512</v>
      </c>
      <c r="E8" s="12">
        <f>+E9+E12+E16</f>
        <v>25718</v>
      </c>
      <c r="F8" s="12">
        <f aca="true" t="shared" si="1" ref="F8:N8">+F9+F12+F16</f>
        <v>167288</v>
      </c>
      <c r="G8" s="12">
        <f t="shared" si="1"/>
        <v>255567</v>
      </c>
      <c r="H8" s="12">
        <f>+H9+H12+H16</f>
        <v>170441</v>
      </c>
      <c r="I8" s="12">
        <f>+I9+I12+I16</f>
        <v>51473</v>
      </c>
      <c r="J8" s="12">
        <f>+J9+J12+J16</f>
        <v>211908</v>
      </c>
      <c r="K8" s="12">
        <f>+K9+K12+K16</f>
        <v>153434</v>
      </c>
      <c r="L8" s="12">
        <f>+L9+L12+L16</f>
        <v>178043</v>
      </c>
      <c r="M8" s="12">
        <f t="shared" si="1"/>
        <v>74979</v>
      </c>
      <c r="N8" s="12">
        <f t="shared" si="1"/>
        <v>51713</v>
      </c>
      <c r="O8" s="12">
        <f>SUM(B8:N8)</f>
        <v>1964642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27423</v>
      </c>
      <c r="C9" s="14">
        <v>26067</v>
      </c>
      <c r="D9" s="14">
        <v>20457</v>
      </c>
      <c r="E9" s="14">
        <v>2551</v>
      </c>
      <c r="F9" s="14">
        <v>17416</v>
      </c>
      <c r="G9" s="14">
        <v>29563</v>
      </c>
      <c r="H9" s="14">
        <v>24938</v>
      </c>
      <c r="I9" s="14">
        <v>7349</v>
      </c>
      <c r="J9" s="14">
        <v>16395</v>
      </c>
      <c r="K9" s="14">
        <v>20998</v>
      </c>
      <c r="L9" s="14">
        <v>16977</v>
      </c>
      <c r="M9" s="14">
        <v>9824</v>
      </c>
      <c r="N9" s="14">
        <v>7001</v>
      </c>
      <c r="O9" s="12">
        <f aca="true" t="shared" si="2" ref="O9:O19">SUM(B9:N9)</f>
        <v>226959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27423</v>
      </c>
      <c r="C10" s="14">
        <f>+C9-C11</f>
        <v>26067</v>
      </c>
      <c r="D10" s="14">
        <f>+D9-D11</f>
        <v>20457</v>
      </c>
      <c r="E10" s="14">
        <f>+E9-E11</f>
        <v>2551</v>
      </c>
      <c r="F10" s="14">
        <f aca="true" t="shared" si="3" ref="F10:N10">+F9-F11</f>
        <v>17416</v>
      </c>
      <c r="G10" s="14">
        <f t="shared" si="3"/>
        <v>29563</v>
      </c>
      <c r="H10" s="14">
        <f>+H9-H11</f>
        <v>24938</v>
      </c>
      <c r="I10" s="14">
        <f>+I9-I11</f>
        <v>7349</v>
      </c>
      <c r="J10" s="14">
        <f>+J9-J11</f>
        <v>16395</v>
      </c>
      <c r="K10" s="14">
        <f>+K9-K11</f>
        <v>20998</v>
      </c>
      <c r="L10" s="14">
        <f>+L9-L11</f>
        <v>16977</v>
      </c>
      <c r="M10" s="14">
        <f t="shared" si="3"/>
        <v>9824</v>
      </c>
      <c r="N10" s="14">
        <f t="shared" si="3"/>
        <v>7001</v>
      </c>
      <c r="O10" s="12">
        <f t="shared" si="2"/>
        <v>226959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198343</v>
      </c>
      <c r="C12" s="14">
        <f>C13+C14+C15</f>
        <v>147446</v>
      </c>
      <c r="D12" s="14">
        <f>D13+D14+D15</f>
        <v>178888</v>
      </c>
      <c r="E12" s="14">
        <f>E13+E14+E15</f>
        <v>22183</v>
      </c>
      <c r="F12" s="14">
        <f aca="true" t="shared" si="4" ref="F12:N12">F13+F14+F15</f>
        <v>142906</v>
      </c>
      <c r="G12" s="14">
        <f t="shared" si="4"/>
        <v>214513</v>
      </c>
      <c r="H12" s="14">
        <f>H13+H14+H15</f>
        <v>138671</v>
      </c>
      <c r="I12" s="14">
        <f>I13+I14+I15</f>
        <v>41881</v>
      </c>
      <c r="J12" s="14">
        <f>J13+J14+J15</f>
        <v>185979</v>
      </c>
      <c r="K12" s="14">
        <f>K13+K14+K15</f>
        <v>126060</v>
      </c>
      <c r="L12" s="14">
        <f>L13+L14+L15</f>
        <v>152599</v>
      </c>
      <c r="M12" s="14">
        <f t="shared" si="4"/>
        <v>62196</v>
      </c>
      <c r="N12" s="14">
        <f t="shared" si="4"/>
        <v>42961</v>
      </c>
      <c r="O12" s="12">
        <f t="shared" si="2"/>
        <v>1654626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104559</v>
      </c>
      <c r="C13" s="14">
        <v>78176</v>
      </c>
      <c r="D13" s="14">
        <v>90582</v>
      </c>
      <c r="E13" s="14">
        <v>11779</v>
      </c>
      <c r="F13" s="14">
        <v>72734</v>
      </c>
      <c r="G13" s="14">
        <v>111090</v>
      </c>
      <c r="H13" s="14">
        <v>75293</v>
      </c>
      <c r="I13" s="14">
        <v>22831</v>
      </c>
      <c r="J13" s="14">
        <v>99620</v>
      </c>
      <c r="K13" s="14">
        <v>65367</v>
      </c>
      <c r="L13" s="14">
        <v>78791</v>
      </c>
      <c r="M13" s="14">
        <v>31580</v>
      </c>
      <c r="N13" s="14">
        <v>21048</v>
      </c>
      <c r="O13" s="12">
        <f t="shared" si="2"/>
        <v>863450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90949</v>
      </c>
      <c r="C14" s="14">
        <v>66238</v>
      </c>
      <c r="D14" s="14">
        <v>86574</v>
      </c>
      <c r="E14" s="14">
        <v>10068</v>
      </c>
      <c r="F14" s="14">
        <v>67921</v>
      </c>
      <c r="G14" s="14">
        <v>99007</v>
      </c>
      <c r="H14" s="14">
        <v>61135</v>
      </c>
      <c r="I14" s="14">
        <v>18336</v>
      </c>
      <c r="J14" s="14">
        <v>84666</v>
      </c>
      <c r="K14" s="14">
        <v>58689</v>
      </c>
      <c r="L14" s="14">
        <v>72000</v>
      </c>
      <c r="M14" s="14">
        <v>29620</v>
      </c>
      <c r="N14" s="14">
        <v>21291</v>
      </c>
      <c r="O14" s="12">
        <f t="shared" si="2"/>
        <v>766494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2835</v>
      </c>
      <c r="C15" s="14">
        <v>3032</v>
      </c>
      <c r="D15" s="14">
        <v>1732</v>
      </c>
      <c r="E15" s="14">
        <v>336</v>
      </c>
      <c r="F15" s="14">
        <v>2251</v>
      </c>
      <c r="G15" s="14">
        <v>4416</v>
      </c>
      <c r="H15" s="14">
        <v>2243</v>
      </c>
      <c r="I15" s="14">
        <v>714</v>
      </c>
      <c r="J15" s="14">
        <v>1693</v>
      </c>
      <c r="K15" s="14">
        <v>2004</v>
      </c>
      <c r="L15" s="14">
        <v>1808</v>
      </c>
      <c r="M15" s="14">
        <v>996</v>
      </c>
      <c r="N15" s="14">
        <v>622</v>
      </c>
      <c r="O15" s="12">
        <f t="shared" si="2"/>
        <v>24682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10217</v>
      </c>
      <c r="C16" s="14">
        <f>C17+C18+C19</f>
        <v>7070</v>
      </c>
      <c r="D16" s="14">
        <f>D17+D18+D19</f>
        <v>8167</v>
      </c>
      <c r="E16" s="14">
        <f>E17+E18+E19</f>
        <v>984</v>
      </c>
      <c r="F16" s="14">
        <f aca="true" t="shared" si="5" ref="F16:N16">F17+F18+F19</f>
        <v>6966</v>
      </c>
      <c r="G16" s="14">
        <f t="shared" si="5"/>
        <v>11491</v>
      </c>
      <c r="H16" s="14">
        <f>H17+H18+H19</f>
        <v>6832</v>
      </c>
      <c r="I16" s="14">
        <f>I17+I18+I19</f>
        <v>2243</v>
      </c>
      <c r="J16" s="14">
        <f>J17+J18+J19</f>
        <v>9534</v>
      </c>
      <c r="K16" s="14">
        <f>K17+K18+K19</f>
        <v>6376</v>
      </c>
      <c r="L16" s="14">
        <f>L17+L18+L19</f>
        <v>8467</v>
      </c>
      <c r="M16" s="14">
        <f t="shared" si="5"/>
        <v>2959</v>
      </c>
      <c r="N16" s="14">
        <f t="shared" si="5"/>
        <v>1751</v>
      </c>
      <c r="O16" s="12">
        <f t="shared" si="2"/>
        <v>83057</v>
      </c>
    </row>
    <row r="17" spans="1:26" ht="18.75" customHeight="1">
      <c r="A17" s="15" t="s">
        <v>16</v>
      </c>
      <c r="B17" s="14">
        <v>10146</v>
      </c>
      <c r="C17" s="14">
        <v>7025</v>
      </c>
      <c r="D17" s="14">
        <v>8128</v>
      </c>
      <c r="E17" s="14">
        <v>975</v>
      </c>
      <c r="F17" s="14">
        <v>6921</v>
      </c>
      <c r="G17" s="14">
        <v>11445</v>
      </c>
      <c r="H17" s="14">
        <v>6792</v>
      </c>
      <c r="I17" s="14">
        <v>2230</v>
      </c>
      <c r="J17" s="14">
        <v>9481</v>
      </c>
      <c r="K17" s="14">
        <v>6330</v>
      </c>
      <c r="L17" s="14">
        <v>8413</v>
      </c>
      <c r="M17" s="14">
        <v>2939</v>
      </c>
      <c r="N17" s="14">
        <v>1735</v>
      </c>
      <c r="O17" s="12">
        <f t="shared" si="2"/>
        <v>82560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65</v>
      </c>
      <c r="C18" s="14">
        <v>43</v>
      </c>
      <c r="D18" s="14">
        <v>34</v>
      </c>
      <c r="E18" s="14">
        <v>6</v>
      </c>
      <c r="F18" s="14">
        <v>37</v>
      </c>
      <c r="G18" s="14">
        <v>41</v>
      </c>
      <c r="H18" s="14">
        <v>32</v>
      </c>
      <c r="I18" s="14">
        <v>9</v>
      </c>
      <c r="J18" s="14">
        <v>39</v>
      </c>
      <c r="K18" s="14">
        <v>41</v>
      </c>
      <c r="L18" s="14">
        <v>51</v>
      </c>
      <c r="M18" s="14">
        <v>20</v>
      </c>
      <c r="N18" s="14">
        <v>15</v>
      </c>
      <c r="O18" s="12">
        <f t="shared" si="2"/>
        <v>433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2</v>
      </c>
      <c r="D19" s="14">
        <v>5</v>
      </c>
      <c r="E19" s="14">
        <v>3</v>
      </c>
      <c r="F19" s="14">
        <v>8</v>
      </c>
      <c r="G19" s="14">
        <v>5</v>
      </c>
      <c r="H19" s="14">
        <v>8</v>
      </c>
      <c r="I19" s="14">
        <v>4</v>
      </c>
      <c r="J19" s="14">
        <v>14</v>
      </c>
      <c r="K19" s="14">
        <v>5</v>
      </c>
      <c r="L19" s="14">
        <v>3</v>
      </c>
      <c r="M19" s="14">
        <v>0</v>
      </c>
      <c r="N19" s="14">
        <v>1</v>
      </c>
      <c r="O19" s="12">
        <f t="shared" si="2"/>
        <v>64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144553</v>
      </c>
      <c r="C20" s="18">
        <f>C21+C22+C23</f>
        <v>88017</v>
      </c>
      <c r="D20" s="18">
        <f>D21+D22+D23</f>
        <v>80256</v>
      </c>
      <c r="E20" s="18">
        <f>E21+E22+E23</f>
        <v>11100</v>
      </c>
      <c r="F20" s="18">
        <f aca="true" t="shared" si="6" ref="F20:N20">F21+F22+F23</f>
        <v>72358</v>
      </c>
      <c r="G20" s="18">
        <f t="shared" si="6"/>
        <v>112249</v>
      </c>
      <c r="H20" s="18">
        <f>H21+H22+H23</f>
        <v>90620</v>
      </c>
      <c r="I20" s="18">
        <f>I21+I22+I23</f>
        <v>26044</v>
      </c>
      <c r="J20" s="18">
        <f>J21+J22+J23</f>
        <v>112722</v>
      </c>
      <c r="K20" s="18">
        <f>K21+K22+K23</f>
        <v>76163</v>
      </c>
      <c r="L20" s="18">
        <f>L21+L22+L23</f>
        <v>116707</v>
      </c>
      <c r="M20" s="18">
        <f t="shared" si="6"/>
        <v>40913</v>
      </c>
      <c r="N20" s="18">
        <f t="shared" si="6"/>
        <v>25227</v>
      </c>
      <c r="O20" s="12">
        <f aca="true" t="shared" si="7" ref="O20:O26">SUM(B20:N20)</f>
        <v>996929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82811</v>
      </c>
      <c r="C21" s="14">
        <v>53252</v>
      </c>
      <c r="D21" s="14">
        <v>48614</v>
      </c>
      <c r="E21" s="14">
        <v>6952</v>
      </c>
      <c r="F21" s="14">
        <v>43228</v>
      </c>
      <c r="G21" s="14">
        <v>67251</v>
      </c>
      <c r="H21" s="14">
        <v>55150</v>
      </c>
      <c r="I21" s="14">
        <v>15998</v>
      </c>
      <c r="J21" s="14">
        <v>67464</v>
      </c>
      <c r="K21" s="14">
        <v>44296</v>
      </c>
      <c r="L21" s="14">
        <v>65847</v>
      </c>
      <c r="M21" s="14">
        <v>23268</v>
      </c>
      <c r="N21" s="14">
        <v>13841</v>
      </c>
      <c r="O21" s="12">
        <f t="shared" si="7"/>
        <v>587972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60136</v>
      </c>
      <c r="C22" s="14">
        <v>33541</v>
      </c>
      <c r="D22" s="14">
        <v>30984</v>
      </c>
      <c r="E22" s="14">
        <v>4020</v>
      </c>
      <c r="F22" s="14">
        <v>28281</v>
      </c>
      <c r="G22" s="14">
        <v>43350</v>
      </c>
      <c r="H22" s="14">
        <v>34567</v>
      </c>
      <c r="I22" s="14">
        <v>9741</v>
      </c>
      <c r="J22" s="14">
        <v>44413</v>
      </c>
      <c r="K22" s="14">
        <v>31002</v>
      </c>
      <c r="L22" s="14">
        <v>49801</v>
      </c>
      <c r="M22" s="14">
        <v>17201</v>
      </c>
      <c r="N22" s="14">
        <v>11130</v>
      </c>
      <c r="O22" s="12">
        <f t="shared" si="7"/>
        <v>398167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1606</v>
      </c>
      <c r="C23" s="14">
        <v>1224</v>
      </c>
      <c r="D23" s="14">
        <v>658</v>
      </c>
      <c r="E23" s="14">
        <v>128</v>
      </c>
      <c r="F23" s="14">
        <v>849</v>
      </c>
      <c r="G23" s="14">
        <v>1648</v>
      </c>
      <c r="H23" s="14">
        <v>903</v>
      </c>
      <c r="I23" s="14">
        <v>305</v>
      </c>
      <c r="J23" s="14">
        <v>845</v>
      </c>
      <c r="K23" s="14">
        <v>865</v>
      </c>
      <c r="L23" s="14">
        <v>1059</v>
      </c>
      <c r="M23" s="14">
        <v>444</v>
      </c>
      <c r="N23" s="14">
        <v>256</v>
      </c>
      <c r="O23" s="12">
        <f t="shared" si="7"/>
        <v>10790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111115</v>
      </c>
      <c r="C24" s="14">
        <f>C25+C26</f>
        <v>86899</v>
      </c>
      <c r="D24" s="14">
        <f>D25+D26</f>
        <v>84061</v>
      </c>
      <c r="E24" s="14">
        <f>E25+E26</f>
        <v>14203</v>
      </c>
      <c r="F24" s="14">
        <f aca="true" t="shared" si="8" ref="F24:N24">F25+F26</f>
        <v>79303</v>
      </c>
      <c r="G24" s="14">
        <f t="shared" si="8"/>
        <v>121120</v>
      </c>
      <c r="H24" s="14">
        <f>H25+H26</f>
        <v>78226</v>
      </c>
      <c r="I24" s="14">
        <f>I25+I26</f>
        <v>23239</v>
      </c>
      <c r="J24" s="14">
        <f>J25+J26</f>
        <v>81473</v>
      </c>
      <c r="K24" s="14">
        <f>K25+K26</f>
        <v>66515</v>
      </c>
      <c r="L24" s="14">
        <f>L25+L26</f>
        <v>70722</v>
      </c>
      <c r="M24" s="14">
        <f t="shared" si="8"/>
        <v>22570</v>
      </c>
      <c r="N24" s="14">
        <f t="shared" si="8"/>
        <v>13933</v>
      </c>
      <c r="O24" s="12">
        <f t="shared" si="7"/>
        <v>853379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71856</v>
      </c>
      <c r="C25" s="14">
        <v>61570</v>
      </c>
      <c r="D25" s="14">
        <v>57841</v>
      </c>
      <c r="E25" s="14">
        <v>10467</v>
      </c>
      <c r="F25" s="14">
        <v>56760</v>
      </c>
      <c r="G25" s="14">
        <v>87631</v>
      </c>
      <c r="H25" s="14">
        <v>57365</v>
      </c>
      <c r="I25" s="14">
        <v>17727</v>
      </c>
      <c r="J25" s="14">
        <v>53888</v>
      </c>
      <c r="K25" s="14">
        <v>46997</v>
      </c>
      <c r="L25" s="14">
        <v>46958</v>
      </c>
      <c r="M25" s="14">
        <v>14770</v>
      </c>
      <c r="N25" s="14">
        <v>8364</v>
      </c>
      <c r="O25" s="12">
        <f t="shared" si="7"/>
        <v>592194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39259</v>
      </c>
      <c r="C26" s="14">
        <v>25329</v>
      </c>
      <c r="D26" s="14">
        <v>26220</v>
      </c>
      <c r="E26" s="14">
        <v>3736</v>
      </c>
      <c r="F26" s="14">
        <v>22543</v>
      </c>
      <c r="G26" s="14">
        <v>33489</v>
      </c>
      <c r="H26" s="14">
        <v>20861</v>
      </c>
      <c r="I26" s="14">
        <v>5512</v>
      </c>
      <c r="J26" s="14">
        <v>27585</v>
      </c>
      <c r="K26" s="14">
        <v>19518</v>
      </c>
      <c r="L26" s="14">
        <v>23764</v>
      </c>
      <c r="M26" s="14">
        <v>7800</v>
      </c>
      <c r="N26" s="14">
        <v>5569</v>
      </c>
      <c r="O26" s="12">
        <f t="shared" si="7"/>
        <v>261185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2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3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1031880.1421144601</v>
      </c>
      <c r="C36" s="58">
        <f aca="true" t="shared" si="11" ref="C36:N36">C37+C38+C39+C40</f>
        <v>721725.9306195</v>
      </c>
      <c r="D36" s="58">
        <f t="shared" si="11"/>
        <v>704935.5554414501</v>
      </c>
      <c r="E36" s="58">
        <f t="shared" si="11"/>
        <v>132684.4646864</v>
      </c>
      <c r="F36" s="58">
        <f t="shared" si="11"/>
        <v>695856.99190545</v>
      </c>
      <c r="G36" s="58">
        <f t="shared" si="11"/>
        <v>850070.4928</v>
      </c>
      <c r="H36" s="58">
        <f t="shared" si="11"/>
        <v>693993.4395</v>
      </c>
      <c r="I36" s="58">
        <f>I37+I38+I39+I40</f>
        <v>200655.52015119998</v>
      </c>
      <c r="J36" s="58">
        <f>J37+J38+J39+J40</f>
        <v>807338.0129154</v>
      </c>
      <c r="K36" s="58">
        <f>K37+K38+K39+K40</f>
        <v>662737.8058415999</v>
      </c>
      <c r="L36" s="58">
        <f>L37+L38+L39+L40</f>
        <v>781990.98668672</v>
      </c>
      <c r="M36" s="58">
        <f t="shared" si="11"/>
        <v>352343.84506066</v>
      </c>
      <c r="N36" s="58">
        <f t="shared" si="11"/>
        <v>224964.39378288</v>
      </c>
      <c r="O36" s="58">
        <f>O37+O38+O39+O40</f>
        <v>7861177.58150572</v>
      </c>
    </row>
    <row r="37" spans="1:15" ht="18.75" customHeight="1">
      <c r="A37" s="55" t="s">
        <v>50</v>
      </c>
      <c r="B37" s="52">
        <f aca="true" t="shared" si="12" ref="B37:N37">B29*B7</f>
        <v>1027009.7739000001</v>
      </c>
      <c r="C37" s="52">
        <f t="shared" si="12"/>
        <v>717396.982</v>
      </c>
      <c r="D37" s="52">
        <f t="shared" si="12"/>
        <v>694650.9378000001</v>
      </c>
      <c r="E37" s="52">
        <f t="shared" si="12"/>
        <v>132358.6782</v>
      </c>
      <c r="F37" s="52">
        <f t="shared" si="12"/>
        <v>695723.4537</v>
      </c>
      <c r="G37" s="52">
        <f t="shared" si="12"/>
        <v>845810.3864</v>
      </c>
      <c r="H37" s="52">
        <f t="shared" si="12"/>
        <v>690143.6867</v>
      </c>
      <c r="I37" s="52">
        <f>I29*I7</f>
        <v>200564.89359999998</v>
      </c>
      <c r="J37" s="52">
        <f>J29*J7</f>
        <v>802459.528</v>
      </c>
      <c r="K37" s="52">
        <f>K29*K7</f>
        <v>658997.2559999999</v>
      </c>
      <c r="L37" s="52">
        <f>L29*L7</f>
        <v>777614.7744</v>
      </c>
      <c r="M37" s="52">
        <f t="shared" si="12"/>
        <v>349755.012</v>
      </c>
      <c r="N37" s="52">
        <f t="shared" si="12"/>
        <v>224910.67500000002</v>
      </c>
      <c r="O37" s="54">
        <f>SUM(B37:N37)</f>
        <v>7817396.0377</v>
      </c>
    </row>
    <row r="38" spans="1:15" ht="18.75" customHeight="1">
      <c r="A38" s="55" t="s">
        <v>51</v>
      </c>
      <c r="B38" s="52">
        <f aca="true" t="shared" si="13" ref="B38:N38">B30*B7</f>
        <v>-3045.55178554</v>
      </c>
      <c r="C38" s="52">
        <f t="shared" si="13"/>
        <v>-2086.6013805</v>
      </c>
      <c r="D38" s="52">
        <f t="shared" si="13"/>
        <v>-2063.63235855</v>
      </c>
      <c r="E38" s="52">
        <f t="shared" si="13"/>
        <v>-320.4935136</v>
      </c>
      <c r="F38" s="52">
        <f t="shared" si="13"/>
        <v>-2027.86179455</v>
      </c>
      <c r="G38" s="52">
        <f t="shared" si="13"/>
        <v>-2493.5736</v>
      </c>
      <c r="H38" s="52">
        <f t="shared" si="13"/>
        <v>-1900.0072</v>
      </c>
      <c r="I38" s="52">
        <f>I30*I7</f>
        <v>-564.2134488</v>
      </c>
      <c r="J38" s="52">
        <f>J30*J7</f>
        <v>-2309.9950846</v>
      </c>
      <c r="K38" s="52">
        <f>K30*K7</f>
        <v>-1884.9601584</v>
      </c>
      <c r="L38" s="52">
        <f>L30*L7</f>
        <v>-2284.28771328</v>
      </c>
      <c r="M38" s="52">
        <f t="shared" si="13"/>
        <v>-1020.2669393399999</v>
      </c>
      <c r="N38" s="52">
        <f t="shared" si="13"/>
        <v>-665.32121712</v>
      </c>
      <c r="O38" s="25">
        <f>SUM(B38:N38)</f>
        <v>-22666.766194279997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4658.84</v>
      </c>
      <c r="C40" s="52">
        <v>4023.03</v>
      </c>
      <c r="D40" s="52">
        <v>10186.85</v>
      </c>
      <c r="E40" s="52">
        <v>0</v>
      </c>
      <c r="F40" s="52">
        <v>0</v>
      </c>
      <c r="G40" s="52">
        <v>4091.52</v>
      </c>
      <c r="H40" s="52">
        <v>3507.04</v>
      </c>
      <c r="I40" s="52">
        <v>0</v>
      </c>
      <c r="J40" s="52">
        <v>4641.88</v>
      </c>
      <c r="K40" s="52">
        <v>3506.91</v>
      </c>
      <c r="L40" s="52">
        <v>4058.26</v>
      </c>
      <c r="M40" s="52">
        <v>2337.94</v>
      </c>
      <c r="N40" s="52">
        <v>0</v>
      </c>
      <c r="O40" s="54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</f>
        <v>-791109.23</v>
      </c>
      <c r="C42" s="25">
        <f>+C43+C46+C58+C59-C60</f>
        <v>-494410.70999999996</v>
      </c>
      <c r="D42" s="25">
        <f aca="true" t="shared" si="15" ref="D42:N42">+D43+D46+D58+D59</f>
        <v>-661751.8799999999</v>
      </c>
      <c r="E42" s="25">
        <f t="shared" si="15"/>
        <v>-99463.49</v>
      </c>
      <c r="F42" s="25">
        <f t="shared" si="15"/>
        <v>-586780.39</v>
      </c>
      <c r="G42" s="25">
        <f t="shared" si="15"/>
        <v>-673628.0600000002</v>
      </c>
      <c r="H42" s="25">
        <f t="shared" si="15"/>
        <v>-657674.3200000001</v>
      </c>
      <c r="I42" s="25">
        <f>+I43+I46+I58+I59</f>
        <v>-176400.35</v>
      </c>
      <c r="J42" s="25">
        <f>+J43+J46+J58+J59</f>
        <v>-590730.48</v>
      </c>
      <c r="K42" s="25">
        <f>+K43+K46+K58+K59</f>
        <v>-516967.13</v>
      </c>
      <c r="L42" s="25">
        <f>+L43+L46+L58+L59</f>
        <v>-546440.76</v>
      </c>
      <c r="M42" s="25">
        <f t="shared" si="15"/>
        <v>-308999.31</v>
      </c>
      <c r="N42" s="25">
        <f t="shared" si="15"/>
        <v>-134925.88999999998</v>
      </c>
      <c r="O42" s="25">
        <f>+O43+O46+O58+O59</f>
        <v>-6245051.07</v>
      </c>
    </row>
    <row r="43" spans="1:15" ht="18.75" customHeight="1">
      <c r="A43" s="17" t="s">
        <v>55</v>
      </c>
      <c r="B43" s="26">
        <f>B44+B45</f>
        <v>-104207.4</v>
      </c>
      <c r="C43" s="26">
        <f>C44+C45</f>
        <v>-99054.6</v>
      </c>
      <c r="D43" s="26">
        <f>D44+D45</f>
        <v>-77736.6</v>
      </c>
      <c r="E43" s="26">
        <f>E44+E45</f>
        <v>-9693.8</v>
      </c>
      <c r="F43" s="26">
        <f aca="true" t="shared" si="16" ref="F43:N43">F44+F45</f>
        <v>-66180.8</v>
      </c>
      <c r="G43" s="26">
        <f t="shared" si="16"/>
        <v>-112339.4</v>
      </c>
      <c r="H43" s="26">
        <f t="shared" si="16"/>
        <v>-94764.4</v>
      </c>
      <c r="I43" s="26">
        <f>I44+I45</f>
        <v>-27926.2</v>
      </c>
      <c r="J43" s="26">
        <f>J44+J45</f>
        <v>-62301</v>
      </c>
      <c r="K43" s="26">
        <f>K44+K45</f>
        <v>-79792.4</v>
      </c>
      <c r="L43" s="26">
        <f>L44+L45</f>
        <v>-64512.6</v>
      </c>
      <c r="M43" s="26">
        <f t="shared" si="16"/>
        <v>-37331.2</v>
      </c>
      <c r="N43" s="26">
        <f t="shared" si="16"/>
        <v>-26603.8</v>
      </c>
      <c r="O43" s="25">
        <f aca="true" t="shared" si="17" ref="O43:O59">SUM(B43:N43)</f>
        <v>-862444.2</v>
      </c>
    </row>
    <row r="44" spans="1:26" ht="18.75" customHeight="1">
      <c r="A44" s="13" t="s">
        <v>56</v>
      </c>
      <c r="B44" s="20">
        <f>ROUND(-B9*$D$3,2)</f>
        <v>-104207.4</v>
      </c>
      <c r="C44" s="20">
        <f>ROUND(-C9*$D$3,2)</f>
        <v>-99054.6</v>
      </c>
      <c r="D44" s="20">
        <f>ROUND(-D9*$D$3,2)</f>
        <v>-77736.6</v>
      </c>
      <c r="E44" s="20">
        <f>ROUND(-E9*$D$3,2)</f>
        <v>-9693.8</v>
      </c>
      <c r="F44" s="20">
        <f aca="true" t="shared" si="18" ref="F44:N44">ROUND(-F9*$D$3,2)</f>
        <v>-66180.8</v>
      </c>
      <c r="G44" s="20">
        <f t="shared" si="18"/>
        <v>-112339.4</v>
      </c>
      <c r="H44" s="20">
        <f t="shared" si="18"/>
        <v>-94764.4</v>
      </c>
      <c r="I44" s="20">
        <f>ROUND(-I9*$D$3,2)</f>
        <v>-27926.2</v>
      </c>
      <c r="J44" s="20">
        <f>ROUND(-J9*$D$3,2)</f>
        <v>-62301</v>
      </c>
      <c r="K44" s="20">
        <f>ROUND(-K9*$D$3,2)</f>
        <v>-79792.4</v>
      </c>
      <c r="L44" s="20">
        <f>ROUND(-L9*$D$3,2)</f>
        <v>-64512.6</v>
      </c>
      <c r="M44" s="20">
        <f t="shared" si="18"/>
        <v>-37331.2</v>
      </c>
      <c r="N44" s="20">
        <f t="shared" si="18"/>
        <v>-26603.8</v>
      </c>
      <c r="O44" s="44">
        <f t="shared" si="17"/>
        <v>-862444.2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4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-762889.58</v>
      </c>
      <c r="C46" s="26">
        <f aca="true" t="shared" si="20" ref="C46:O46">SUM(C47:C57)</f>
        <v>-504183.23</v>
      </c>
      <c r="D46" s="26">
        <f t="shared" si="20"/>
        <v>-597035.57</v>
      </c>
      <c r="E46" s="26">
        <f t="shared" si="20"/>
        <v>-111380.33</v>
      </c>
      <c r="F46" s="26">
        <f t="shared" si="20"/>
        <v>-574444.12</v>
      </c>
      <c r="G46" s="26">
        <f t="shared" si="20"/>
        <v>-642317.6500000001</v>
      </c>
      <c r="H46" s="26">
        <f t="shared" si="20"/>
        <v>-559750.6100000001</v>
      </c>
      <c r="I46" s="26">
        <f t="shared" si="20"/>
        <v>-148474.15</v>
      </c>
      <c r="J46" s="26">
        <f t="shared" si="20"/>
        <v>-498334.38</v>
      </c>
      <c r="K46" s="26">
        <f t="shared" si="20"/>
        <v>-466019.86</v>
      </c>
      <c r="L46" s="26">
        <f t="shared" si="20"/>
        <v>-463713.98</v>
      </c>
      <c r="M46" s="26">
        <f t="shared" si="20"/>
        <v>-286679.88</v>
      </c>
      <c r="N46" s="26">
        <f t="shared" si="20"/>
        <v>-132041.99</v>
      </c>
      <c r="O46" s="26">
        <f t="shared" si="20"/>
        <v>-5747265.33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104</v>
      </c>
      <c r="B54" s="24">
        <v>-707630.18</v>
      </c>
      <c r="C54" s="24">
        <v>-499117.37</v>
      </c>
      <c r="D54" s="24">
        <v>-489698.67</v>
      </c>
      <c r="E54" s="24">
        <v>-91615.67</v>
      </c>
      <c r="F54" s="24">
        <v>-490534.33</v>
      </c>
      <c r="G54" s="24">
        <v>-596899.93</v>
      </c>
      <c r="H54" s="24">
        <v>-490279.59</v>
      </c>
      <c r="I54" s="24">
        <v>-134319.35</v>
      </c>
      <c r="J54" s="24">
        <v>-562804</v>
      </c>
      <c r="K54" s="24">
        <v>-457041.05</v>
      </c>
      <c r="L54" s="24">
        <v>-542583.74</v>
      </c>
      <c r="M54" s="24">
        <v>-249734.91</v>
      </c>
      <c r="N54" s="24">
        <v>-147547.49</v>
      </c>
      <c r="O54" s="24">
        <f t="shared" si="17"/>
        <v>-5459806.28</v>
      </c>
      <c r="P54"/>
      <c r="Q54" s="68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113</v>
      </c>
      <c r="B55" s="24">
        <v>11760.31</v>
      </c>
      <c r="C55" s="24">
        <v>57409.03</v>
      </c>
      <c r="D55" s="24">
        <v>131.09</v>
      </c>
      <c r="E55" s="24">
        <v>0</v>
      </c>
      <c r="F55" s="24">
        <v>0</v>
      </c>
      <c r="G55" s="24">
        <v>0</v>
      </c>
      <c r="H55" s="24">
        <v>236.21</v>
      </c>
      <c r="I55" s="24">
        <v>61.39</v>
      </c>
      <c r="J55" s="24">
        <v>92081.45</v>
      </c>
      <c r="K55" s="24">
        <v>14288.5</v>
      </c>
      <c r="L55" s="24">
        <v>105804.44</v>
      </c>
      <c r="M55" s="24">
        <v>7.86</v>
      </c>
      <c r="N55" s="24">
        <v>23156.31</v>
      </c>
      <c r="O55" s="24">
        <f t="shared" si="17"/>
        <v>304936.58999999997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114</v>
      </c>
      <c r="B56" s="24">
        <v>-29956.6</v>
      </c>
      <c r="C56" s="24">
        <v>-35364.32</v>
      </c>
      <c r="D56" s="24">
        <v>-82429.71</v>
      </c>
      <c r="E56" s="24">
        <v>-14528.13</v>
      </c>
      <c r="F56" s="24">
        <v>-57820.02</v>
      </c>
      <c r="G56" s="24">
        <v>-13073.54</v>
      </c>
      <c r="H56" s="24">
        <v>-44562.55</v>
      </c>
      <c r="I56" s="24">
        <v>-2894.65</v>
      </c>
      <c r="J56" s="24">
        <v>0</v>
      </c>
      <c r="K56" s="24">
        <v>0</v>
      </c>
      <c r="L56" s="24">
        <v>0</v>
      </c>
      <c r="M56" s="24">
        <v>-24212.2</v>
      </c>
      <c r="N56" s="24">
        <v>-94.87</v>
      </c>
      <c r="O56" s="24">
        <f t="shared" si="17"/>
        <v>-304936.59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105</v>
      </c>
      <c r="B57" s="24">
        <v>-37063.11</v>
      </c>
      <c r="C57" s="24">
        <v>-27110.57</v>
      </c>
      <c r="D57" s="24">
        <v>-24538.28</v>
      </c>
      <c r="E57" s="24">
        <v>-5236.53</v>
      </c>
      <c r="F57" s="24">
        <v>-25589.77</v>
      </c>
      <c r="G57" s="24">
        <v>-31844.18</v>
      </c>
      <c r="H57" s="24">
        <v>-24644.68</v>
      </c>
      <c r="I57" s="24">
        <v>-6821.54</v>
      </c>
      <c r="J57" s="24">
        <v>-27611.83</v>
      </c>
      <c r="K57" s="24">
        <v>-23267.31</v>
      </c>
      <c r="L57" s="24">
        <v>-26934.68</v>
      </c>
      <c r="M57" s="24">
        <v>-12740.63</v>
      </c>
      <c r="N57" s="24">
        <v>-7555.94</v>
      </c>
      <c r="O57" s="24">
        <f t="shared" si="17"/>
        <v>-280959.05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106</v>
      </c>
      <c r="B58" s="27">
        <v>75987.75</v>
      </c>
      <c r="C58" s="27">
        <v>103058.05</v>
      </c>
      <c r="D58" s="27">
        <v>13020.29</v>
      </c>
      <c r="E58" s="27">
        <v>21610.64</v>
      </c>
      <c r="F58" s="27">
        <v>53844.53</v>
      </c>
      <c r="G58" s="27">
        <v>81028.99</v>
      </c>
      <c r="H58" s="27">
        <f>-2496.69-885274.46+884611.82+0.02</f>
        <v>-3159.309999999958</v>
      </c>
      <c r="I58" s="27">
        <f>-0.02+0.02</f>
        <v>0</v>
      </c>
      <c r="J58" s="27">
        <v>-30095.1</v>
      </c>
      <c r="K58" s="27">
        <v>28845.13</v>
      </c>
      <c r="L58" s="27">
        <v>-18214.18</v>
      </c>
      <c r="M58" s="27">
        <v>15011.77</v>
      </c>
      <c r="N58" s="27">
        <v>23719.9</v>
      </c>
      <c r="O58" s="24">
        <f t="shared" si="17"/>
        <v>364658.46000000014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9.5" customHeight="1">
      <c r="A60" s="17" t="s">
        <v>103</v>
      </c>
      <c r="B60" s="61"/>
      <c r="C60" s="69">
        <v>-5769.07</v>
      </c>
      <c r="D60" s="61"/>
      <c r="E60" s="61"/>
      <c r="F60" s="61"/>
      <c r="G60" s="61"/>
      <c r="H60" s="73"/>
      <c r="I60" s="61"/>
      <c r="J60" s="61"/>
      <c r="K60" s="61"/>
      <c r="L60" s="61"/>
      <c r="M60" s="61"/>
      <c r="N60" s="61"/>
      <c r="O60" s="20"/>
    </row>
    <row r="61" spans="1:26" ht="15.75">
      <c r="A61" s="2" t="s">
        <v>67</v>
      </c>
      <c r="B61" s="29">
        <f aca="true" t="shared" si="21" ref="B61:N61">+B36+B42</f>
        <v>240770.91211446014</v>
      </c>
      <c r="C61" s="29">
        <f t="shared" si="21"/>
        <v>227315.22061950003</v>
      </c>
      <c r="D61" s="29">
        <f t="shared" si="21"/>
        <v>43183.67544145021</v>
      </c>
      <c r="E61" s="29">
        <f t="shared" si="21"/>
        <v>33220.97468639999</v>
      </c>
      <c r="F61" s="29">
        <f t="shared" si="21"/>
        <v>109076.60190544999</v>
      </c>
      <c r="G61" s="29">
        <f t="shared" si="21"/>
        <v>176442.43279999983</v>
      </c>
      <c r="H61" s="29">
        <f t="shared" si="21"/>
        <v>36319.11949999991</v>
      </c>
      <c r="I61" s="29">
        <f t="shared" si="21"/>
        <v>24255.17015119997</v>
      </c>
      <c r="J61" s="29">
        <f>+J36+J42</f>
        <v>216607.5329154</v>
      </c>
      <c r="K61" s="29">
        <f>+K36+K42</f>
        <v>145770.67584159994</v>
      </c>
      <c r="L61" s="29">
        <f>+L36+L42</f>
        <v>235550.22668672004</v>
      </c>
      <c r="M61" s="29">
        <f t="shared" si="21"/>
        <v>43344.53506065998</v>
      </c>
      <c r="N61" s="29">
        <f t="shared" si="21"/>
        <v>90038.50378288003</v>
      </c>
      <c r="O61" s="29">
        <f>SUM(B61:N61)</f>
        <v>1621895.58150572</v>
      </c>
      <c r="P61"/>
      <c r="Q61" s="72"/>
      <c r="R61"/>
      <c r="S61"/>
      <c r="T61"/>
      <c r="U61"/>
      <c r="V61"/>
      <c r="W61"/>
      <c r="X61"/>
      <c r="Y61"/>
      <c r="Z61"/>
    </row>
    <row r="62" spans="1:15" ht="15" customHeight="1">
      <c r="A62" s="33"/>
      <c r="B62" s="45"/>
      <c r="C62" s="45"/>
      <c r="D62" s="45"/>
      <c r="E62" s="45"/>
      <c r="F62" s="45"/>
      <c r="G62" s="45"/>
      <c r="H62" s="71"/>
      <c r="I62" s="45"/>
      <c r="J62" s="45"/>
      <c r="K62" s="45"/>
      <c r="L62" s="45"/>
      <c r="M62" s="45"/>
      <c r="N62" s="45"/>
      <c r="O62" s="46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7" ht="18.75" customHeight="1">
      <c r="A64" s="2" t="s">
        <v>68</v>
      </c>
      <c r="B64" s="35">
        <f>SUM(B65:B78)</f>
        <v>240770.92</v>
      </c>
      <c r="C64" s="35">
        <f aca="true" t="shared" si="22" ref="C64:N64">SUM(C65:C78)</f>
        <v>227315.21999999997</v>
      </c>
      <c r="D64" s="35">
        <f t="shared" si="22"/>
        <v>43183.68</v>
      </c>
      <c r="E64" s="35">
        <f t="shared" si="22"/>
        <v>33220.979999999996</v>
      </c>
      <c r="F64" s="35">
        <f t="shared" si="22"/>
        <v>109076.6</v>
      </c>
      <c r="G64" s="35">
        <f t="shared" si="22"/>
        <v>176442.44</v>
      </c>
      <c r="H64" s="35">
        <f t="shared" si="22"/>
        <v>36319.11</v>
      </c>
      <c r="I64" s="35">
        <f t="shared" si="22"/>
        <v>24255.17</v>
      </c>
      <c r="J64" s="35">
        <f t="shared" si="22"/>
        <v>216607.53</v>
      </c>
      <c r="K64" s="35">
        <f t="shared" si="22"/>
        <v>145770.68</v>
      </c>
      <c r="L64" s="35">
        <f t="shared" si="22"/>
        <v>235550.22</v>
      </c>
      <c r="M64" s="35">
        <f t="shared" si="22"/>
        <v>43344.53</v>
      </c>
      <c r="N64" s="35">
        <f t="shared" si="22"/>
        <v>90038.51000000001</v>
      </c>
      <c r="O64" s="29">
        <f>SUM(O65:O78)</f>
        <v>1621895.59</v>
      </c>
      <c r="Q64" s="70"/>
    </row>
    <row r="65" spans="1:16" ht="18.75" customHeight="1">
      <c r="A65" s="17" t="s">
        <v>69</v>
      </c>
      <c r="B65" s="35">
        <f>6223.95+1151.8+2073.21</f>
        <v>9448.96</v>
      </c>
      <c r="C65" s="35">
        <f>1169.01+20917.38</f>
        <v>22086.39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31535.35</v>
      </c>
      <c r="P65"/>
    </row>
    <row r="66" spans="1:16" ht="18.75" customHeight="1">
      <c r="A66" s="17" t="s">
        <v>70</v>
      </c>
      <c r="B66" s="35">
        <f>153900.38+3507.04+73914.54</f>
        <v>231321.96000000002</v>
      </c>
      <c r="C66" s="35">
        <f>82140.67+120234.14+2854.02</f>
        <v>205228.83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436550.79000000004</v>
      </c>
      <c r="P66"/>
    </row>
    <row r="67" spans="1:17" ht="18.75" customHeight="1">
      <c r="A67" s="17" t="s">
        <v>71</v>
      </c>
      <c r="B67" s="34">
        <v>0</v>
      </c>
      <c r="C67" s="34">
        <v>0</v>
      </c>
      <c r="D67" s="26">
        <f>19976.54+10186.85+13020.29</f>
        <v>43183.68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43183.68</v>
      </c>
      <c r="Q67"/>
    </row>
    <row r="68" spans="1:18" ht="18.75" customHeight="1">
      <c r="A68" s="17" t="s">
        <v>72</v>
      </c>
      <c r="B68" s="34">
        <v>0</v>
      </c>
      <c r="C68" s="34">
        <v>0</v>
      </c>
      <c r="D68" s="34">
        <v>0</v>
      </c>
      <c r="E68" s="26">
        <f>11610.34+21610.64</f>
        <v>33220.979999999996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33220.979999999996</v>
      </c>
      <c r="R68"/>
    </row>
    <row r="69" spans="1:19" ht="18.75" customHeight="1">
      <c r="A69" s="17" t="s">
        <v>73</v>
      </c>
      <c r="B69" s="34">
        <v>0</v>
      </c>
      <c r="C69" s="34">
        <v>0</v>
      </c>
      <c r="D69" s="34">
        <v>0</v>
      </c>
      <c r="E69" s="34">
        <v>0</v>
      </c>
      <c r="F69" s="26">
        <f>55232.07+53844.53</f>
        <v>109076.6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109076.6</v>
      </c>
      <c r="S69"/>
    </row>
    <row r="70" spans="1:20" ht="18.75" customHeight="1">
      <c r="A70" s="17" t="s">
        <v>74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f>91321.93+4091.52+81028.99</f>
        <v>176442.44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176442.44</v>
      </c>
      <c r="T70"/>
    </row>
    <row r="71" spans="1:21" ht="18.75" customHeight="1">
      <c r="A71" s="17" t="s">
        <v>99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f>32812.07+3507.04</f>
        <v>36319.11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36319.11</v>
      </c>
      <c r="U71"/>
    </row>
    <row r="72" spans="1:21" ht="18.75" customHeight="1">
      <c r="A72" s="17" t="s">
        <v>75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f>24255.17</f>
        <v>24255.17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24255.17</v>
      </c>
      <c r="U72"/>
    </row>
    <row r="73" spans="1:22" ht="18.75" customHeight="1">
      <c r="A73" s="17" t="s">
        <v>76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f>211965.65+4641.88</f>
        <v>216607.53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216607.53</v>
      </c>
      <c r="V73"/>
    </row>
    <row r="74" spans="1:23" ht="18.75" customHeight="1">
      <c r="A74" s="17" t="s">
        <v>77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f>113418.64+3506.91+28845.13</f>
        <v>145770.68</v>
      </c>
      <c r="L74" s="34">
        <v>0</v>
      </c>
      <c r="M74" s="34">
        <v>0</v>
      </c>
      <c r="N74" s="34">
        <v>0</v>
      </c>
      <c r="O74" s="29">
        <f t="shared" si="23"/>
        <v>145770.68</v>
      </c>
      <c r="W74"/>
    </row>
    <row r="75" spans="1:24" ht="18.75" customHeight="1">
      <c r="A75" s="17" t="s">
        <v>78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f>231491.96+4058.26</f>
        <v>235550.22</v>
      </c>
      <c r="M75" s="34">
        <v>0</v>
      </c>
      <c r="N75" s="59">
        <v>0</v>
      </c>
      <c r="O75" s="26">
        <f t="shared" si="23"/>
        <v>235550.22</v>
      </c>
      <c r="X75"/>
    </row>
    <row r="76" spans="1:25" ht="18.75" customHeight="1">
      <c r="A76" s="17" t="s">
        <v>79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f>25994.82+2337.94+15011.77</f>
        <v>43344.53</v>
      </c>
      <c r="N76" s="34">
        <v>0</v>
      </c>
      <c r="O76" s="29">
        <f t="shared" si="23"/>
        <v>43344.53</v>
      </c>
      <c r="Y76"/>
    </row>
    <row r="77" spans="1:26" ht="18.75" customHeight="1">
      <c r="A77" s="17" t="s">
        <v>80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f>66318.61+23719.9</f>
        <v>90038.51000000001</v>
      </c>
      <c r="O77" s="26">
        <f t="shared" si="23"/>
        <v>90038.51000000001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5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</row>
    <row r="80" spans="1:15" ht="1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18.75" customHeight="1">
      <c r="A81" s="2" t="s">
        <v>107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81</v>
      </c>
      <c r="B82" s="42">
        <v>2.336729141328728</v>
      </c>
      <c r="C82" s="42">
        <v>2.287826497733248</v>
      </c>
      <c r="D82" s="42">
        <v>0</v>
      </c>
      <c r="E82" s="42">
        <v>0</v>
      </c>
      <c r="F82" s="34">
        <v>0</v>
      </c>
      <c r="G82" s="34">
        <v>0</v>
      </c>
      <c r="H82" s="42">
        <v>0</v>
      </c>
      <c r="I82" s="42">
        <v>0</v>
      </c>
      <c r="J82" s="42">
        <v>0</v>
      </c>
      <c r="K82" s="42">
        <v>0</v>
      </c>
      <c r="L82" s="34">
        <v>0</v>
      </c>
      <c r="M82" s="42">
        <v>0</v>
      </c>
      <c r="N82" s="42">
        <v>0</v>
      </c>
      <c r="O82" s="29"/>
      <c r="P82"/>
    </row>
    <row r="83" spans="1:16" ht="18.75" customHeight="1">
      <c r="A83" s="17" t="s">
        <v>82</v>
      </c>
      <c r="B83" s="42">
        <v>2.038809794306821</v>
      </c>
      <c r="C83" s="42">
        <v>1.9243682950934329</v>
      </c>
      <c r="D83" s="42">
        <v>0</v>
      </c>
      <c r="E83" s="42">
        <v>0</v>
      </c>
      <c r="F83" s="34">
        <v>0</v>
      </c>
      <c r="G83" s="34">
        <v>0</v>
      </c>
      <c r="H83" s="42">
        <v>0</v>
      </c>
      <c r="I83" s="42">
        <v>0</v>
      </c>
      <c r="J83" s="42">
        <v>0</v>
      </c>
      <c r="K83" s="42">
        <v>0</v>
      </c>
      <c r="L83" s="34">
        <v>0</v>
      </c>
      <c r="M83" s="42">
        <v>0</v>
      </c>
      <c r="N83" s="42">
        <v>0</v>
      </c>
      <c r="O83" s="29"/>
      <c r="P83"/>
    </row>
    <row r="84" spans="1:17" ht="18.75" customHeight="1">
      <c r="A84" s="17" t="s">
        <v>83</v>
      </c>
      <c r="B84" s="42">
        <v>0</v>
      </c>
      <c r="C84" s="42">
        <v>0</v>
      </c>
      <c r="D84" s="22">
        <f>(D$37+D$38+D$39)/D$7</f>
        <v>1.868462937106708</v>
      </c>
      <c r="E84" s="42">
        <v>0</v>
      </c>
      <c r="F84" s="34">
        <v>0</v>
      </c>
      <c r="G84" s="34">
        <v>0</v>
      </c>
      <c r="H84" s="42">
        <v>0</v>
      </c>
      <c r="I84" s="42">
        <v>0</v>
      </c>
      <c r="J84" s="42">
        <v>0</v>
      </c>
      <c r="K84" s="42">
        <v>0</v>
      </c>
      <c r="L84" s="34">
        <v>0</v>
      </c>
      <c r="M84" s="42">
        <v>0</v>
      </c>
      <c r="N84" s="42">
        <v>0</v>
      </c>
      <c r="O84" s="26"/>
      <c r="Q84"/>
    </row>
    <row r="85" spans="1:18" ht="18.75" customHeight="1">
      <c r="A85" s="17" t="s">
        <v>84</v>
      </c>
      <c r="B85" s="42">
        <v>0</v>
      </c>
      <c r="C85" s="42">
        <v>0</v>
      </c>
      <c r="D85" s="42">
        <v>0</v>
      </c>
      <c r="E85" s="22">
        <f>(E$37+E$38+E$39)/E$7</f>
        <v>2.6005853410634834</v>
      </c>
      <c r="F85" s="34">
        <v>0</v>
      </c>
      <c r="G85" s="34">
        <v>0</v>
      </c>
      <c r="H85" s="42">
        <v>0</v>
      </c>
      <c r="I85" s="42">
        <v>0</v>
      </c>
      <c r="J85" s="42">
        <v>0</v>
      </c>
      <c r="K85" s="42">
        <v>0</v>
      </c>
      <c r="L85" s="34">
        <v>0</v>
      </c>
      <c r="M85" s="42">
        <v>0</v>
      </c>
      <c r="N85" s="42">
        <v>0</v>
      </c>
      <c r="O85" s="29"/>
      <c r="R85"/>
    </row>
    <row r="86" spans="1:19" ht="18.75" customHeight="1">
      <c r="A86" s="17" t="s">
        <v>85</v>
      </c>
      <c r="B86" s="42">
        <v>0</v>
      </c>
      <c r="C86" s="42">
        <v>0</v>
      </c>
      <c r="D86" s="42">
        <v>0</v>
      </c>
      <c r="E86" s="42">
        <v>0</v>
      </c>
      <c r="F86" s="42">
        <f>(F$37+F$38+F$39)/F$7</f>
        <v>2.1817186820007275</v>
      </c>
      <c r="G86" s="34">
        <v>0</v>
      </c>
      <c r="H86" s="42">
        <v>0</v>
      </c>
      <c r="I86" s="42">
        <v>0</v>
      </c>
      <c r="J86" s="42">
        <v>0</v>
      </c>
      <c r="K86" s="42">
        <v>0</v>
      </c>
      <c r="L86" s="34">
        <v>0</v>
      </c>
      <c r="M86" s="42">
        <v>0</v>
      </c>
      <c r="N86" s="42">
        <v>0</v>
      </c>
      <c r="O86" s="26"/>
      <c r="S86"/>
    </row>
    <row r="87" spans="1:20" ht="18.75" customHeight="1">
      <c r="A87" s="17" t="s">
        <v>86</v>
      </c>
      <c r="B87" s="42">
        <v>0</v>
      </c>
      <c r="C87" s="42">
        <v>0</v>
      </c>
      <c r="D87" s="42">
        <v>0</v>
      </c>
      <c r="E87" s="42">
        <v>0</v>
      </c>
      <c r="F87" s="34">
        <v>0</v>
      </c>
      <c r="G87" s="42">
        <f>(G$37+G$38+G$39)/G$7</f>
        <v>1.7302448025917503</v>
      </c>
      <c r="H87" s="42">
        <v>0</v>
      </c>
      <c r="I87" s="42">
        <v>0</v>
      </c>
      <c r="J87" s="42">
        <v>0</v>
      </c>
      <c r="K87" s="42">
        <v>0</v>
      </c>
      <c r="L87" s="34">
        <v>0</v>
      </c>
      <c r="M87" s="42">
        <v>0</v>
      </c>
      <c r="N87" s="42">
        <v>0</v>
      </c>
      <c r="O87" s="29"/>
      <c r="T87"/>
    </row>
    <row r="88" spans="1:21" ht="18.75" customHeight="1">
      <c r="A88" s="17" t="s">
        <v>87</v>
      </c>
      <c r="B88" s="42">
        <v>0</v>
      </c>
      <c r="C88" s="42">
        <v>0</v>
      </c>
      <c r="D88" s="42">
        <v>0</v>
      </c>
      <c r="E88" s="42">
        <v>0</v>
      </c>
      <c r="F88" s="34">
        <v>0</v>
      </c>
      <c r="G88" s="34">
        <v>0</v>
      </c>
      <c r="H88" s="42">
        <f>(H$37+H$38+H$39)/H$7</f>
        <v>2.035110097056474</v>
      </c>
      <c r="I88" s="42">
        <v>0</v>
      </c>
      <c r="J88" s="42">
        <v>0</v>
      </c>
      <c r="K88" s="42">
        <v>0</v>
      </c>
      <c r="L88" s="34">
        <v>0</v>
      </c>
      <c r="M88" s="42">
        <v>0</v>
      </c>
      <c r="N88" s="42">
        <v>0</v>
      </c>
      <c r="O88" s="29"/>
      <c r="U88"/>
    </row>
    <row r="89" spans="1:21" ht="18.75" customHeight="1">
      <c r="A89" s="17" t="s">
        <v>88</v>
      </c>
      <c r="B89" s="42">
        <v>0</v>
      </c>
      <c r="C89" s="42">
        <v>0</v>
      </c>
      <c r="D89" s="42">
        <v>0</v>
      </c>
      <c r="E89" s="42">
        <v>0</v>
      </c>
      <c r="F89" s="34">
        <v>0</v>
      </c>
      <c r="G89" s="34">
        <v>0</v>
      </c>
      <c r="H89" s="42">
        <v>0</v>
      </c>
      <c r="I89" s="42">
        <f>(I$37+I$38+I$39)/I$7</f>
        <v>1.9914994655524234</v>
      </c>
      <c r="J89" s="42">
        <v>0</v>
      </c>
      <c r="K89" s="42">
        <v>0</v>
      </c>
      <c r="L89" s="34">
        <v>0</v>
      </c>
      <c r="M89" s="42">
        <v>0</v>
      </c>
      <c r="N89" s="42">
        <v>0</v>
      </c>
      <c r="O89" s="29"/>
      <c r="U89"/>
    </row>
    <row r="90" spans="1:22" ht="18.75" customHeight="1">
      <c r="A90" s="17" t="s">
        <v>89</v>
      </c>
      <c r="B90" s="42">
        <v>0</v>
      </c>
      <c r="C90" s="42">
        <v>0</v>
      </c>
      <c r="D90" s="42">
        <v>0</v>
      </c>
      <c r="E90" s="42">
        <v>0</v>
      </c>
      <c r="F90" s="34">
        <v>0</v>
      </c>
      <c r="G90" s="34">
        <v>0</v>
      </c>
      <c r="H90" s="42">
        <v>0</v>
      </c>
      <c r="I90" s="42">
        <v>0</v>
      </c>
      <c r="J90" s="42">
        <f>(J$37+J$38+J$39)/J$7</f>
        <v>1.9765826229193086</v>
      </c>
      <c r="K90" s="42">
        <v>0</v>
      </c>
      <c r="L90" s="34">
        <v>0</v>
      </c>
      <c r="M90" s="42">
        <v>0</v>
      </c>
      <c r="N90" s="42">
        <v>0</v>
      </c>
      <c r="O90" s="26"/>
      <c r="V90"/>
    </row>
    <row r="91" spans="1:23" ht="18.75" customHeight="1">
      <c r="A91" s="17" t="s">
        <v>90</v>
      </c>
      <c r="B91" s="42">
        <v>0</v>
      </c>
      <c r="C91" s="42">
        <v>0</v>
      </c>
      <c r="D91" s="42">
        <v>0</v>
      </c>
      <c r="E91" s="42">
        <v>0</v>
      </c>
      <c r="F91" s="34">
        <v>0</v>
      </c>
      <c r="G91" s="34">
        <v>0</v>
      </c>
      <c r="H91" s="42">
        <v>0</v>
      </c>
      <c r="I91" s="42">
        <v>0</v>
      </c>
      <c r="J91" s="42">
        <v>0</v>
      </c>
      <c r="K91" s="42">
        <f>(K$37+K$38+K$39)/K$7</f>
        <v>2.2262890252390983</v>
      </c>
      <c r="L91" s="34">
        <v>0</v>
      </c>
      <c r="M91" s="42">
        <v>0</v>
      </c>
      <c r="N91" s="42">
        <v>0</v>
      </c>
      <c r="O91" s="29"/>
      <c r="W91"/>
    </row>
    <row r="92" spans="1:24" ht="18.75" customHeight="1">
      <c r="A92" s="17" t="s">
        <v>91</v>
      </c>
      <c r="B92" s="42">
        <v>0</v>
      </c>
      <c r="C92" s="42">
        <v>0</v>
      </c>
      <c r="D92" s="42">
        <v>0</v>
      </c>
      <c r="E92" s="42">
        <v>0</v>
      </c>
      <c r="F92" s="34">
        <v>0</v>
      </c>
      <c r="G92" s="34">
        <v>0</v>
      </c>
      <c r="H92" s="42">
        <v>0</v>
      </c>
      <c r="I92" s="42">
        <v>0</v>
      </c>
      <c r="J92" s="42">
        <v>0</v>
      </c>
      <c r="K92" s="42">
        <v>0</v>
      </c>
      <c r="L92" s="42">
        <f>(L$37+L$38+L$39)/L$7</f>
        <v>2.128569977143858</v>
      </c>
      <c r="M92" s="42">
        <v>0</v>
      </c>
      <c r="N92" s="42">
        <v>0</v>
      </c>
      <c r="O92" s="26"/>
      <c r="X92"/>
    </row>
    <row r="93" spans="1:25" ht="18.75" customHeight="1">
      <c r="A93" s="17" t="s">
        <v>92</v>
      </c>
      <c r="B93" s="42">
        <v>0</v>
      </c>
      <c r="C93" s="42">
        <v>0</v>
      </c>
      <c r="D93" s="42">
        <v>0</v>
      </c>
      <c r="E93" s="42">
        <v>0</v>
      </c>
      <c r="F93" s="34">
        <v>0</v>
      </c>
      <c r="G93" s="34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f>(M$37+M$38+M$39)/M$7</f>
        <v>2.527811999398102</v>
      </c>
      <c r="N93" s="42">
        <v>0</v>
      </c>
      <c r="O93" s="60"/>
      <c r="Y93"/>
    </row>
    <row r="94" spans="1:26" ht="18.75" customHeight="1">
      <c r="A94" s="33" t="s">
        <v>93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7">
        <f>(N$37+N$38+N$39)/N$7</f>
        <v>2.475591141294774</v>
      </c>
      <c r="O94" s="48"/>
      <c r="P94"/>
      <c r="Z94"/>
    </row>
    <row r="95" spans="1:14" ht="21" customHeight="1">
      <c r="A95" s="65" t="s">
        <v>100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7"/>
    </row>
    <row r="96" spans="1:14" ht="15.75">
      <c r="A96" s="74" t="s">
        <v>109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ht="14.25">
      <c r="A97" s="81" t="s">
        <v>112</v>
      </c>
    </row>
    <row r="98" spans="1:9" ht="14.25">
      <c r="A98" s="81" t="s">
        <v>110</v>
      </c>
      <c r="H98" s="39"/>
      <c r="I98" s="39"/>
    </row>
    <row r="99" ht="14.25">
      <c r="A99" s="81" t="s">
        <v>108</v>
      </c>
    </row>
    <row r="100" spans="1:12" ht="14.25">
      <c r="A100" s="81" t="s">
        <v>111</v>
      </c>
      <c r="H100" s="40"/>
      <c r="I100" s="40"/>
      <c r="J100" s="41"/>
      <c r="K100" s="41"/>
      <c r="L100" s="41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2018-01-03T11:21:33Z</dcterms:modified>
  <cp:category/>
  <cp:version/>
  <cp:contentType/>
  <cp:contentStatus/>
</cp:coreProperties>
</file>