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<sst xmlns="http://schemas.openxmlformats.org/spreadsheetml/2006/main" count="114" uniqueCount="112">
  <si>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</si>
  <si>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</si>
  <si>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</si>
  <si>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</si>
  <si>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</si>
  <si>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</si>
  <si>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</si>
  <si>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</si>
  <si>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</si>
  <si>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</si>
  <si>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</si>
  <si>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</si>
  <si>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</si>
  <si>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</si>
  <si>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</si>
  <si>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</si>
  <si>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</si>
  <si>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</si>
  <si>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</si>
  <si>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</si>
  <si>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</si>
  <si>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</si>
  <si>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</si>
  <si>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</si>
  <si>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</si>
  <si>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</si>
  <si>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</si>
  <si>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</si>
  <si>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</si>
  <si>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</si>
  <si>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</si>
  <si>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</si>
  <si>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</si>
  <si>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</si>
  <si>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</si>
  <si>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</si>
  <si>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</si>
  <si>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</si>
  <si>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</si>
  <si>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</si>
  <si>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</si>
  <si>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</si>
  <si>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</si>
  <si>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</si>
  <si>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</si>
  <si>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</si>
  <si>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</si>
  <si>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</si>
  <si>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</si>
  <si>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</si>
  <si>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</si>
  <si>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</si>
  <si>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</si>
  <si>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</si>
  <si>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</si>
  <si>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</si>
  <si>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</si>
  <si>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</si>
  <si>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</si>
  <si>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</si>
  <si>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</si>
  <si>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</si>
  <si>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</si>
  <si>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</si>
  <si>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</si>
  <si>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</si>
  <si>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</si>
  <si>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</si>
  <si>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</si>
  <si>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</si>
  <si>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</si>
  <si>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</si>
  <si>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</si>
  <si>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</si>
  <si>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</si>
  <si>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</si>
  <si>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</si>
  <si>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</si>
  <si>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</si>
  <si>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</si>
  <si>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</si>
  <si>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</si>
  <si>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</si>
  <si>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</si>
  <si>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</si>
  <si>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</si>
  <si>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</si>
  <si>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</si>
  <si>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</si>
  <si>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</si>
  <si>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</si>
  <si>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</si>
  <si>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</si>
  <si>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</si>
  <si>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</si>
  <si>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</si>
  <si>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</si>
  <si>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</si>
  <si>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</si>
  <si>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</si>
  <si>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</si>
  <si>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</si>
  <si>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</si>
  <si>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</si>
  <si>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</si>
  <si>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OPERAÇÃO 19/12/17 - VENCIMENTO 27/12/17</t>
  </si>
  <si>
    <r>
      <t>5.2.8. Ajuste de Remuneração Previsto Contratualmente</t>
    </r>
    <r>
      <rPr>
        <vertAlign val="superscript"/>
        <sz val="12"/>
        <rFont val="Calibri"/>
        <family val="2"/>
      </rPr>
      <t>(1)</t>
    </r>
  </si>
  <si>
    <r>
      <t>5.3. Revisão de Remuneração pelo Transporte Coletivo</t>
    </r>
    <r>
      <rPr>
        <vertAlign val="superscript"/>
        <sz val="12"/>
        <color indexed="8"/>
        <rFont val="Calibri"/>
        <family val="2"/>
      </rPr>
      <t>(2)</t>
    </r>
  </si>
  <si>
    <r>
      <t>8. Tarifa de Remuneração por Passageiro</t>
    </r>
    <r>
      <rPr>
        <vertAlign val="superscript"/>
        <sz val="12"/>
        <color indexed="8"/>
        <rFont val="Calibri"/>
        <family val="2"/>
      </rPr>
      <t>(3)</t>
    </r>
  </si>
  <si>
    <t>(2) Tarifa de remuneração de cada empresa considerando o  reequilibrio interno estabelecido e informado pelo consórcio. Não consideram os acertos financeiros previstos no item 7.</t>
  </si>
  <si>
    <t>(1) Ajuste de remuneração, previsto contratualmente, período de 25/10 a 23/11/17, parcela 18/19.</t>
  </si>
  <si>
    <t>(2) Revisão linhas noturnas (rede da madrugada), meses de maio, junho e julho/17.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</si>
</sst>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vertAlign val="superscript"/>
      <sz val="12"/>
      <name val="Calibri"/>
      <family val="2"/>
    </font>
    <font>
      <vertAlign val="superscript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4" fillId="0" borderId="10" xfId="0" applyFont="1" applyFill="1" applyBorder="1" applyAlignment="1">
      <alignment horizontal="left" vertical="center" indent="1"/>
    </xf>
    <xf numFmtId="0" fontId="44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4" fillId="0" borderId="12" xfId="0" applyFont="1" applyFill="1" applyBorder="1" applyAlignment="1">
      <alignment horizontal="left" vertical="center" indent="1"/>
    </xf>
    <xf numFmtId="172" fontId="44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4" fillId="0" borderId="10" xfId="52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indent="3"/>
    </xf>
    <xf numFmtId="172" fontId="44" fillId="0" borderId="10" xfId="52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4" fillId="0" borderId="10" xfId="0" applyFont="1" applyFill="1" applyBorder="1" applyAlignment="1">
      <alignment horizontal="left" vertical="center" indent="2"/>
    </xf>
    <xf numFmtId="172" fontId="44" fillId="0" borderId="10" xfId="0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171" fontId="44" fillId="0" borderId="10" xfId="52" applyFont="1" applyFill="1" applyBorder="1" applyAlignment="1">
      <alignment vertical="center"/>
    </xf>
    <xf numFmtId="171" fontId="44" fillId="0" borderId="10" xfId="45" applyNumberFormat="1" applyFont="1" applyFill="1" applyBorder="1" applyAlignment="1">
      <alignment horizontal="center" vertical="center"/>
    </xf>
    <xf numFmtId="173" fontId="44" fillId="0" borderId="10" xfId="52" applyNumberFormat="1" applyFont="1" applyFill="1" applyBorder="1" applyAlignment="1">
      <alignment vertical="center"/>
    </xf>
    <xf numFmtId="174" fontId="44" fillId="0" borderId="10" xfId="45" applyNumberFormat="1" applyFont="1" applyFill="1" applyBorder="1" applyAlignment="1">
      <alignment horizontal="center" vertical="center"/>
    </xf>
    <xf numFmtId="171" fontId="44" fillId="0" borderId="10" xfId="45" applyNumberFormat="1" applyFont="1" applyFill="1" applyBorder="1" applyAlignment="1">
      <alignment vertical="center"/>
    </xf>
    <xf numFmtId="170" fontId="44" fillId="0" borderId="10" xfId="45" applyNumberFormat="1" applyFont="1" applyFill="1" applyBorder="1" applyAlignment="1">
      <alignment horizontal="center" vertical="center"/>
    </xf>
    <xf numFmtId="170" fontId="44" fillId="0" borderId="10" xfId="45" applyNumberFormat="1" applyFont="1" applyFill="1" applyBorder="1" applyAlignment="1">
      <alignment vertical="center"/>
    </xf>
    <xf numFmtId="171" fontId="44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4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4" fillId="0" borderId="14" xfId="45" applyFont="1" applyFill="1" applyBorder="1" applyAlignment="1">
      <alignment vertical="center"/>
    </xf>
    <xf numFmtId="0" fontId="44" fillId="0" borderId="14" xfId="0" applyFont="1" applyFill="1" applyBorder="1" applyAlignment="1">
      <alignment horizontal="left" vertical="center" indent="2"/>
    </xf>
    <xf numFmtId="171" fontId="44" fillId="0" borderId="10" xfId="45" applyNumberFormat="1" applyFont="1" applyBorder="1" applyAlignment="1">
      <alignment vertical="center"/>
    </xf>
    <xf numFmtId="44" fontId="44" fillId="0" borderId="10" xfId="45" applyFont="1" applyBorder="1" applyAlignment="1">
      <alignment vertical="center"/>
    </xf>
    <xf numFmtId="0" fontId="44" fillId="0" borderId="12" xfId="0" applyFont="1" applyFill="1" applyBorder="1" applyAlignment="1">
      <alignment horizontal="left" vertical="center" indent="2"/>
    </xf>
    <xf numFmtId="171" fontId="44" fillId="0" borderId="12" xfId="45" applyNumberFormat="1" applyFont="1" applyBorder="1" applyAlignment="1">
      <alignment vertical="center"/>
    </xf>
    <xf numFmtId="171" fontId="44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4" fillId="0" borderId="10" xfId="52" applyNumberFormat="1" applyFont="1" applyBorder="1" applyAlignment="1">
      <alignment vertical="center"/>
    </xf>
    <xf numFmtId="173" fontId="44" fillId="0" borderId="14" xfId="52" applyNumberFormat="1" applyFont="1" applyBorder="1" applyAlignment="1">
      <alignment vertical="center"/>
    </xf>
    <xf numFmtId="171" fontId="44" fillId="0" borderId="10" xfId="52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vertical="center"/>
    </xf>
    <xf numFmtId="171" fontId="44" fillId="0" borderId="14" xfId="52" applyFont="1" applyFill="1" applyBorder="1" applyAlignment="1">
      <alignment vertical="center"/>
    </xf>
    <xf numFmtId="173" fontId="44" fillId="0" borderId="14" xfId="52" applyNumberFormat="1" applyFont="1" applyFill="1" applyBorder="1" applyAlignment="1">
      <alignment vertical="center"/>
    </xf>
    <xf numFmtId="170" fontId="44" fillId="0" borderId="14" xfId="45" applyNumberFormat="1" applyFont="1" applyFill="1" applyBorder="1" applyAlignment="1">
      <alignment vertical="center"/>
    </xf>
    <xf numFmtId="44" fontId="44" fillId="0" borderId="10" xfId="45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 indent="2"/>
    </xf>
    <xf numFmtId="0" fontId="44" fillId="34" borderId="10" xfId="0" applyFont="1" applyFill="1" applyBorder="1" applyAlignment="1">
      <alignment vertical="center"/>
    </xf>
    <xf numFmtId="171" fontId="44" fillId="34" borderId="10" xfId="52" applyFont="1" applyFill="1" applyBorder="1" applyAlignment="1">
      <alignment vertical="center"/>
    </xf>
    <xf numFmtId="0" fontId="44" fillId="34" borderId="10" xfId="0" applyFont="1" applyFill="1" applyBorder="1" applyAlignment="1">
      <alignment horizontal="left" vertical="center" indent="1"/>
    </xf>
    <xf numFmtId="44" fontId="44" fillId="34" borderId="10" xfId="45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 indent="3"/>
    </xf>
    <xf numFmtId="172" fontId="44" fillId="34" borderId="10" xfId="52" applyNumberFormat="1" applyFont="1" applyFill="1" applyBorder="1" applyAlignment="1">
      <alignment vertical="center"/>
    </xf>
    <xf numFmtId="0" fontId="44" fillId="35" borderId="10" xfId="0" applyFont="1" applyFill="1" applyBorder="1" applyAlignment="1">
      <alignment horizontal="left" vertical="center" indent="1"/>
    </xf>
    <xf numFmtId="44" fontId="44" fillId="35" borderId="10" xfId="45" applyFont="1" applyFill="1" applyBorder="1" applyAlignment="1">
      <alignment horizontal="center" vertical="center"/>
    </xf>
    <xf numFmtId="171" fontId="45" fillId="0" borderId="10" xfId="45" applyNumberFormat="1" applyFont="1" applyBorder="1" applyAlignment="1">
      <alignment vertical="center"/>
    </xf>
    <xf numFmtId="44" fontId="45" fillId="0" borderId="10" xfId="45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171" fontId="45" fillId="0" borderId="10" xfId="45" applyNumberFormat="1" applyFont="1" applyFill="1" applyBorder="1" applyAlignment="1">
      <alignment vertical="center"/>
    </xf>
    <xf numFmtId="171" fontId="45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173" fontId="44" fillId="0" borderId="0" xfId="52" applyNumberFormat="1" applyFont="1" applyBorder="1" applyAlignment="1">
      <alignment vertical="center"/>
    </xf>
    <xf numFmtId="173" fontId="44" fillId="0" borderId="0" xfId="52" applyNumberFormat="1" applyFont="1" applyFill="1" applyBorder="1" applyAlignment="1">
      <alignment vertical="center"/>
    </xf>
    <xf numFmtId="0" fontId="44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9.375" style="1" bestFit="1" customWidth="1"/>
    <col min="18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104</v>
      </c>
      <c r="I5" s="4" t="s">
        <v>98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94</v>
      </c>
      <c r="F6" s="3" t="s">
        <v>95</v>
      </c>
      <c r="G6" s="3" t="s">
        <v>96</v>
      </c>
      <c r="H6" s="66" t="s">
        <v>29</v>
      </c>
      <c r="I6" s="66" t="s">
        <v>97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484695</v>
      </c>
      <c r="C7" s="10">
        <f>C8+C20+C24</f>
        <v>357011</v>
      </c>
      <c r="D7" s="10">
        <f>D8+D20+D24</f>
        <v>369162</v>
      </c>
      <c r="E7" s="10">
        <f>E8+E20+E24</f>
        <v>50036</v>
      </c>
      <c r="F7" s="10">
        <f aca="true" t="shared" si="0" ref="F7:N7">F8+F20+F24</f>
        <v>319399</v>
      </c>
      <c r="G7" s="10">
        <f t="shared" si="0"/>
        <v>493961</v>
      </c>
      <c r="H7" s="10">
        <f>H8+H20+H24</f>
        <v>337226</v>
      </c>
      <c r="I7" s="10">
        <f>I8+I20+I24</f>
        <v>101312</v>
      </c>
      <c r="J7" s="10">
        <f>J8+J20+J24</f>
        <v>405707</v>
      </c>
      <c r="K7" s="10">
        <f>K8+K20+K24</f>
        <v>292696</v>
      </c>
      <c r="L7" s="10">
        <f>L8+L20+L24</f>
        <v>362298</v>
      </c>
      <c r="M7" s="10">
        <f t="shared" si="0"/>
        <v>143469</v>
      </c>
      <c r="N7" s="10">
        <f t="shared" si="0"/>
        <v>91000</v>
      </c>
      <c r="O7" s="10">
        <f>+O8+O20+O24</f>
        <v>3807972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228577</v>
      </c>
      <c r="C8" s="12">
        <f>+C9+C12+C16</f>
        <v>178317</v>
      </c>
      <c r="D8" s="12">
        <f>+D9+D12+D16</f>
        <v>201190</v>
      </c>
      <c r="E8" s="12">
        <f>+E9+E12+E16</f>
        <v>24310</v>
      </c>
      <c r="F8" s="12">
        <f aca="true" t="shared" si="1" ref="F8:N8">+F9+F12+F16</f>
        <v>163193</v>
      </c>
      <c r="G8" s="12">
        <f t="shared" si="1"/>
        <v>253538</v>
      </c>
      <c r="H8" s="12">
        <f>+H9+H12+H16</f>
        <v>165044</v>
      </c>
      <c r="I8" s="12">
        <f>+I9+I12+I16</f>
        <v>51198</v>
      </c>
      <c r="J8" s="12">
        <f>+J9+J12+J16</f>
        <v>207003</v>
      </c>
      <c r="K8" s="12">
        <f>+K9+K12+K16</f>
        <v>149584</v>
      </c>
      <c r="L8" s="12">
        <f>+L9+L12+L16</f>
        <v>172608</v>
      </c>
      <c r="M8" s="12">
        <f t="shared" si="1"/>
        <v>76501</v>
      </c>
      <c r="N8" s="12">
        <f t="shared" si="1"/>
        <v>50677</v>
      </c>
      <c r="O8" s="12">
        <f>SUM(B8:N8)</f>
        <v>1921740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25057</v>
      </c>
      <c r="C9" s="14">
        <v>24602</v>
      </c>
      <c r="D9" s="14">
        <v>19183</v>
      </c>
      <c r="E9" s="14">
        <v>2493</v>
      </c>
      <c r="F9" s="14">
        <v>16301</v>
      </c>
      <c r="G9" s="14">
        <v>28018</v>
      </c>
      <c r="H9" s="14">
        <v>22885</v>
      </c>
      <c r="I9" s="14">
        <v>7086</v>
      </c>
      <c r="J9" s="14">
        <v>15227</v>
      </c>
      <c r="K9" s="14">
        <v>19440</v>
      </c>
      <c r="L9" s="14">
        <v>15892</v>
      </c>
      <c r="M9" s="14">
        <v>9619</v>
      </c>
      <c r="N9" s="14">
        <v>6597</v>
      </c>
      <c r="O9" s="12">
        <f aca="true" t="shared" si="2" ref="O9:O19">SUM(B9:N9)</f>
        <v>212400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25057</v>
      </c>
      <c r="C10" s="14">
        <f>+C9-C11</f>
        <v>24602</v>
      </c>
      <c r="D10" s="14">
        <f>+D9-D11</f>
        <v>19183</v>
      </c>
      <c r="E10" s="14">
        <f>+E9-E11</f>
        <v>2493</v>
      </c>
      <c r="F10" s="14">
        <f aca="true" t="shared" si="3" ref="F10:N10">+F9-F11</f>
        <v>16301</v>
      </c>
      <c r="G10" s="14">
        <f t="shared" si="3"/>
        <v>28018</v>
      </c>
      <c r="H10" s="14">
        <f>+H9-H11</f>
        <v>22885</v>
      </c>
      <c r="I10" s="14">
        <f>+I9-I11</f>
        <v>7086</v>
      </c>
      <c r="J10" s="14">
        <f>+J9-J11</f>
        <v>15227</v>
      </c>
      <c r="K10" s="14">
        <f>+K9-K11</f>
        <v>19440</v>
      </c>
      <c r="L10" s="14">
        <f>+L9-L11</f>
        <v>15892</v>
      </c>
      <c r="M10" s="14">
        <f t="shared" si="3"/>
        <v>9619</v>
      </c>
      <c r="N10" s="14">
        <f t="shared" si="3"/>
        <v>6597</v>
      </c>
      <c r="O10" s="12">
        <f t="shared" si="2"/>
        <v>212400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193210</v>
      </c>
      <c r="C12" s="14">
        <f>C13+C14+C15</f>
        <v>146526</v>
      </c>
      <c r="D12" s="14">
        <f>D13+D14+D15</f>
        <v>173670</v>
      </c>
      <c r="E12" s="14">
        <f>E13+E14+E15</f>
        <v>20889</v>
      </c>
      <c r="F12" s="14">
        <f aca="true" t="shared" si="4" ref="F12:N12">F13+F14+F15</f>
        <v>139835</v>
      </c>
      <c r="G12" s="14">
        <f t="shared" si="4"/>
        <v>213763</v>
      </c>
      <c r="H12" s="14">
        <f>H13+H14+H15</f>
        <v>135467</v>
      </c>
      <c r="I12" s="14">
        <f>I13+I14+I15</f>
        <v>41919</v>
      </c>
      <c r="J12" s="14">
        <f>J13+J14+J15</f>
        <v>182199</v>
      </c>
      <c r="K12" s="14">
        <f>K13+K14+K15</f>
        <v>123850</v>
      </c>
      <c r="L12" s="14">
        <f>L13+L14+L15</f>
        <v>148314</v>
      </c>
      <c r="M12" s="14">
        <f t="shared" si="4"/>
        <v>63822</v>
      </c>
      <c r="N12" s="14">
        <f t="shared" si="4"/>
        <v>42297</v>
      </c>
      <c r="O12" s="12">
        <f t="shared" si="2"/>
        <v>1625761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100162</v>
      </c>
      <c r="C13" s="14">
        <v>77075</v>
      </c>
      <c r="D13" s="14">
        <v>87202</v>
      </c>
      <c r="E13" s="14">
        <v>11076</v>
      </c>
      <c r="F13" s="14">
        <v>70744</v>
      </c>
      <c r="G13" s="14">
        <v>109899</v>
      </c>
      <c r="H13" s="14">
        <v>73098</v>
      </c>
      <c r="I13" s="14">
        <v>22750</v>
      </c>
      <c r="J13" s="14">
        <v>96353</v>
      </c>
      <c r="K13" s="14">
        <v>63589</v>
      </c>
      <c r="L13" s="14">
        <v>75975</v>
      </c>
      <c r="M13" s="14">
        <v>32012</v>
      </c>
      <c r="N13" s="14">
        <v>20723</v>
      </c>
      <c r="O13" s="12">
        <f t="shared" si="2"/>
        <v>840658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90094</v>
      </c>
      <c r="C14" s="14">
        <v>66171</v>
      </c>
      <c r="D14" s="14">
        <v>84639</v>
      </c>
      <c r="E14" s="14">
        <v>9436</v>
      </c>
      <c r="F14" s="14">
        <v>66777</v>
      </c>
      <c r="G14" s="14">
        <v>98963</v>
      </c>
      <c r="H14" s="14">
        <v>60068</v>
      </c>
      <c r="I14" s="14">
        <v>18394</v>
      </c>
      <c r="J14" s="14">
        <v>84037</v>
      </c>
      <c r="K14" s="14">
        <v>58106</v>
      </c>
      <c r="L14" s="14">
        <v>70369</v>
      </c>
      <c r="M14" s="14">
        <v>30760</v>
      </c>
      <c r="N14" s="14">
        <v>20965</v>
      </c>
      <c r="O14" s="12">
        <f t="shared" si="2"/>
        <v>758779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2954</v>
      </c>
      <c r="C15" s="14">
        <v>3280</v>
      </c>
      <c r="D15" s="14">
        <v>1829</v>
      </c>
      <c r="E15" s="14">
        <v>377</v>
      </c>
      <c r="F15" s="14">
        <v>2314</v>
      </c>
      <c r="G15" s="14">
        <v>4901</v>
      </c>
      <c r="H15" s="14">
        <v>2301</v>
      </c>
      <c r="I15" s="14">
        <v>775</v>
      </c>
      <c r="J15" s="14">
        <v>1809</v>
      </c>
      <c r="K15" s="14">
        <v>2155</v>
      </c>
      <c r="L15" s="14">
        <v>1970</v>
      </c>
      <c r="M15" s="14">
        <v>1050</v>
      </c>
      <c r="N15" s="14">
        <v>609</v>
      </c>
      <c r="O15" s="12">
        <f t="shared" si="2"/>
        <v>26324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10310</v>
      </c>
      <c r="C16" s="14">
        <f>C17+C18+C19</f>
        <v>7189</v>
      </c>
      <c r="D16" s="14">
        <f>D17+D18+D19</f>
        <v>8337</v>
      </c>
      <c r="E16" s="14">
        <f>E17+E18+E19</f>
        <v>928</v>
      </c>
      <c r="F16" s="14">
        <f aca="true" t="shared" si="5" ref="F16:N16">F17+F18+F19</f>
        <v>7057</v>
      </c>
      <c r="G16" s="14">
        <f t="shared" si="5"/>
        <v>11757</v>
      </c>
      <c r="H16" s="14">
        <f>H17+H18+H19</f>
        <v>6692</v>
      </c>
      <c r="I16" s="14">
        <f>I17+I18+I19</f>
        <v>2193</v>
      </c>
      <c r="J16" s="14">
        <f>J17+J18+J19</f>
        <v>9577</v>
      </c>
      <c r="K16" s="14">
        <f>K17+K18+K19</f>
        <v>6294</v>
      </c>
      <c r="L16" s="14">
        <f>L17+L18+L19</f>
        <v>8402</v>
      </c>
      <c r="M16" s="14">
        <f t="shared" si="5"/>
        <v>3060</v>
      </c>
      <c r="N16" s="14">
        <f t="shared" si="5"/>
        <v>1783</v>
      </c>
      <c r="O16" s="12">
        <f t="shared" si="2"/>
        <v>83579</v>
      </c>
    </row>
    <row r="17" spans="1:26" ht="18.75" customHeight="1">
      <c r="A17" s="15" t="s">
        <v>16</v>
      </c>
      <c r="B17" s="14">
        <v>10244</v>
      </c>
      <c r="C17" s="14">
        <v>7143</v>
      </c>
      <c r="D17" s="14">
        <v>8306</v>
      </c>
      <c r="E17" s="14">
        <v>919</v>
      </c>
      <c r="F17" s="14">
        <v>7020</v>
      </c>
      <c r="G17" s="14">
        <v>11702</v>
      </c>
      <c r="H17" s="14">
        <v>6652</v>
      </c>
      <c r="I17" s="14">
        <v>2179</v>
      </c>
      <c r="J17" s="14">
        <v>9517</v>
      </c>
      <c r="K17" s="14">
        <v>6244</v>
      </c>
      <c r="L17" s="14">
        <v>8348</v>
      </c>
      <c r="M17" s="14">
        <v>3038</v>
      </c>
      <c r="N17" s="14">
        <v>1772</v>
      </c>
      <c r="O17" s="12">
        <f t="shared" si="2"/>
        <v>83084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60</v>
      </c>
      <c r="C18" s="14">
        <v>45</v>
      </c>
      <c r="D18" s="14">
        <v>29</v>
      </c>
      <c r="E18" s="14">
        <v>7</v>
      </c>
      <c r="F18" s="14">
        <v>29</v>
      </c>
      <c r="G18" s="14">
        <v>47</v>
      </c>
      <c r="H18" s="14">
        <v>36</v>
      </c>
      <c r="I18" s="14">
        <v>12</v>
      </c>
      <c r="J18" s="14">
        <v>45</v>
      </c>
      <c r="K18" s="14">
        <v>50</v>
      </c>
      <c r="L18" s="14">
        <v>51</v>
      </c>
      <c r="M18" s="14">
        <v>22</v>
      </c>
      <c r="N18" s="14">
        <v>11</v>
      </c>
      <c r="O18" s="12">
        <f t="shared" si="2"/>
        <v>444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6</v>
      </c>
      <c r="C19" s="14">
        <v>1</v>
      </c>
      <c r="D19" s="14">
        <v>2</v>
      </c>
      <c r="E19" s="14">
        <v>2</v>
      </c>
      <c r="F19" s="14">
        <v>8</v>
      </c>
      <c r="G19" s="14">
        <v>8</v>
      </c>
      <c r="H19" s="14">
        <v>4</v>
      </c>
      <c r="I19" s="14">
        <v>2</v>
      </c>
      <c r="J19" s="14">
        <v>15</v>
      </c>
      <c r="K19" s="14">
        <v>0</v>
      </c>
      <c r="L19" s="14">
        <v>3</v>
      </c>
      <c r="M19" s="14">
        <v>0</v>
      </c>
      <c r="N19" s="14">
        <v>0</v>
      </c>
      <c r="O19" s="12">
        <f t="shared" si="2"/>
        <v>51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141680</v>
      </c>
      <c r="C20" s="18">
        <f>C21+C22+C23</f>
        <v>87792</v>
      </c>
      <c r="D20" s="18">
        <f>D21+D22+D23</f>
        <v>81785</v>
      </c>
      <c r="E20" s="18">
        <f>E21+E22+E23</f>
        <v>11217</v>
      </c>
      <c r="F20" s="18">
        <f aca="true" t="shared" si="6" ref="F20:N20">F21+F22+F23</f>
        <v>73362</v>
      </c>
      <c r="G20" s="18">
        <f t="shared" si="6"/>
        <v>113385</v>
      </c>
      <c r="H20" s="18">
        <f>H21+H22+H23</f>
        <v>91071</v>
      </c>
      <c r="I20" s="18">
        <f>I21+I22+I23</f>
        <v>25738</v>
      </c>
      <c r="J20" s="18">
        <f>J21+J22+J23</f>
        <v>113444</v>
      </c>
      <c r="K20" s="18">
        <f>K21+K22+K23</f>
        <v>75181</v>
      </c>
      <c r="L20" s="18">
        <f>L21+L22+L23</f>
        <v>116770</v>
      </c>
      <c r="M20" s="18">
        <f t="shared" si="6"/>
        <v>42618</v>
      </c>
      <c r="N20" s="18">
        <f t="shared" si="6"/>
        <v>25497</v>
      </c>
      <c r="O20" s="12">
        <f aca="true" t="shared" si="7" ref="O20:O26">SUM(B20:N20)</f>
        <v>999540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79608</v>
      </c>
      <c r="C21" s="14">
        <v>52304</v>
      </c>
      <c r="D21" s="14">
        <v>46883</v>
      </c>
      <c r="E21" s="14">
        <v>6893</v>
      </c>
      <c r="F21" s="14">
        <v>42491</v>
      </c>
      <c r="G21" s="14">
        <v>66791</v>
      </c>
      <c r="H21" s="14">
        <v>54710</v>
      </c>
      <c r="I21" s="14">
        <v>15698</v>
      </c>
      <c r="J21" s="14">
        <v>66888</v>
      </c>
      <c r="K21" s="14">
        <v>43091</v>
      </c>
      <c r="L21" s="14">
        <v>65006</v>
      </c>
      <c r="M21" s="14">
        <v>23692</v>
      </c>
      <c r="N21" s="14">
        <v>13806</v>
      </c>
      <c r="O21" s="12">
        <f t="shared" si="7"/>
        <v>577861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60423</v>
      </c>
      <c r="C22" s="14">
        <v>34142</v>
      </c>
      <c r="D22" s="14">
        <v>34215</v>
      </c>
      <c r="E22" s="14">
        <v>4170</v>
      </c>
      <c r="F22" s="14">
        <v>29910</v>
      </c>
      <c r="G22" s="14">
        <v>44788</v>
      </c>
      <c r="H22" s="14">
        <v>35290</v>
      </c>
      <c r="I22" s="14">
        <v>9731</v>
      </c>
      <c r="J22" s="14">
        <v>45636</v>
      </c>
      <c r="K22" s="14">
        <v>31189</v>
      </c>
      <c r="L22" s="14">
        <v>50621</v>
      </c>
      <c r="M22" s="14">
        <v>18391</v>
      </c>
      <c r="N22" s="14">
        <v>11392</v>
      </c>
      <c r="O22" s="12">
        <f t="shared" si="7"/>
        <v>409898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1649</v>
      </c>
      <c r="C23" s="14">
        <v>1346</v>
      </c>
      <c r="D23" s="14">
        <v>687</v>
      </c>
      <c r="E23" s="14">
        <v>154</v>
      </c>
      <c r="F23" s="14">
        <v>961</v>
      </c>
      <c r="G23" s="14">
        <v>1806</v>
      </c>
      <c r="H23" s="14">
        <v>1071</v>
      </c>
      <c r="I23" s="14">
        <v>309</v>
      </c>
      <c r="J23" s="14">
        <v>920</v>
      </c>
      <c r="K23" s="14">
        <v>901</v>
      </c>
      <c r="L23" s="14">
        <v>1143</v>
      </c>
      <c r="M23" s="14">
        <v>535</v>
      </c>
      <c r="N23" s="14">
        <v>299</v>
      </c>
      <c r="O23" s="12">
        <f t="shared" si="7"/>
        <v>11781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114438</v>
      </c>
      <c r="C24" s="14">
        <f>C25+C26</f>
        <v>90902</v>
      </c>
      <c r="D24" s="14">
        <f>D25+D26</f>
        <v>86187</v>
      </c>
      <c r="E24" s="14">
        <f>E25+E26</f>
        <v>14509</v>
      </c>
      <c r="F24" s="14">
        <f aca="true" t="shared" si="8" ref="F24:N24">F25+F26</f>
        <v>82844</v>
      </c>
      <c r="G24" s="14">
        <f t="shared" si="8"/>
        <v>127038</v>
      </c>
      <c r="H24" s="14">
        <f>H25+H26</f>
        <v>81111</v>
      </c>
      <c r="I24" s="14">
        <f>I25+I26</f>
        <v>24376</v>
      </c>
      <c r="J24" s="14">
        <f>J25+J26</f>
        <v>85260</v>
      </c>
      <c r="K24" s="14">
        <f>K25+K26</f>
        <v>67931</v>
      </c>
      <c r="L24" s="14">
        <f>L25+L26</f>
        <v>72920</v>
      </c>
      <c r="M24" s="14">
        <f t="shared" si="8"/>
        <v>24350</v>
      </c>
      <c r="N24" s="14">
        <f t="shared" si="8"/>
        <v>14826</v>
      </c>
      <c r="O24" s="12">
        <f t="shared" si="7"/>
        <v>886692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71191</v>
      </c>
      <c r="C25" s="14">
        <v>62945</v>
      </c>
      <c r="D25" s="14">
        <v>56884</v>
      </c>
      <c r="E25" s="14">
        <v>10470</v>
      </c>
      <c r="F25" s="14">
        <v>57543</v>
      </c>
      <c r="G25" s="14">
        <v>89594</v>
      </c>
      <c r="H25" s="14">
        <v>57591</v>
      </c>
      <c r="I25" s="14">
        <v>18076</v>
      </c>
      <c r="J25" s="14">
        <v>53932</v>
      </c>
      <c r="K25" s="14">
        <v>46341</v>
      </c>
      <c r="L25" s="14">
        <v>46817</v>
      </c>
      <c r="M25" s="14">
        <v>15204</v>
      </c>
      <c r="N25" s="14">
        <v>8583</v>
      </c>
      <c r="O25" s="12">
        <f t="shared" si="7"/>
        <v>595171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43247</v>
      </c>
      <c r="C26" s="14">
        <v>27957</v>
      </c>
      <c r="D26" s="14">
        <v>29303</v>
      </c>
      <c r="E26" s="14">
        <v>4039</v>
      </c>
      <c r="F26" s="14">
        <v>25301</v>
      </c>
      <c r="G26" s="14">
        <v>37444</v>
      </c>
      <c r="H26" s="14">
        <v>23520</v>
      </c>
      <c r="I26" s="14">
        <v>6300</v>
      </c>
      <c r="J26" s="14">
        <v>31328</v>
      </c>
      <c r="K26" s="14">
        <v>21590</v>
      </c>
      <c r="L26" s="14">
        <v>26103</v>
      </c>
      <c r="M26" s="14">
        <v>9146</v>
      </c>
      <c r="N26" s="14">
        <v>6243</v>
      </c>
      <c r="O26" s="12">
        <f t="shared" si="7"/>
        <v>291521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1017392.8429347</v>
      </c>
      <c r="C36" s="60">
        <f aca="true" t="shared" si="11" ref="C36:N36">C37+C38+C39+C40</f>
        <v>724768.2719355</v>
      </c>
      <c r="D36" s="60">
        <f t="shared" si="11"/>
        <v>699967.8677581</v>
      </c>
      <c r="E36" s="60">
        <f t="shared" si="11"/>
        <v>130135.3650624</v>
      </c>
      <c r="F36" s="60">
        <f t="shared" si="11"/>
        <v>696835.7158279499</v>
      </c>
      <c r="G36" s="60">
        <f t="shared" si="11"/>
        <v>858737.6128000001</v>
      </c>
      <c r="H36" s="60">
        <f t="shared" si="11"/>
        <v>689812.701</v>
      </c>
      <c r="I36" s="60">
        <f>I37+I38+I39+I40</f>
        <v>201759.18026239998</v>
      </c>
      <c r="J36" s="60">
        <f>J37+J38+J39+J40</f>
        <v>806557.7694426</v>
      </c>
      <c r="K36" s="60">
        <f>K37+K38+K39+K40</f>
        <v>655157.2430728</v>
      </c>
      <c r="L36" s="60">
        <f>L37+L38+L39+L40</f>
        <v>775257.50514848</v>
      </c>
      <c r="M36" s="60">
        <f t="shared" si="11"/>
        <v>364954.6326306699</v>
      </c>
      <c r="N36" s="60">
        <f t="shared" si="11"/>
        <v>225277.78896</v>
      </c>
      <c r="O36" s="60">
        <f>O37+O38+O39+O40</f>
        <v>7846614.4968356</v>
      </c>
    </row>
    <row r="37" spans="1:15" ht="18.75" customHeight="1">
      <c r="A37" s="57" t="s">
        <v>50</v>
      </c>
      <c r="B37" s="54">
        <f aca="true" t="shared" si="12" ref="B37:N37">B29*B7</f>
        <v>1012479.3855000001</v>
      </c>
      <c r="C37" s="54">
        <f t="shared" si="12"/>
        <v>720448.198</v>
      </c>
      <c r="D37" s="54">
        <f t="shared" si="12"/>
        <v>689668.4484</v>
      </c>
      <c r="E37" s="54">
        <f t="shared" si="12"/>
        <v>129803.3912</v>
      </c>
      <c r="F37" s="54">
        <f t="shared" si="12"/>
        <v>696705.0386999999</v>
      </c>
      <c r="G37" s="54">
        <f t="shared" si="12"/>
        <v>854503.1339</v>
      </c>
      <c r="H37" s="54">
        <f t="shared" si="12"/>
        <v>685951.4066</v>
      </c>
      <c r="I37" s="54">
        <f>I29*I7</f>
        <v>201671.6672</v>
      </c>
      <c r="J37" s="54">
        <f>J29*J7</f>
        <v>801677.032</v>
      </c>
      <c r="K37" s="54">
        <f>K29*K7</f>
        <v>651394.948</v>
      </c>
      <c r="L37" s="54">
        <f>L29*L7</f>
        <v>770861.4545999999</v>
      </c>
      <c r="M37" s="54">
        <f t="shared" si="12"/>
        <v>362402.69399999996</v>
      </c>
      <c r="N37" s="54">
        <f t="shared" si="12"/>
        <v>225225</v>
      </c>
      <c r="O37" s="56">
        <f>SUM(B37:N37)</f>
        <v>7802791.7981</v>
      </c>
    </row>
    <row r="38" spans="1:15" ht="18.75" customHeight="1">
      <c r="A38" s="57" t="s">
        <v>51</v>
      </c>
      <c r="B38" s="54">
        <f aca="true" t="shared" si="13" ref="B38:N38">B30*B7</f>
        <v>-3002.4625653000003</v>
      </c>
      <c r="C38" s="54">
        <f t="shared" si="13"/>
        <v>-2095.4760645</v>
      </c>
      <c r="D38" s="54">
        <f t="shared" si="13"/>
        <v>-2048.8306419</v>
      </c>
      <c r="E38" s="54">
        <f t="shared" si="13"/>
        <v>-314.3061376</v>
      </c>
      <c r="F38" s="54">
        <f t="shared" si="13"/>
        <v>-2030.72287205</v>
      </c>
      <c r="G38" s="54">
        <f t="shared" si="13"/>
        <v>-2519.2011</v>
      </c>
      <c r="H38" s="54">
        <f t="shared" si="13"/>
        <v>-1888.4656</v>
      </c>
      <c r="I38" s="54">
        <f>I30*I7</f>
        <v>-567.3269376000001</v>
      </c>
      <c r="J38" s="54">
        <f>J30*J7</f>
        <v>-2307.7425574</v>
      </c>
      <c r="K38" s="54">
        <f>K30*K7</f>
        <v>-1863.2149272000001</v>
      </c>
      <c r="L38" s="54">
        <f>L30*L7</f>
        <v>-2264.44945152</v>
      </c>
      <c r="M38" s="54">
        <f t="shared" si="13"/>
        <v>-1057.1613693299998</v>
      </c>
      <c r="N38" s="54">
        <f t="shared" si="13"/>
        <v>-666.25104</v>
      </c>
      <c r="O38" s="25">
        <f>SUM(B38:N38)</f>
        <v>-22625.611264399995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4658.84</v>
      </c>
      <c r="C40" s="54">
        <v>4023.03</v>
      </c>
      <c r="D40" s="54">
        <v>10186.85</v>
      </c>
      <c r="E40" s="54">
        <v>0</v>
      </c>
      <c r="F40" s="54">
        <v>0</v>
      </c>
      <c r="G40" s="54">
        <v>4091.52</v>
      </c>
      <c r="H40" s="54">
        <v>3507.04</v>
      </c>
      <c r="I40" s="54">
        <v>0</v>
      </c>
      <c r="J40" s="54">
        <v>4641.88</v>
      </c>
      <c r="K40" s="54">
        <v>3506.91</v>
      </c>
      <c r="L40" s="54">
        <v>4058.26</v>
      </c>
      <c r="M40" s="54">
        <v>2337.94</v>
      </c>
      <c r="N40" s="54">
        <v>0</v>
      </c>
      <c r="O40" s="56">
        <f>SUM(B40:N40)</f>
        <v>41012.27000000001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-127193.36000000002</v>
      </c>
      <c r="C42" s="25">
        <f aca="true" t="shared" si="15" ref="C42:N42">+C43+C46+C58+C59</f>
        <v>-20390.440000000002</v>
      </c>
      <c r="D42" s="25">
        <f t="shared" si="15"/>
        <v>-96290.97</v>
      </c>
      <c r="E42" s="25">
        <f t="shared" si="15"/>
        <v>-13779.66</v>
      </c>
      <c r="F42" s="25">
        <f t="shared" si="15"/>
        <v>-85564.83</v>
      </c>
      <c r="G42" s="25">
        <f t="shared" si="15"/>
        <v>-135490.26</v>
      </c>
      <c r="H42" s="25">
        <f t="shared" si="15"/>
        <v>-110740.51</v>
      </c>
      <c r="I42" s="25">
        <f>+I43+I46+I58+I59</f>
        <v>-37859.13</v>
      </c>
      <c r="J42" s="25">
        <f>+J43+J46+J58+J59</f>
        <v>-84442.12</v>
      </c>
      <c r="K42" s="25">
        <f>+K43+K46+K58+K59</f>
        <v>-95276.16</v>
      </c>
      <c r="L42" s="25">
        <f>+L43+L46+L58+L59</f>
        <v>-86117.6</v>
      </c>
      <c r="M42" s="25">
        <f t="shared" si="15"/>
        <v>-48277.21</v>
      </c>
      <c r="N42" s="25">
        <f t="shared" si="15"/>
        <v>-31753.36</v>
      </c>
      <c r="O42" s="25">
        <f>+O43+O46+O58+O59</f>
        <v>-973175.6099999999</v>
      </c>
    </row>
    <row r="43" spans="1:15" ht="18.75" customHeight="1">
      <c r="A43" s="17" t="s">
        <v>55</v>
      </c>
      <c r="B43" s="26">
        <f>B44+B45</f>
        <v>-95216.6</v>
      </c>
      <c r="C43" s="26">
        <f>C44+C45</f>
        <v>-93487.6</v>
      </c>
      <c r="D43" s="26">
        <f>D44+D45</f>
        <v>-72895.4</v>
      </c>
      <c r="E43" s="26">
        <f>E44+E45</f>
        <v>-9473.4</v>
      </c>
      <c r="F43" s="26">
        <f aca="true" t="shared" si="16" ref="F43:N43">F44+F45</f>
        <v>-61943.8</v>
      </c>
      <c r="G43" s="26">
        <f t="shared" si="16"/>
        <v>-106468.4</v>
      </c>
      <c r="H43" s="26">
        <f t="shared" si="16"/>
        <v>-86963</v>
      </c>
      <c r="I43" s="26">
        <f>I44+I45</f>
        <v>-26926.8</v>
      </c>
      <c r="J43" s="26">
        <f>J44+J45</f>
        <v>-57862.6</v>
      </c>
      <c r="K43" s="26">
        <f>K44+K45</f>
        <v>-73872</v>
      </c>
      <c r="L43" s="26">
        <f>L44+L45</f>
        <v>-60389.6</v>
      </c>
      <c r="M43" s="26">
        <f t="shared" si="16"/>
        <v>-36552.2</v>
      </c>
      <c r="N43" s="26">
        <f t="shared" si="16"/>
        <v>-25068.6</v>
      </c>
      <c r="O43" s="25">
        <f aca="true" t="shared" si="17" ref="O43:O59">SUM(B43:N43)</f>
        <v>-807119.9999999999</v>
      </c>
    </row>
    <row r="44" spans="1:26" ht="18.75" customHeight="1">
      <c r="A44" s="13" t="s">
        <v>56</v>
      </c>
      <c r="B44" s="20">
        <f>ROUND(-B9*$D$3,2)</f>
        <v>-95216.6</v>
      </c>
      <c r="C44" s="20">
        <f>ROUND(-C9*$D$3,2)</f>
        <v>-93487.6</v>
      </c>
      <c r="D44" s="20">
        <f>ROUND(-D9*$D$3,2)</f>
        <v>-72895.4</v>
      </c>
      <c r="E44" s="20">
        <f>ROUND(-E9*$D$3,2)</f>
        <v>-9473.4</v>
      </c>
      <c r="F44" s="20">
        <f aca="true" t="shared" si="18" ref="F44:N44">ROUND(-F9*$D$3,2)</f>
        <v>-61943.8</v>
      </c>
      <c r="G44" s="20">
        <f t="shared" si="18"/>
        <v>-106468.4</v>
      </c>
      <c r="H44" s="20">
        <f t="shared" si="18"/>
        <v>-86963</v>
      </c>
      <c r="I44" s="20">
        <f>ROUND(-I9*$D$3,2)</f>
        <v>-26926.8</v>
      </c>
      <c r="J44" s="20">
        <f>ROUND(-J9*$D$3,2)</f>
        <v>-57862.6</v>
      </c>
      <c r="K44" s="20">
        <f>ROUND(-K9*$D$3,2)</f>
        <v>-73872</v>
      </c>
      <c r="L44" s="20">
        <f>ROUND(-L9*$D$3,2)</f>
        <v>-60389.6</v>
      </c>
      <c r="M44" s="20">
        <f t="shared" si="18"/>
        <v>-36552.2</v>
      </c>
      <c r="N44" s="20">
        <f t="shared" si="18"/>
        <v>-25068.6</v>
      </c>
      <c r="O44" s="46">
        <f t="shared" si="17"/>
        <v>-807119.9999999999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-33563.51</v>
      </c>
      <c r="C46" s="26">
        <f aca="true" t="shared" si="20" ref="C46:O46">SUM(C47:C57)</f>
        <v>-23634.14</v>
      </c>
      <c r="D46" s="26">
        <f t="shared" si="20"/>
        <v>-23395.57</v>
      </c>
      <c r="E46" s="26">
        <f t="shared" si="20"/>
        <v>-4306.26</v>
      </c>
      <c r="F46" s="26">
        <f t="shared" si="20"/>
        <v>-23621.03</v>
      </c>
      <c r="G46" s="26">
        <f t="shared" si="20"/>
        <v>-29021.86</v>
      </c>
      <c r="H46" s="26">
        <f t="shared" si="20"/>
        <v>-23777.51</v>
      </c>
      <c r="I46" s="26">
        <f t="shared" si="20"/>
        <v>-10932.33</v>
      </c>
      <c r="J46" s="26">
        <f t="shared" si="20"/>
        <v>-26579.52</v>
      </c>
      <c r="K46" s="26">
        <f t="shared" si="20"/>
        <v>-21404.16</v>
      </c>
      <c r="L46" s="26">
        <f t="shared" si="20"/>
        <v>-25728</v>
      </c>
      <c r="M46" s="26">
        <f t="shared" si="20"/>
        <v>-11725.01</v>
      </c>
      <c r="N46" s="26">
        <f t="shared" si="20"/>
        <v>-6684.76</v>
      </c>
      <c r="O46" s="26">
        <f t="shared" si="20"/>
        <v>-264373.66000000003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0</v>
      </c>
      <c r="F49" s="24">
        <v>-500</v>
      </c>
      <c r="G49" s="24">
        <v>-500</v>
      </c>
      <c r="H49" s="24">
        <v>-500</v>
      </c>
      <c r="I49" s="24">
        <v>-4500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-6500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106</v>
      </c>
      <c r="B54" s="24">
        <v>-33563.51</v>
      </c>
      <c r="C54" s="24">
        <v>-23634.14</v>
      </c>
      <c r="D54" s="24">
        <v>-22895.57</v>
      </c>
      <c r="E54" s="24">
        <v>-4306.26</v>
      </c>
      <c r="F54" s="24">
        <v>-23121.03</v>
      </c>
      <c r="G54" s="24">
        <v>-28521.86</v>
      </c>
      <c r="H54" s="24">
        <v>-23277.51</v>
      </c>
      <c r="I54" s="24">
        <v>-6432.33</v>
      </c>
      <c r="J54" s="24">
        <v>-26579.52</v>
      </c>
      <c r="K54" s="24">
        <v>-21404.16</v>
      </c>
      <c r="L54" s="24">
        <v>-25728</v>
      </c>
      <c r="M54" s="24">
        <v>-11725.01</v>
      </c>
      <c r="N54" s="24">
        <v>-6684.76</v>
      </c>
      <c r="O54" s="24">
        <f t="shared" si="17"/>
        <v>-257873.66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100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101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102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107</v>
      </c>
      <c r="B58" s="27">
        <v>1586.75</v>
      </c>
      <c r="C58" s="27">
        <v>96731.3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98318.05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67</v>
      </c>
      <c r="B61" s="29">
        <f aca="true" t="shared" si="21" ref="B61:N61">+B36+B42</f>
        <v>890199.4829347</v>
      </c>
      <c r="C61" s="29">
        <f t="shared" si="21"/>
        <v>704377.8319355</v>
      </c>
      <c r="D61" s="29">
        <f t="shared" si="21"/>
        <v>603676.8977581001</v>
      </c>
      <c r="E61" s="29">
        <f t="shared" si="21"/>
        <v>116355.7050624</v>
      </c>
      <c r="F61" s="29">
        <f t="shared" si="21"/>
        <v>611270.88582795</v>
      </c>
      <c r="G61" s="29">
        <f t="shared" si="21"/>
        <v>723247.3528000001</v>
      </c>
      <c r="H61" s="29">
        <f t="shared" si="21"/>
        <v>579072.191</v>
      </c>
      <c r="I61" s="29">
        <f t="shared" si="21"/>
        <v>163900.05026239998</v>
      </c>
      <c r="J61" s="29">
        <f>+J36+J42</f>
        <v>722115.6494426</v>
      </c>
      <c r="K61" s="29">
        <f>+K36+K42</f>
        <v>559881.0830728</v>
      </c>
      <c r="L61" s="29">
        <f>+L36+L42</f>
        <v>689139.90514848</v>
      </c>
      <c r="M61" s="29">
        <f t="shared" si="21"/>
        <v>316677.4226306699</v>
      </c>
      <c r="N61" s="29">
        <f t="shared" si="21"/>
        <v>193524.42896</v>
      </c>
      <c r="O61" s="29">
        <f>SUM(B61:N61)</f>
        <v>6873438.8868356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7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  <c r="Q63" s="78"/>
    </row>
    <row r="64" spans="1:15" ht="18.75" customHeight="1">
      <c r="A64" s="2" t="s">
        <v>68</v>
      </c>
      <c r="B64" s="36">
        <f>SUM(B65:B78)</f>
        <v>890199.48</v>
      </c>
      <c r="C64" s="36">
        <f aca="true" t="shared" si="22" ref="C64:N64">SUM(C65:C78)</f>
        <v>704377.8300000001</v>
      </c>
      <c r="D64" s="36">
        <f t="shared" si="22"/>
        <v>603676.9</v>
      </c>
      <c r="E64" s="36">
        <f t="shared" si="22"/>
        <v>116355.7</v>
      </c>
      <c r="F64" s="36">
        <f t="shared" si="22"/>
        <v>611270.89</v>
      </c>
      <c r="G64" s="36">
        <f t="shared" si="22"/>
        <v>723247.35</v>
      </c>
      <c r="H64" s="36">
        <f t="shared" si="22"/>
        <v>579072.18</v>
      </c>
      <c r="I64" s="36">
        <f t="shared" si="22"/>
        <v>163900.05</v>
      </c>
      <c r="J64" s="36">
        <f t="shared" si="22"/>
        <v>722115.65</v>
      </c>
      <c r="K64" s="36">
        <f t="shared" si="22"/>
        <v>559881.09</v>
      </c>
      <c r="L64" s="36">
        <f t="shared" si="22"/>
        <v>689139.9</v>
      </c>
      <c r="M64" s="36">
        <f t="shared" si="22"/>
        <v>316677.42</v>
      </c>
      <c r="N64" s="36">
        <f t="shared" si="22"/>
        <v>193524.43</v>
      </c>
      <c r="O64" s="29">
        <f>SUM(O65:O78)</f>
        <v>6873438.87</v>
      </c>
    </row>
    <row r="65" spans="1:16" ht="18.75" customHeight="1">
      <c r="A65" s="17" t="s">
        <v>69</v>
      </c>
      <c r="B65" s="36">
        <f>171244.76+1151.8</f>
        <v>172396.56</v>
      </c>
      <c r="C65" s="36">
        <f>176469.76+1169.01</f>
        <v>177638.77000000002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350035.33</v>
      </c>
      <c r="P65"/>
    </row>
    <row r="66" spans="1:16" ht="18.75" customHeight="1">
      <c r="A66" s="17" t="s">
        <v>70</v>
      </c>
      <c r="B66" s="36">
        <f>712709.13+3507.04+1586.75</f>
        <v>717802.92</v>
      </c>
      <c r="C66" s="36">
        <f>427153.74+2854.02+96731.3</f>
        <v>526739.06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1244541.98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v>603676.9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603676.9</v>
      </c>
      <c r="Q67"/>
    </row>
    <row r="68" spans="1:18" ht="18.75" customHeight="1">
      <c r="A68" s="17" t="s">
        <v>72</v>
      </c>
      <c r="B68" s="35">
        <v>0</v>
      </c>
      <c r="C68" s="35">
        <v>0</v>
      </c>
      <c r="D68" s="35">
        <v>0</v>
      </c>
      <c r="E68" s="26">
        <v>116355.7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116355.7</v>
      </c>
      <c r="R68"/>
    </row>
    <row r="69" spans="1:19" ht="18.75" customHeight="1">
      <c r="A69" s="17" t="s">
        <v>73</v>
      </c>
      <c r="B69" s="35">
        <v>0</v>
      </c>
      <c r="C69" s="35">
        <v>0</v>
      </c>
      <c r="D69" s="35">
        <v>0</v>
      </c>
      <c r="E69" s="35">
        <v>0</v>
      </c>
      <c r="F69" s="26">
        <v>611270.89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611270.89</v>
      </c>
      <c r="S69"/>
    </row>
    <row r="70" spans="1:20" ht="18.75" customHeight="1">
      <c r="A70" s="17" t="s">
        <v>74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723247.35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723247.35</v>
      </c>
      <c r="T70"/>
    </row>
    <row r="71" spans="1:21" ht="18.75" customHeight="1">
      <c r="A71" s="17" t="s">
        <v>99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579072.18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579072.18</v>
      </c>
      <c r="U71"/>
    </row>
    <row r="72" spans="1:21" ht="18.75" customHeight="1">
      <c r="A72" s="17" t="s">
        <v>75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163900.05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163900.05</v>
      </c>
      <c r="U72"/>
    </row>
    <row r="73" spans="1:22" ht="18.75" customHeight="1">
      <c r="A73" s="17" t="s">
        <v>76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722115.65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722115.65</v>
      </c>
      <c r="V73"/>
    </row>
    <row r="74" spans="1:23" ht="18.75" customHeight="1">
      <c r="A74" s="17" t="s">
        <v>77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559881.09</v>
      </c>
      <c r="L74" s="35">
        <v>0</v>
      </c>
      <c r="M74" s="35">
        <v>0</v>
      </c>
      <c r="N74" s="35">
        <v>0</v>
      </c>
      <c r="O74" s="29">
        <f t="shared" si="23"/>
        <v>559881.09</v>
      </c>
      <c r="W74"/>
    </row>
    <row r="75" spans="1:24" ht="18.75" customHeight="1">
      <c r="A75" s="17" t="s">
        <v>78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689139.9</v>
      </c>
      <c r="M75" s="35">
        <v>0</v>
      </c>
      <c r="N75" s="61">
        <v>0</v>
      </c>
      <c r="O75" s="26">
        <f t="shared" si="23"/>
        <v>689139.9</v>
      </c>
      <c r="X75"/>
    </row>
    <row r="76" spans="1:25" ht="18.75" customHeight="1">
      <c r="A76" s="17" t="s">
        <v>79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316677.42</v>
      </c>
      <c r="N76" s="35">
        <v>0</v>
      </c>
      <c r="O76" s="29">
        <f t="shared" si="23"/>
        <v>316677.42</v>
      </c>
      <c r="Y76"/>
    </row>
    <row r="77" spans="1:26" ht="18.75" customHeight="1">
      <c r="A77" s="17" t="s">
        <v>80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193524.43</v>
      </c>
      <c r="O77" s="26">
        <f t="shared" si="23"/>
        <v>193524.43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81</v>
      </c>
      <c r="B82" s="44">
        <v>2.334010866682739</v>
      </c>
      <c r="C82" s="44">
        <v>2.29090116466038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82</v>
      </c>
      <c r="B83" s="44">
        <v>2.0389173559684868</v>
      </c>
      <c r="C83" s="44">
        <v>1.9243208822230693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83</v>
      </c>
      <c r="B84" s="44">
        <v>0</v>
      </c>
      <c r="C84" s="44">
        <v>0</v>
      </c>
      <c r="D84" s="22">
        <f>(D$37+D$38+D$39)/D$7</f>
        <v>1.868504932138465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84</v>
      </c>
      <c r="B85" s="44">
        <v>0</v>
      </c>
      <c r="C85" s="44">
        <v>0</v>
      </c>
      <c r="D85" s="44">
        <v>0</v>
      </c>
      <c r="E85" s="22">
        <f>(E$37+E$38+E$39)/E$7</f>
        <v>2.60083470026381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85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2.1817091344304456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86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1.7301894133342512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87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2.0351504955133946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88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1.9914637975994944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89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1.976588743705679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90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2.2263725266925407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91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2.1286323555428956</v>
      </c>
      <c r="M92" s="44">
        <v>0</v>
      </c>
      <c r="N92" s="44">
        <v>0</v>
      </c>
      <c r="O92" s="26"/>
      <c r="X92"/>
    </row>
    <row r="93" spans="1:25" ht="18.75" customHeight="1">
      <c r="A93" s="17" t="s">
        <v>92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2.527491601883821</v>
      </c>
      <c r="N93" s="44">
        <v>0</v>
      </c>
      <c r="O93" s="62"/>
      <c r="Y93"/>
    </row>
    <row r="94" spans="1:26" ht="18.75" customHeight="1">
      <c r="A94" s="34" t="s">
        <v>93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2.4755800984615384</v>
      </c>
      <c r="O94" s="50"/>
      <c r="P94"/>
      <c r="Z94"/>
    </row>
    <row r="95" spans="1:14" ht="21" customHeight="1">
      <c r="A95" s="67" t="s">
        <v>103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110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7" ht="14.25">
      <c r="A97" s="77" t="s">
        <v>111</v>
      </c>
    </row>
    <row r="98" spans="1:2" ht="14.25">
      <c r="A98" s="1" t="s">
        <v>109</v>
      </c>
      <c r="B98" s="40"/>
    </row>
    <row r="99" spans="8:9" ht="14.25">
      <c r="H99" s="41"/>
      <c r="I99" s="41"/>
    </row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2017-12-26T22:08:09Z</dcterms:modified>
  <cp:category/>
  <cp:version/>
  <cp:contentType/>
  <cp:contentStatus/>
</cp:coreProperties>
</file>