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<sst xmlns="http://schemas.openxmlformats.org/spreadsheetml/2006/main" count="109" uniqueCount="106">
  <si>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</si>
  <si>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</si>
  <si>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</si>
  <si>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</si>
  <si>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</si>
  <si>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</si>
  <si>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</si>
  <si>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</si>
  <si>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</si>
  <si>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</si>
  <si>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</si>
  <si>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</si>
  <si>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</si>
  <si>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</si>
  <si>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</si>
  <si>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</si>
  <si>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</si>
  <si>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</si>
  <si>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</si>
  <si>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</si>
  <si>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</si>
  <si>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</si>
  <si>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</si>
  <si>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</si>
  <si>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</si>
  <si>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</si>
  <si>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</si>
  <si>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</si>
  <si>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</si>
  <si>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</si>
  <si>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</si>
  <si>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</si>
  <si>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</si>
  <si>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</si>
  <si>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</si>
  <si>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</si>
  <si>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</si>
  <si>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</si>
  <si>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</si>
  <si>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</si>
  <si>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</si>
  <si>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</si>
  <si>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</si>
  <si>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</si>
  <si>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</si>
  <si>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</si>
  <si>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</si>
  <si>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</si>
  <si>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</si>
  <si>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</si>
  <si>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</si>
  <si>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</si>
  <si>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</si>
  <si>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</si>
  <si>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</si>
  <si>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</si>
  <si>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</si>
  <si>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</si>
  <si>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</si>
  <si>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</si>
  <si>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</si>
  <si>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</si>
  <si>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</si>
  <si>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</si>
  <si>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</si>
  <si>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</si>
  <si>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</si>
  <si>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</si>
  <si>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</si>
  <si>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</si>
  <si>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</si>
  <si>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</si>
  <si>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</si>
  <si>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</si>
  <si>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</si>
  <si>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</si>
  <si>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</si>
  <si>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</si>
  <si>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</si>
  <si>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</si>
  <si>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</si>
  <si>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</si>
  <si>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</si>
  <si>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</si>
  <si>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</si>
  <si>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</si>
  <si>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</si>
  <si>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</si>
  <si>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</si>
  <si>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</si>
  <si>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</si>
  <si>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</si>
  <si>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</si>
  <si>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</si>
  <si>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</si>
  <si>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</si>
  <si>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</si>
  <si>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</si>
  <si>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</si>
  <si>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21/08/17 - VENCIMENTO 28/08/17</t>
  </si>
  <si>
    <t>5.2.8. Ajuste de Remuneração Previsto Contratualmente (1)</t>
  </si>
  <si>
    <t>5.2.9. Ajuste de Remuneração Previsto Contratualmente  Ar-condicionado (2)</t>
  </si>
  <si>
    <t>5.2.10. Revisão do Ajuste de Remuneração Previsto Contratualmente (3)</t>
  </si>
  <si>
    <t>Nota: (1) Ajuste de remuneração previsto contratualmente, período de 26/06 a 24/07/17, parcela 17/20.
              (2) Revisão dos valores de ar-condicionado período de 26/06 a 24/07/17.
              (3) Revisão do ajuste de remuneração previsto contratualmente, período de 26/06 a 24/07/17.
              (4) Revisão de passageiros transportados, mês de julho/17, todas as áreas, total de 723.675 passageiros.  
             (5) Tarifa de remuneração de cada empresa considerando o  reequilibrio interno estabelecido e informado pelo consórcio. Não consideram os acertos financeiros previstos no item 7.</t>
  </si>
  <si>
    <t>8. Tarifa de Remuneração por Passageiro (5)</t>
  </si>
  <si>
    <t>5.3. Revisão de Remuneração pelo Transporte Coletivo (4)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</si>
</sst>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993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993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993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1.50390625" style="1" bestFit="1" customWidth="1"/>
    <col min="17" max="16384" width="9.00390625" style="1" customWidth="1"/>
  </cols>
  <sheetData>
    <row r="1" spans="1:14" ht="2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1">
      <c r="A2" s="69" t="s">
        <v>99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0" t="s">
        <v>1</v>
      </c>
      <c r="B4" s="70" t="s">
        <v>42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 t="s">
        <v>2</v>
      </c>
    </row>
    <row r="5" spans="1:14" ht="42" customHeight="1">
      <c r="A5" s="70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0"/>
    </row>
    <row r="6" spans="1:14" ht="20.25" customHeight="1">
      <c r="A6" s="70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0"/>
    </row>
    <row r="7" spans="1:25" ht="18.75" customHeight="1">
      <c r="A7" s="9" t="s">
        <v>3</v>
      </c>
      <c r="B7" s="10">
        <f>B8+B20+B24</f>
        <v>475899</v>
      </c>
      <c r="C7" s="10">
        <f>C8+C20+C24</f>
        <v>273865</v>
      </c>
      <c r="D7" s="10">
        <f>D8+D20+D24</f>
        <v>362594</v>
      </c>
      <c r="E7" s="10">
        <f>E8+E20+E24</f>
        <v>39966</v>
      </c>
      <c r="F7" s="10">
        <f aca="true" t="shared" si="0" ref="F7:M7">F8+F20+F24</f>
        <v>311883</v>
      </c>
      <c r="G7" s="10">
        <f t="shared" si="0"/>
        <v>498273</v>
      </c>
      <c r="H7" s="10">
        <f t="shared" si="0"/>
        <v>451162</v>
      </c>
      <c r="I7" s="10">
        <f t="shared" si="0"/>
        <v>397579</v>
      </c>
      <c r="J7" s="10">
        <f t="shared" si="0"/>
        <v>280408</v>
      </c>
      <c r="K7" s="10">
        <f t="shared" si="0"/>
        <v>355214</v>
      </c>
      <c r="L7" s="10">
        <f t="shared" si="0"/>
        <v>145314</v>
      </c>
      <c r="M7" s="10">
        <f t="shared" si="0"/>
        <v>87744</v>
      </c>
      <c r="N7" s="10">
        <f>+N8+N20+N24</f>
        <v>3679901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200061</v>
      </c>
      <c r="C8" s="12">
        <f>+C9+C12+C16</f>
        <v>127424</v>
      </c>
      <c r="D8" s="12">
        <f>+D9+D12+D16</f>
        <v>179362</v>
      </c>
      <c r="E8" s="12">
        <f>+E9+E12+E16</f>
        <v>17696</v>
      </c>
      <c r="F8" s="12">
        <f aca="true" t="shared" si="1" ref="F8:M8">+F9+F12+F16</f>
        <v>141688</v>
      </c>
      <c r="G8" s="12">
        <f t="shared" si="1"/>
        <v>233215</v>
      </c>
      <c r="H8" s="12">
        <f t="shared" si="1"/>
        <v>205533</v>
      </c>
      <c r="I8" s="12">
        <f t="shared" si="1"/>
        <v>185408</v>
      </c>
      <c r="J8" s="12">
        <f t="shared" si="1"/>
        <v>131633</v>
      </c>
      <c r="K8" s="12">
        <f t="shared" si="1"/>
        <v>155041</v>
      </c>
      <c r="L8" s="12">
        <f t="shared" si="1"/>
        <v>72716</v>
      </c>
      <c r="M8" s="12">
        <f t="shared" si="1"/>
        <v>45071</v>
      </c>
      <c r="N8" s="12">
        <f>SUM(B8:M8)</f>
        <v>1694848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19050</v>
      </c>
      <c r="C9" s="14">
        <v>14847</v>
      </c>
      <c r="D9" s="14">
        <v>14331</v>
      </c>
      <c r="E9" s="14">
        <v>1233</v>
      </c>
      <c r="F9" s="14">
        <v>11814</v>
      </c>
      <c r="G9" s="14">
        <v>22280</v>
      </c>
      <c r="H9" s="14">
        <v>25099</v>
      </c>
      <c r="I9" s="14">
        <v>12358</v>
      </c>
      <c r="J9" s="14">
        <v>15190</v>
      </c>
      <c r="K9" s="14">
        <v>12300</v>
      </c>
      <c r="L9" s="14">
        <v>8075</v>
      </c>
      <c r="M9" s="14">
        <v>5468</v>
      </c>
      <c r="N9" s="12">
        <f aca="true" t="shared" si="2" ref="N9:N19">SUM(B9:M9)</f>
        <v>162045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19050</v>
      </c>
      <c r="C10" s="14">
        <f>+C9-C11</f>
        <v>14847</v>
      </c>
      <c r="D10" s="14">
        <f>+D9-D11</f>
        <v>14331</v>
      </c>
      <c r="E10" s="14">
        <f>+E9-E11</f>
        <v>1233</v>
      </c>
      <c r="F10" s="14">
        <f aca="true" t="shared" si="3" ref="F10:M10">+F9-F11</f>
        <v>11814</v>
      </c>
      <c r="G10" s="14">
        <f t="shared" si="3"/>
        <v>22280</v>
      </c>
      <c r="H10" s="14">
        <f t="shared" si="3"/>
        <v>25099</v>
      </c>
      <c r="I10" s="14">
        <f t="shared" si="3"/>
        <v>12358</v>
      </c>
      <c r="J10" s="14">
        <f t="shared" si="3"/>
        <v>15190</v>
      </c>
      <c r="K10" s="14">
        <f t="shared" si="3"/>
        <v>12300</v>
      </c>
      <c r="L10" s="14">
        <f t="shared" si="3"/>
        <v>8075</v>
      </c>
      <c r="M10" s="14">
        <f t="shared" si="3"/>
        <v>5468</v>
      </c>
      <c r="N10" s="12">
        <f t="shared" si="2"/>
        <v>162045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169385</v>
      </c>
      <c r="C12" s="14">
        <f>C13+C14+C15</f>
        <v>105599</v>
      </c>
      <c r="D12" s="14">
        <f>D13+D14+D15</f>
        <v>155910</v>
      </c>
      <c r="E12" s="14">
        <f>E13+E14+E15</f>
        <v>15535</v>
      </c>
      <c r="F12" s="14">
        <f aca="true" t="shared" si="4" ref="F12:M12">F13+F14+F15</f>
        <v>121933</v>
      </c>
      <c r="G12" s="14">
        <f t="shared" si="4"/>
        <v>197083</v>
      </c>
      <c r="H12" s="14">
        <f t="shared" si="4"/>
        <v>169339</v>
      </c>
      <c r="I12" s="14">
        <f t="shared" si="4"/>
        <v>161391</v>
      </c>
      <c r="J12" s="14">
        <f t="shared" si="4"/>
        <v>109023</v>
      </c>
      <c r="K12" s="14">
        <f t="shared" si="4"/>
        <v>132377</v>
      </c>
      <c r="L12" s="14">
        <f t="shared" si="4"/>
        <v>60830</v>
      </c>
      <c r="M12" s="14">
        <f t="shared" si="4"/>
        <v>37572</v>
      </c>
      <c r="N12" s="12">
        <f t="shared" si="2"/>
        <v>1435977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79808</v>
      </c>
      <c r="C13" s="14">
        <v>50657</v>
      </c>
      <c r="D13" s="14">
        <v>72219</v>
      </c>
      <c r="E13" s="14">
        <v>7452</v>
      </c>
      <c r="F13" s="14">
        <v>55921</v>
      </c>
      <c r="G13" s="14">
        <v>92548</v>
      </c>
      <c r="H13" s="14">
        <v>83881</v>
      </c>
      <c r="I13" s="14">
        <v>79053</v>
      </c>
      <c r="J13" s="14">
        <v>51400</v>
      </c>
      <c r="K13" s="14">
        <v>62318</v>
      </c>
      <c r="L13" s="14">
        <v>28163</v>
      </c>
      <c r="M13" s="14">
        <v>16871</v>
      </c>
      <c r="N13" s="12">
        <f t="shared" si="2"/>
        <v>680291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85138</v>
      </c>
      <c r="C14" s="14">
        <v>50398</v>
      </c>
      <c r="D14" s="14">
        <v>80684</v>
      </c>
      <c r="E14" s="14">
        <v>7514</v>
      </c>
      <c r="F14" s="14">
        <v>62143</v>
      </c>
      <c r="G14" s="14">
        <v>96328</v>
      </c>
      <c r="H14" s="14">
        <v>79796</v>
      </c>
      <c r="I14" s="14">
        <v>79515</v>
      </c>
      <c r="J14" s="14">
        <v>54299</v>
      </c>
      <c r="K14" s="14">
        <v>66800</v>
      </c>
      <c r="L14" s="14">
        <v>30714</v>
      </c>
      <c r="M14" s="14">
        <v>19773</v>
      </c>
      <c r="N14" s="12">
        <f t="shared" si="2"/>
        <v>713102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4439</v>
      </c>
      <c r="C15" s="14">
        <v>4544</v>
      </c>
      <c r="D15" s="14">
        <v>3007</v>
      </c>
      <c r="E15" s="14">
        <v>569</v>
      </c>
      <c r="F15" s="14">
        <v>3869</v>
      </c>
      <c r="G15" s="14">
        <v>8207</v>
      </c>
      <c r="H15" s="14">
        <v>5662</v>
      </c>
      <c r="I15" s="14">
        <v>2823</v>
      </c>
      <c r="J15" s="14">
        <v>3324</v>
      </c>
      <c r="K15" s="14">
        <v>3259</v>
      </c>
      <c r="L15" s="14">
        <v>1953</v>
      </c>
      <c r="M15" s="14">
        <v>928</v>
      </c>
      <c r="N15" s="12">
        <f t="shared" si="2"/>
        <v>42584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11626</v>
      </c>
      <c r="C16" s="14">
        <f>C17+C18+C19</f>
        <v>6978</v>
      </c>
      <c r="D16" s="14">
        <f>D17+D18+D19</f>
        <v>9121</v>
      </c>
      <c r="E16" s="14">
        <f>E17+E18+E19</f>
        <v>928</v>
      </c>
      <c r="F16" s="14">
        <f aca="true" t="shared" si="5" ref="F16:M16">F17+F18+F19</f>
        <v>7941</v>
      </c>
      <c r="G16" s="14">
        <f t="shared" si="5"/>
        <v>13852</v>
      </c>
      <c r="H16" s="14">
        <f t="shared" si="5"/>
        <v>11095</v>
      </c>
      <c r="I16" s="14">
        <f t="shared" si="5"/>
        <v>11659</v>
      </c>
      <c r="J16" s="14">
        <f t="shared" si="5"/>
        <v>7420</v>
      </c>
      <c r="K16" s="14">
        <f t="shared" si="5"/>
        <v>10364</v>
      </c>
      <c r="L16" s="14">
        <f t="shared" si="5"/>
        <v>3811</v>
      </c>
      <c r="M16" s="14">
        <f t="shared" si="5"/>
        <v>2031</v>
      </c>
      <c r="N16" s="12">
        <f t="shared" si="2"/>
        <v>96826</v>
      </c>
    </row>
    <row r="17" spans="1:25" ht="18.75" customHeight="1">
      <c r="A17" s="15" t="s">
        <v>16</v>
      </c>
      <c r="B17" s="14">
        <v>11529</v>
      </c>
      <c r="C17" s="14">
        <v>6904</v>
      </c>
      <c r="D17" s="14">
        <v>9044</v>
      </c>
      <c r="E17" s="14">
        <v>918</v>
      </c>
      <c r="F17" s="14">
        <v>7878</v>
      </c>
      <c r="G17" s="14">
        <v>13785</v>
      </c>
      <c r="H17" s="14">
        <v>11005</v>
      </c>
      <c r="I17" s="14">
        <v>11589</v>
      </c>
      <c r="J17" s="14">
        <v>7343</v>
      </c>
      <c r="K17" s="14">
        <v>10274</v>
      </c>
      <c r="L17" s="14">
        <v>3775</v>
      </c>
      <c r="M17" s="14">
        <v>2000</v>
      </c>
      <c r="N17" s="12">
        <f t="shared" si="2"/>
        <v>96044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93</v>
      </c>
      <c r="C18" s="14">
        <v>71</v>
      </c>
      <c r="D18" s="14">
        <v>74</v>
      </c>
      <c r="E18" s="14">
        <v>8</v>
      </c>
      <c r="F18" s="14">
        <v>57</v>
      </c>
      <c r="G18" s="14">
        <v>60</v>
      </c>
      <c r="H18" s="14">
        <v>89</v>
      </c>
      <c r="I18" s="14">
        <v>67</v>
      </c>
      <c r="J18" s="14">
        <v>76</v>
      </c>
      <c r="K18" s="14">
        <v>83</v>
      </c>
      <c r="L18" s="14">
        <v>36</v>
      </c>
      <c r="M18" s="14">
        <v>31</v>
      </c>
      <c r="N18" s="12">
        <f t="shared" si="2"/>
        <v>745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4</v>
      </c>
      <c r="C19" s="14">
        <v>3</v>
      </c>
      <c r="D19" s="14">
        <v>3</v>
      </c>
      <c r="E19" s="14">
        <v>2</v>
      </c>
      <c r="F19" s="14">
        <v>6</v>
      </c>
      <c r="G19" s="14">
        <v>7</v>
      </c>
      <c r="H19" s="14">
        <v>1</v>
      </c>
      <c r="I19" s="14">
        <v>3</v>
      </c>
      <c r="J19" s="14">
        <v>1</v>
      </c>
      <c r="K19" s="14">
        <v>7</v>
      </c>
      <c r="L19" s="14">
        <v>0</v>
      </c>
      <c r="M19" s="14">
        <v>0</v>
      </c>
      <c r="N19" s="12">
        <f t="shared" si="2"/>
        <v>37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125968</v>
      </c>
      <c r="C20" s="18">
        <f>C21+C22+C23</f>
        <v>58842</v>
      </c>
      <c r="D20" s="18">
        <f>D21+D22+D23</f>
        <v>74217</v>
      </c>
      <c r="E20" s="18">
        <f>E21+E22+E23</f>
        <v>8345</v>
      </c>
      <c r="F20" s="18">
        <f aca="true" t="shared" si="6" ref="F20:M20">F21+F22+F23</f>
        <v>64210</v>
      </c>
      <c r="G20" s="18">
        <f t="shared" si="6"/>
        <v>104079</v>
      </c>
      <c r="H20" s="18">
        <f t="shared" si="6"/>
        <v>109144</v>
      </c>
      <c r="I20" s="18">
        <f t="shared" si="6"/>
        <v>101242</v>
      </c>
      <c r="J20" s="18">
        <f t="shared" si="6"/>
        <v>65125</v>
      </c>
      <c r="K20" s="18">
        <f t="shared" si="6"/>
        <v>105572</v>
      </c>
      <c r="L20" s="18">
        <f t="shared" si="6"/>
        <v>40034</v>
      </c>
      <c r="M20" s="18">
        <f t="shared" si="6"/>
        <v>23223</v>
      </c>
      <c r="N20" s="12">
        <f aca="true" t="shared" si="7" ref="N20:N26">SUM(B20:M20)</f>
        <v>880001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64099</v>
      </c>
      <c r="C21" s="14">
        <v>32012</v>
      </c>
      <c r="D21" s="14">
        <v>37784</v>
      </c>
      <c r="E21" s="14">
        <v>4515</v>
      </c>
      <c r="F21" s="14">
        <v>32516</v>
      </c>
      <c r="G21" s="14">
        <v>54377</v>
      </c>
      <c r="H21" s="14">
        <v>60323</v>
      </c>
      <c r="I21" s="14">
        <v>54845</v>
      </c>
      <c r="J21" s="14">
        <v>34219</v>
      </c>
      <c r="K21" s="14">
        <v>54306</v>
      </c>
      <c r="L21" s="14">
        <v>20858</v>
      </c>
      <c r="M21" s="14">
        <v>11745</v>
      </c>
      <c r="N21" s="12">
        <f t="shared" si="7"/>
        <v>461599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59423</v>
      </c>
      <c r="C22" s="14">
        <v>25223</v>
      </c>
      <c r="D22" s="14">
        <v>35361</v>
      </c>
      <c r="E22" s="14">
        <v>3645</v>
      </c>
      <c r="F22" s="14">
        <v>30279</v>
      </c>
      <c r="G22" s="14">
        <v>46865</v>
      </c>
      <c r="H22" s="14">
        <v>46796</v>
      </c>
      <c r="I22" s="14">
        <v>44901</v>
      </c>
      <c r="J22" s="14">
        <v>29594</v>
      </c>
      <c r="K22" s="14">
        <v>49494</v>
      </c>
      <c r="L22" s="14">
        <v>18372</v>
      </c>
      <c r="M22" s="14">
        <v>11035</v>
      </c>
      <c r="N22" s="12">
        <f t="shared" si="7"/>
        <v>400988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2446</v>
      </c>
      <c r="C23" s="14">
        <v>1607</v>
      </c>
      <c r="D23" s="14">
        <v>1072</v>
      </c>
      <c r="E23" s="14">
        <v>185</v>
      </c>
      <c r="F23" s="14">
        <v>1415</v>
      </c>
      <c r="G23" s="14">
        <v>2837</v>
      </c>
      <c r="H23" s="14">
        <v>2025</v>
      </c>
      <c r="I23" s="14">
        <v>1496</v>
      </c>
      <c r="J23" s="14">
        <v>1312</v>
      </c>
      <c r="K23" s="14">
        <v>1772</v>
      </c>
      <c r="L23" s="14">
        <v>804</v>
      </c>
      <c r="M23" s="14">
        <v>443</v>
      </c>
      <c r="N23" s="12">
        <f t="shared" si="7"/>
        <v>17414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149870</v>
      </c>
      <c r="C24" s="14">
        <f>C25+C26</f>
        <v>87599</v>
      </c>
      <c r="D24" s="14">
        <f>D25+D26</f>
        <v>109015</v>
      </c>
      <c r="E24" s="14">
        <f>E25+E26</f>
        <v>13925</v>
      </c>
      <c r="F24" s="14">
        <f aca="true" t="shared" si="8" ref="F24:M24">F25+F26</f>
        <v>105985</v>
      </c>
      <c r="G24" s="14">
        <f t="shared" si="8"/>
        <v>160979</v>
      </c>
      <c r="H24" s="14">
        <f t="shared" si="8"/>
        <v>136485</v>
      </c>
      <c r="I24" s="14">
        <f t="shared" si="8"/>
        <v>110929</v>
      </c>
      <c r="J24" s="14">
        <f t="shared" si="8"/>
        <v>83650</v>
      </c>
      <c r="K24" s="14">
        <f t="shared" si="8"/>
        <v>94601</v>
      </c>
      <c r="L24" s="14">
        <f t="shared" si="8"/>
        <v>32564</v>
      </c>
      <c r="M24" s="14">
        <f t="shared" si="8"/>
        <v>19450</v>
      </c>
      <c r="N24" s="12">
        <f t="shared" si="7"/>
        <v>1105052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58617</v>
      </c>
      <c r="C25" s="14">
        <v>38891</v>
      </c>
      <c r="D25" s="14">
        <v>49261</v>
      </c>
      <c r="E25" s="14">
        <v>7276</v>
      </c>
      <c r="F25" s="14">
        <v>47112</v>
      </c>
      <c r="G25" s="14">
        <v>76708</v>
      </c>
      <c r="H25" s="14">
        <v>66605</v>
      </c>
      <c r="I25" s="14">
        <v>45311</v>
      </c>
      <c r="J25" s="14">
        <v>39538</v>
      </c>
      <c r="K25" s="14">
        <v>38768</v>
      </c>
      <c r="L25" s="14">
        <v>13639</v>
      </c>
      <c r="M25" s="14">
        <v>7106</v>
      </c>
      <c r="N25" s="12">
        <f t="shared" si="7"/>
        <v>488832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91253</v>
      </c>
      <c r="C26" s="14">
        <v>48708</v>
      </c>
      <c r="D26" s="14">
        <v>59754</v>
      </c>
      <c r="E26" s="14">
        <v>6649</v>
      </c>
      <c r="F26" s="14">
        <v>58873</v>
      </c>
      <c r="G26" s="14">
        <v>84271</v>
      </c>
      <c r="H26" s="14">
        <v>69880</v>
      </c>
      <c r="I26" s="14">
        <v>65618</v>
      </c>
      <c r="J26" s="14">
        <v>44112</v>
      </c>
      <c r="K26" s="14">
        <v>55833</v>
      </c>
      <c r="L26" s="14">
        <v>18925</v>
      </c>
      <c r="M26" s="14">
        <v>12344</v>
      </c>
      <c r="N26" s="12">
        <f t="shared" si="7"/>
        <v>616220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2.08270546</v>
      </c>
      <c r="C28" s="23">
        <f aca="true" t="shared" si="9" ref="C28:M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2.0187000000000004</v>
      </c>
      <c r="I28" s="23">
        <f t="shared" si="9"/>
        <v>1.9703118</v>
      </c>
      <c r="J28" s="23">
        <f t="shared" si="9"/>
        <v>2.2191343</v>
      </c>
      <c r="K28" s="23">
        <f t="shared" si="9"/>
        <v>2.12144976</v>
      </c>
      <c r="L28" s="23">
        <f t="shared" si="9"/>
        <v>2.5186314299999997</v>
      </c>
      <c r="M28" s="23">
        <f t="shared" si="9"/>
        <v>2.46767856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2.0243</v>
      </c>
      <c r="I29" s="23">
        <v>1.976</v>
      </c>
      <c r="J29" s="23">
        <v>2.2255</v>
      </c>
      <c r="K29" s="23">
        <v>2.1277</v>
      </c>
      <c r="L29" s="23">
        <v>2.526</v>
      </c>
      <c r="M29" s="23">
        <v>2.475</v>
      </c>
      <c r="N29" s="24"/>
    </row>
    <row r="30" spans="1:25" ht="18.75" customHeight="1">
      <c r="A30" s="52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50</v>
      </c>
      <c r="B32" s="56">
        <f>B33*B34</f>
        <v>3257.0800000000004</v>
      </c>
      <c r="C32" s="56">
        <f aca="true" t="shared" si="10" ref="C32:M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 t="shared" si="10"/>
        <v>1271.16</v>
      </c>
      <c r="M32" s="56">
        <f t="shared" si="10"/>
        <v>719.0400000000001</v>
      </c>
      <c r="N32" s="25">
        <f>SUM(B32:M32)</f>
        <v>25436.04</v>
      </c>
    </row>
    <row r="33" spans="1:25" ht="18.75" customHeight="1">
      <c r="A33" s="52" t="s">
        <v>51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52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53</v>
      </c>
      <c r="B36" s="60">
        <f>B37+B38+B39+B40</f>
        <v>994980.9857085401</v>
      </c>
      <c r="C36" s="60">
        <f aca="true" t="shared" si="11" ref="C36:M36">C37+C38+C39+C40</f>
        <v>553444.6393825</v>
      </c>
      <c r="D36" s="60">
        <f t="shared" si="11"/>
        <v>687734.1922297002</v>
      </c>
      <c r="E36" s="60">
        <f t="shared" si="11"/>
        <v>104075.02677439999</v>
      </c>
      <c r="F36" s="60">
        <f t="shared" si="11"/>
        <v>680488.85138015</v>
      </c>
      <c r="G36" s="60">
        <f t="shared" si="11"/>
        <v>862083.4304000001</v>
      </c>
      <c r="H36" s="60">
        <f t="shared" si="11"/>
        <v>913658.2894000001</v>
      </c>
      <c r="I36" s="60">
        <f t="shared" si="11"/>
        <v>789958.8751322</v>
      </c>
      <c r="J36" s="60">
        <f t="shared" si="11"/>
        <v>627884.1807943999</v>
      </c>
      <c r="K36" s="60">
        <f t="shared" si="11"/>
        <v>760227.92504864</v>
      </c>
      <c r="L36" s="60">
        <f t="shared" si="11"/>
        <v>367263.56761901994</v>
      </c>
      <c r="M36" s="60">
        <f t="shared" si="11"/>
        <v>217243.02756864</v>
      </c>
      <c r="N36" s="60">
        <f>N37+N38+N39+N40</f>
        <v>7559042.99143819</v>
      </c>
    </row>
    <row r="37" spans="1:14" ht="18.75" customHeight="1">
      <c r="A37" s="57" t="s">
        <v>54</v>
      </c>
      <c r="B37" s="54">
        <f aca="true" t="shared" si="12" ref="B37:M37">B29*B7</f>
        <v>994105.4211000002</v>
      </c>
      <c r="C37" s="54">
        <f t="shared" si="12"/>
        <v>552659.57</v>
      </c>
      <c r="D37" s="54">
        <f t="shared" si="12"/>
        <v>677398.1108</v>
      </c>
      <c r="E37" s="54">
        <f t="shared" si="12"/>
        <v>103679.79719999999</v>
      </c>
      <c r="F37" s="54">
        <f t="shared" si="12"/>
        <v>680310.3879</v>
      </c>
      <c r="G37" s="54">
        <f t="shared" si="12"/>
        <v>861962.4627</v>
      </c>
      <c r="H37" s="54">
        <f t="shared" si="12"/>
        <v>913287.2366000001</v>
      </c>
      <c r="I37" s="54">
        <f t="shared" si="12"/>
        <v>785616.1039999999</v>
      </c>
      <c r="J37" s="54">
        <f t="shared" si="12"/>
        <v>624048.004</v>
      </c>
      <c r="K37" s="54">
        <f t="shared" si="12"/>
        <v>755788.8278</v>
      </c>
      <c r="L37" s="54">
        <f t="shared" si="12"/>
        <v>367063.164</v>
      </c>
      <c r="M37" s="54">
        <f t="shared" si="12"/>
        <v>217166.4</v>
      </c>
      <c r="N37" s="56">
        <f>SUM(B37:M37)</f>
        <v>7533085.4861</v>
      </c>
    </row>
    <row r="38" spans="1:14" ht="18.75" customHeight="1">
      <c r="A38" s="57" t="s">
        <v>55</v>
      </c>
      <c r="B38" s="54">
        <f aca="true" t="shared" si="13" ref="B38:M38">B30*B7</f>
        <v>-2947.97539146</v>
      </c>
      <c r="C38" s="54">
        <f t="shared" si="13"/>
        <v>-1607.4506175</v>
      </c>
      <c r="D38" s="54">
        <f t="shared" si="13"/>
        <v>-2012.3785702999999</v>
      </c>
      <c r="E38" s="54">
        <f t="shared" si="13"/>
        <v>-251.0504256</v>
      </c>
      <c r="F38" s="54">
        <f t="shared" si="13"/>
        <v>-1982.93651985</v>
      </c>
      <c r="G38" s="54">
        <f t="shared" si="13"/>
        <v>-2541.1923</v>
      </c>
      <c r="H38" s="54">
        <f t="shared" si="13"/>
        <v>-2526.5072</v>
      </c>
      <c r="I38" s="54">
        <f t="shared" si="13"/>
        <v>-2261.5088678</v>
      </c>
      <c r="J38" s="54">
        <f t="shared" si="13"/>
        <v>-1784.9932056</v>
      </c>
      <c r="K38" s="54">
        <f t="shared" si="13"/>
        <v>-2220.17275136</v>
      </c>
      <c r="L38" s="54">
        <f t="shared" si="13"/>
        <v>-1070.75638098</v>
      </c>
      <c r="M38" s="54">
        <f t="shared" si="13"/>
        <v>-642.41243136</v>
      </c>
      <c r="N38" s="25">
        <f>SUM(B38:M38)</f>
        <v>-21849.334661810004</v>
      </c>
    </row>
    <row r="39" spans="1:14" ht="18.75" customHeight="1">
      <c r="A39" s="57" t="s">
        <v>56</v>
      </c>
      <c r="B39" s="54">
        <f aca="true" t="shared" si="14" ref="B39:M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25436.04</v>
      </c>
    </row>
    <row r="40" spans="1:25" ht="18.75" customHeight="1">
      <c r="A40" s="2" t="s">
        <v>57</v>
      </c>
      <c r="B40" s="54">
        <v>566.46</v>
      </c>
      <c r="C40" s="54">
        <v>0</v>
      </c>
      <c r="D40" s="54">
        <v>10187.06</v>
      </c>
      <c r="E40" s="54">
        <v>0</v>
      </c>
      <c r="F40" s="54">
        <v>0</v>
      </c>
      <c r="G40" s="54">
        <v>0</v>
      </c>
      <c r="H40" s="54">
        <v>0</v>
      </c>
      <c r="I40" s="54">
        <v>4057.68</v>
      </c>
      <c r="J40" s="54">
        <v>3502.57</v>
      </c>
      <c r="K40" s="54">
        <v>4057.03</v>
      </c>
      <c r="L40" s="54">
        <v>0</v>
      </c>
      <c r="M40" s="54">
        <v>0</v>
      </c>
      <c r="N40" s="56">
        <f>SUM(B40:M40)</f>
        <v>22370.8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58</v>
      </c>
      <c r="B42" s="25">
        <f>+B43+B46+B58+B59</f>
        <v>-174034.57</v>
      </c>
      <c r="C42" s="25">
        <f aca="true" t="shared" si="15" ref="C42:M42">+C43+C46+C58+C59</f>
        <v>71270.88999999998</v>
      </c>
      <c r="D42" s="25">
        <f t="shared" si="15"/>
        <v>-123846.33</v>
      </c>
      <c r="E42" s="25">
        <f t="shared" si="15"/>
        <v>-18808.679999999997</v>
      </c>
      <c r="F42" s="25">
        <f t="shared" si="15"/>
        <v>87223.68</v>
      </c>
      <c r="G42" s="25">
        <f t="shared" si="15"/>
        <v>-70205.02000000002</v>
      </c>
      <c r="H42" s="25">
        <f t="shared" si="15"/>
        <v>47299.65000000002</v>
      </c>
      <c r="I42" s="25">
        <f t="shared" si="15"/>
        <v>-15151.190000000002</v>
      </c>
      <c r="J42" s="25">
        <f t="shared" si="15"/>
        <v>-126122.78</v>
      </c>
      <c r="K42" s="25">
        <f t="shared" si="15"/>
        <v>-14216.160000000003</v>
      </c>
      <c r="L42" s="25">
        <f t="shared" si="15"/>
        <v>-80995.32</v>
      </c>
      <c r="M42" s="25">
        <f t="shared" si="15"/>
        <v>-48622.270000000004</v>
      </c>
      <c r="N42" s="25">
        <f>+N43+N46+N58+N59</f>
        <v>-466208.0999999996</v>
      </c>
    </row>
    <row r="43" spans="1:14" ht="18.75" customHeight="1">
      <c r="A43" s="17" t="s">
        <v>59</v>
      </c>
      <c r="B43" s="26">
        <f>B44+B45</f>
        <v>-72390</v>
      </c>
      <c r="C43" s="26">
        <f>C44+C45</f>
        <v>-56418.6</v>
      </c>
      <c r="D43" s="26">
        <f>D44+D45</f>
        <v>-54457.8</v>
      </c>
      <c r="E43" s="26">
        <f>E44+E45</f>
        <v>-4685.4</v>
      </c>
      <c r="F43" s="26">
        <f aca="true" t="shared" si="16" ref="F43:M43">F44+F45</f>
        <v>-44893.2</v>
      </c>
      <c r="G43" s="26">
        <f t="shared" si="16"/>
        <v>-84664</v>
      </c>
      <c r="H43" s="26">
        <f t="shared" si="16"/>
        <v>-95376.2</v>
      </c>
      <c r="I43" s="26">
        <f t="shared" si="16"/>
        <v>-46960.4</v>
      </c>
      <c r="J43" s="26">
        <f t="shared" si="16"/>
        <v>-57722</v>
      </c>
      <c r="K43" s="26">
        <f t="shared" si="16"/>
        <v>-46740</v>
      </c>
      <c r="L43" s="26">
        <f t="shared" si="16"/>
        <v>-30685</v>
      </c>
      <c r="M43" s="26">
        <f t="shared" si="16"/>
        <v>-20778.4</v>
      </c>
      <c r="N43" s="25">
        <f aca="true" t="shared" si="17" ref="N43:N59">SUM(B43:M43)</f>
        <v>-615771.0000000001</v>
      </c>
    </row>
    <row r="44" spans="1:25" ht="18.75" customHeight="1">
      <c r="A44" s="13" t="s">
        <v>60</v>
      </c>
      <c r="B44" s="20">
        <f>ROUND(-B9*$D$3,2)</f>
        <v>-72390</v>
      </c>
      <c r="C44" s="20">
        <f>ROUND(-C9*$D$3,2)</f>
        <v>-56418.6</v>
      </c>
      <c r="D44" s="20">
        <f>ROUND(-D9*$D$3,2)</f>
        <v>-54457.8</v>
      </c>
      <c r="E44" s="20">
        <f>ROUND(-E9*$D$3,2)</f>
        <v>-4685.4</v>
      </c>
      <c r="F44" s="20">
        <f aca="true" t="shared" si="18" ref="F44:M44">ROUND(-F9*$D$3,2)</f>
        <v>-44893.2</v>
      </c>
      <c r="G44" s="20">
        <f t="shared" si="18"/>
        <v>-84664</v>
      </c>
      <c r="H44" s="20">
        <f t="shared" si="18"/>
        <v>-95376.2</v>
      </c>
      <c r="I44" s="20">
        <f t="shared" si="18"/>
        <v>-46960.4</v>
      </c>
      <c r="J44" s="20">
        <f t="shared" si="18"/>
        <v>-57722</v>
      </c>
      <c r="K44" s="20">
        <f t="shared" si="18"/>
        <v>-46740</v>
      </c>
      <c r="L44" s="20">
        <f t="shared" si="18"/>
        <v>-30685</v>
      </c>
      <c r="M44" s="20">
        <f t="shared" si="18"/>
        <v>-20778.4</v>
      </c>
      <c r="N44" s="46">
        <f t="shared" si="17"/>
        <v>-615771.0000000001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>SUM(B47:B57)</f>
        <v>-148200.54</v>
      </c>
      <c r="C46" s="26">
        <f aca="true" t="shared" si="20" ref="C46:N46">SUM(C47:C57)</f>
        <v>-104248.04000000001</v>
      </c>
      <c r="D46" s="26">
        <f t="shared" si="20"/>
        <v>-103709.42</v>
      </c>
      <c r="E46" s="26">
        <f t="shared" si="20"/>
        <v>-21556.51</v>
      </c>
      <c r="F46" s="26">
        <f t="shared" si="20"/>
        <v>-102739.48</v>
      </c>
      <c r="G46" s="26">
        <f t="shared" si="20"/>
        <v>-128363.27</v>
      </c>
      <c r="H46" s="26">
        <f t="shared" si="20"/>
        <v>-134229.71</v>
      </c>
      <c r="I46" s="26">
        <f t="shared" si="20"/>
        <v>-119437.39</v>
      </c>
      <c r="J46" s="26">
        <f t="shared" si="20"/>
        <v>-95576.13</v>
      </c>
      <c r="K46" s="26">
        <f t="shared" si="20"/>
        <v>-115787.59</v>
      </c>
      <c r="L46" s="26">
        <f t="shared" si="20"/>
        <v>-51313.63</v>
      </c>
      <c r="M46" s="26">
        <f t="shared" si="20"/>
        <v>-30634.21</v>
      </c>
      <c r="N46" s="26">
        <f t="shared" si="20"/>
        <v>-1155795.92</v>
      </c>
    </row>
    <row r="47" spans="1:25" ht="18.75" customHeight="1">
      <c r="A47" s="13" t="s">
        <v>63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6" t="s">
        <v>100</v>
      </c>
      <c r="B54" s="24">
        <f>-324.86-1396.13</f>
        <v>-1720.9900000000002</v>
      </c>
      <c r="C54" s="24">
        <f>-364.93-917.87</f>
        <v>-1282.8</v>
      </c>
      <c r="D54" s="24">
        <v>-1104.85</v>
      </c>
      <c r="E54" s="24">
        <v>-230.7</v>
      </c>
      <c r="F54" s="24">
        <v>-1117.82</v>
      </c>
      <c r="G54" s="24">
        <v>-1444.42</v>
      </c>
      <c r="H54" s="24">
        <f>-1220.87-326.18</f>
        <v>-1547.05</v>
      </c>
      <c r="I54" s="24">
        <v>-1340.34</v>
      </c>
      <c r="J54" s="24">
        <v>-1025.48</v>
      </c>
      <c r="K54" s="24">
        <v>-1206.16</v>
      </c>
      <c r="L54" s="24">
        <v>-661.97</v>
      </c>
      <c r="M54" s="24">
        <v>-330.87</v>
      </c>
      <c r="N54" s="24">
        <f t="shared" si="17"/>
        <v>-13013.449999999999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6" t="s">
        <v>101</v>
      </c>
      <c r="B55" s="24">
        <v>1031.85</v>
      </c>
      <c r="C55" s="24">
        <v>-1230.86</v>
      </c>
      <c r="D55" s="24"/>
      <c r="E55" s="24">
        <v>-421.17</v>
      </c>
      <c r="F55" s="24">
        <v>-1175.71</v>
      </c>
      <c r="G55" s="24">
        <v>-107.57</v>
      </c>
      <c r="H55" s="24">
        <v>-412.75</v>
      </c>
      <c r="I55" s="24">
        <v>-191.55</v>
      </c>
      <c r="J55" s="24">
        <v>0</v>
      </c>
      <c r="K55" s="24">
        <v>2.98</v>
      </c>
      <c r="L55" s="24">
        <v>450.27</v>
      </c>
      <c r="M55" s="24">
        <v>275.26</v>
      </c>
      <c r="N55" s="24">
        <f t="shared" si="17"/>
        <v>-1779.2500000000002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6" t="s">
        <v>101</v>
      </c>
      <c r="B56" s="24">
        <v>0</v>
      </c>
      <c r="C56" s="24">
        <v>154.94</v>
      </c>
      <c r="D56" s="24">
        <v>710.59</v>
      </c>
      <c r="E56" s="24"/>
      <c r="F56" s="24"/>
      <c r="G56" s="24"/>
      <c r="H56" s="24">
        <v>262.8</v>
      </c>
      <c r="I56" s="24"/>
      <c r="J56" s="24">
        <v>650.92</v>
      </c>
      <c r="K56" s="24"/>
      <c r="L56" s="24"/>
      <c r="M56" s="24"/>
      <c r="N56" s="24">
        <f t="shared" si="17"/>
        <v>1779.25</v>
      </c>
      <c r="O56"/>
      <c r="P56"/>
      <c r="Q56"/>
      <c r="R56"/>
      <c r="S56"/>
      <c r="T56"/>
      <c r="U56"/>
      <c r="V56"/>
      <c r="W56"/>
      <c r="X56"/>
      <c r="Y56"/>
    </row>
    <row r="57" spans="1:25" ht="18.75" customHeight="1">
      <c r="A57" s="16" t="s">
        <v>102</v>
      </c>
      <c r="B57" s="24">
        <v>-147511.4</v>
      </c>
      <c r="C57" s="24">
        <v>-101889.32</v>
      </c>
      <c r="D57" s="24">
        <v>-103315.16</v>
      </c>
      <c r="E57" s="24">
        <v>-20904.64</v>
      </c>
      <c r="F57" s="24">
        <v>-100445.95</v>
      </c>
      <c r="G57" s="24">
        <v>-126811.28</v>
      </c>
      <c r="H57" s="24">
        <v>-132032.71</v>
      </c>
      <c r="I57" s="24">
        <v>-117905.5</v>
      </c>
      <c r="J57" s="24">
        <v>-95201.57</v>
      </c>
      <c r="K57" s="24">
        <v>-114584.41</v>
      </c>
      <c r="L57" s="24">
        <v>-51101.93</v>
      </c>
      <c r="M57" s="24">
        <v>-30578.6</v>
      </c>
      <c r="N57" s="24">
        <f t="shared" si="17"/>
        <v>-1142282.47</v>
      </c>
      <c r="O57"/>
      <c r="P57"/>
      <c r="Q57"/>
      <c r="R57"/>
      <c r="S57"/>
      <c r="T57"/>
      <c r="U57"/>
      <c r="V57"/>
      <c r="W57"/>
      <c r="X57"/>
      <c r="Y57"/>
    </row>
    <row r="58" spans="1:25" ht="18.75" customHeight="1">
      <c r="A58" s="17" t="s">
        <v>105</v>
      </c>
      <c r="B58" s="27">
        <v>46555.97</v>
      </c>
      <c r="C58" s="27">
        <v>231937.53</v>
      </c>
      <c r="D58" s="27">
        <v>34320.89</v>
      </c>
      <c r="E58" s="27">
        <v>7433.23</v>
      </c>
      <c r="F58" s="27">
        <v>234856.36</v>
      </c>
      <c r="G58" s="27">
        <v>142822.25</v>
      </c>
      <c r="H58" s="27">
        <v>276905.56</v>
      </c>
      <c r="I58" s="27">
        <v>151246.6</v>
      </c>
      <c r="J58" s="27">
        <v>27175.35</v>
      </c>
      <c r="K58" s="27">
        <v>148311.43</v>
      </c>
      <c r="L58" s="27">
        <v>1003.31</v>
      </c>
      <c r="M58" s="27">
        <v>2790.34</v>
      </c>
      <c r="N58" s="24">
        <f t="shared" si="17"/>
        <v>1305358.8200000003</v>
      </c>
      <c r="O58"/>
      <c r="P58"/>
      <c r="Q58"/>
      <c r="R58"/>
      <c r="S58"/>
      <c r="T58"/>
      <c r="U58"/>
      <c r="V58"/>
      <c r="W58"/>
      <c r="X58"/>
      <c r="Y58"/>
    </row>
    <row r="59" spans="1:25" ht="18.75" customHeight="1">
      <c r="A59" s="17" t="s">
        <v>70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4">
        <f t="shared" si="17"/>
        <v>0</v>
      </c>
      <c r="O59"/>
      <c r="P59"/>
      <c r="Q59"/>
      <c r="R59"/>
      <c r="S59"/>
      <c r="T59"/>
      <c r="U59"/>
      <c r="V59"/>
      <c r="W59"/>
      <c r="X59"/>
      <c r="Y59"/>
    </row>
    <row r="60" spans="1:14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20"/>
    </row>
    <row r="61" spans="1:25" ht="15.75">
      <c r="A61" s="2" t="s">
        <v>71</v>
      </c>
      <c r="B61" s="29">
        <f aca="true" t="shared" si="21" ref="B61:M61">+B36+B42</f>
        <v>820946.41570854</v>
      </c>
      <c r="C61" s="29">
        <f t="shared" si="21"/>
        <v>624715.5293825</v>
      </c>
      <c r="D61" s="29">
        <f t="shared" si="21"/>
        <v>563887.8622297002</v>
      </c>
      <c r="E61" s="29">
        <f t="shared" si="21"/>
        <v>85266.3467744</v>
      </c>
      <c r="F61" s="29">
        <f t="shared" si="21"/>
        <v>767712.53138015</v>
      </c>
      <c r="G61" s="29">
        <f t="shared" si="21"/>
        <v>791878.4104</v>
      </c>
      <c r="H61" s="29">
        <f t="shared" si="21"/>
        <v>960957.9394000001</v>
      </c>
      <c r="I61" s="29">
        <f t="shared" si="21"/>
        <v>774807.6851321999</v>
      </c>
      <c r="J61" s="29">
        <f t="shared" si="21"/>
        <v>501761.4007943999</v>
      </c>
      <c r="K61" s="29">
        <f t="shared" si="21"/>
        <v>746011.76504864</v>
      </c>
      <c r="L61" s="29">
        <f t="shared" si="21"/>
        <v>286268.24761901994</v>
      </c>
      <c r="M61" s="29">
        <f t="shared" si="21"/>
        <v>168620.75756864</v>
      </c>
      <c r="N61" s="29">
        <f>SUM(B61:M61)</f>
        <v>7092834.891438189</v>
      </c>
      <c r="O61"/>
      <c r="P61"/>
      <c r="Q61"/>
      <c r="R61"/>
      <c r="S61"/>
      <c r="T61"/>
      <c r="U61"/>
      <c r="V61"/>
      <c r="W61"/>
      <c r="X61"/>
      <c r="Y61"/>
    </row>
    <row r="62" spans="1:14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8"/>
    </row>
    <row r="63" spans="1:14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1"/>
    </row>
    <row r="64" spans="1:14" ht="18.75" customHeight="1">
      <c r="A64" s="2" t="s">
        <v>72</v>
      </c>
      <c r="B64" s="36">
        <f>SUM(B65:B78)</f>
        <v>820946.41</v>
      </c>
      <c r="C64" s="36">
        <f aca="true" t="shared" si="22" ref="C64:M64">SUM(C65:C78)</f>
        <v>624715.53</v>
      </c>
      <c r="D64" s="36">
        <f t="shared" si="22"/>
        <v>563887.86</v>
      </c>
      <c r="E64" s="36">
        <f t="shared" si="22"/>
        <v>85266.34999999999</v>
      </c>
      <c r="F64" s="36">
        <f t="shared" si="22"/>
        <v>767712.53</v>
      </c>
      <c r="G64" s="36">
        <f t="shared" si="22"/>
        <v>791878.41</v>
      </c>
      <c r="H64" s="36">
        <f t="shared" si="22"/>
        <v>960957.9299999999</v>
      </c>
      <c r="I64" s="36">
        <f t="shared" si="22"/>
        <v>774807.68</v>
      </c>
      <c r="J64" s="36">
        <f t="shared" si="22"/>
        <v>501761.39999999997</v>
      </c>
      <c r="K64" s="36">
        <f t="shared" si="22"/>
        <v>746011.77</v>
      </c>
      <c r="L64" s="36">
        <f t="shared" si="22"/>
        <v>286268.24</v>
      </c>
      <c r="M64" s="36">
        <f t="shared" si="22"/>
        <v>168620.76</v>
      </c>
      <c r="N64" s="29">
        <f>SUM(N65:N78)</f>
        <v>7092834.870000001</v>
      </c>
    </row>
    <row r="65" spans="1:16" ht="18.75" customHeight="1">
      <c r="A65" s="17" t="s">
        <v>73</v>
      </c>
      <c r="B65" s="36">
        <f>566.46+152300.88+1747.31+231.8</f>
        <v>154846.44999999998</v>
      </c>
      <c r="C65" s="36">
        <f>148241.63+15646.29+154.94</f>
        <v>164042.86000000002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9">
        <f>SUM(B65:M65)</f>
        <v>318889.31</v>
      </c>
      <c r="O65"/>
      <c r="P65" s="73"/>
    </row>
    <row r="66" spans="1:15" ht="18.75" customHeight="1">
      <c r="A66" s="17" t="s">
        <v>74</v>
      </c>
      <c r="B66" s="36">
        <f>620491.25+44808.66+800.05</f>
        <v>666099.9600000001</v>
      </c>
      <c r="C66" s="36">
        <f>244381.43+216291.24</f>
        <v>460672.67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aca="true" t="shared" si="23" ref="N66:N77">SUM(B66:M66)</f>
        <v>1126772.6300000001</v>
      </c>
      <c r="O66"/>
    </row>
    <row r="67" spans="1:16" ht="18.75" customHeight="1">
      <c r="A67" s="17" t="s">
        <v>75</v>
      </c>
      <c r="B67" s="35">
        <v>0</v>
      </c>
      <c r="C67" s="35">
        <v>0</v>
      </c>
      <c r="D67" s="26">
        <f>10187.06+518669.32+34320.89+710.59</f>
        <v>563887.86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6">
        <f t="shared" si="23"/>
        <v>563887.86</v>
      </c>
      <c r="P67"/>
    </row>
    <row r="68" spans="1:17" ht="18.75" customHeight="1">
      <c r="A68" s="17" t="s">
        <v>76</v>
      </c>
      <c r="B68" s="35">
        <v>0</v>
      </c>
      <c r="C68" s="35">
        <v>0</v>
      </c>
      <c r="D68" s="35">
        <v>0</v>
      </c>
      <c r="E68" s="26">
        <f>77833.12+7433.23</f>
        <v>85266.34999999999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85266.34999999999</v>
      </c>
      <c r="Q68"/>
    </row>
    <row r="69" spans="1:18" ht="18.75" customHeight="1">
      <c r="A69" s="17" t="s">
        <v>77</v>
      </c>
      <c r="B69" s="35">
        <v>0</v>
      </c>
      <c r="C69" s="35">
        <v>0</v>
      </c>
      <c r="D69" s="35">
        <v>0</v>
      </c>
      <c r="E69" s="35">
        <v>0</v>
      </c>
      <c r="F69" s="26">
        <f>532856.17+234856.36</f>
        <v>767712.53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767712.53</v>
      </c>
      <c r="R69"/>
    </row>
    <row r="70" spans="1:19" ht="18.75" customHeight="1">
      <c r="A70" s="17" t="s">
        <v>78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f>649056.16+142822.25</f>
        <v>791878.41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29">
        <f t="shared" si="23"/>
        <v>791878.41</v>
      </c>
      <c r="S70"/>
    </row>
    <row r="71" spans="1:20" ht="18.75" customHeight="1">
      <c r="A71" s="17" t="s">
        <v>79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f>534819.73+276151.72</f>
        <v>810971.45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29">
        <f t="shared" si="23"/>
        <v>810971.45</v>
      </c>
      <c r="T71"/>
    </row>
    <row r="72" spans="1:20" ht="18.75" customHeight="1">
      <c r="A72" s="17" t="s">
        <v>80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6">
        <f>148969.84+753.84+262.8</f>
        <v>149986.47999999998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29">
        <f t="shared" si="23"/>
        <v>149986.47999999998</v>
      </c>
      <c r="T72"/>
    </row>
    <row r="73" spans="1:21" ht="18.75" customHeight="1">
      <c r="A73" s="17" t="s">
        <v>81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26">
        <f>619503.4+151246.6+4057.68</f>
        <v>774807.68</v>
      </c>
      <c r="J73" s="35">
        <v>0</v>
      </c>
      <c r="K73" s="35">
        <v>0</v>
      </c>
      <c r="L73" s="35">
        <v>0</v>
      </c>
      <c r="M73" s="35">
        <v>0</v>
      </c>
      <c r="N73" s="26">
        <f t="shared" si="23"/>
        <v>774807.68</v>
      </c>
      <c r="U73"/>
    </row>
    <row r="74" spans="1:22" ht="18.75" customHeight="1">
      <c r="A74" s="17" t="s">
        <v>82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26">
        <f>3502.57+470432.56+27175.35+650.92</f>
        <v>501761.39999999997</v>
      </c>
      <c r="K74" s="35">
        <v>0</v>
      </c>
      <c r="L74" s="35">
        <v>0</v>
      </c>
      <c r="M74" s="35">
        <v>0</v>
      </c>
      <c r="N74" s="29">
        <f t="shared" si="23"/>
        <v>501761.39999999997</v>
      </c>
      <c r="V74"/>
    </row>
    <row r="75" spans="1:23" ht="18.75" customHeight="1">
      <c r="A75" s="17" t="s">
        <v>83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26">
        <f>593643.31+148311.43+4057.03</f>
        <v>746011.77</v>
      </c>
      <c r="L75" s="35">
        <v>0</v>
      </c>
      <c r="M75" s="61"/>
      <c r="N75" s="26">
        <f t="shared" si="23"/>
        <v>746011.77</v>
      </c>
      <c r="W75"/>
    </row>
    <row r="76" spans="1:24" ht="18.75" customHeight="1">
      <c r="A76" s="17" t="s">
        <v>84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26">
        <f>284814.66+1003.31+450.27</f>
        <v>286268.24</v>
      </c>
      <c r="M76" s="35">
        <v>0</v>
      </c>
      <c r="N76" s="29">
        <f t="shared" si="23"/>
        <v>286268.24</v>
      </c>
      <c r="X76"/>
    </row>
    <row r="77" spans="1:25" ht="18.75" customHeight="1">
      <c r="A77" s="17" t="s">
        <v>85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26">
        <f>165830.42+2790.34</f>
        <v>168620.76</v>
      </c>
      <c r="N77" s="26">
        <f t="shared" si="23"/>
        <v>168620.76</v>
      </c>
      <c r="Y77"/>
    </row>
    <row r="78" spans="1:25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/>
      <c r="P78"/>
      <c r="Q78"/>
      <c r="R78"/>
      <c r="S78"/>
      <c r="T78"/>
      <c r="U78"/>
      <c r="V78"/>
      <c r="W78"/>
      <c r="X78"/>
      <c r="Y78"/>
    </row>
    <row r="79" spans="1:14" ht="17.25" customHeight="1">
      <c r="A79" s="66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</row>
    <row r="80" spans="1:14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9"/>
    </row>
    <row r="81" spans="1:14" ht="18.75" customHeight="1">
      <c r="A81" s="2" t="s">
        <v>104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29"/>
    </row>
    <row r="82" spans="1:15" ht="18.75" customHeight="1">
      <c r="A82" s="17" t="s">
        <v>86</v>
      </c>
      <c r="B82" s="44">
        <v>2.3307327567580693</v>
      </c>
      <c r="C82" s="44">
        <v>2.2129460038769193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9"/>
      <c r="O82"/>
    </row>
    <row r="83" spans="1:15" ht="18.75" customHeight="1">
      <c r="A83" s="17" t="s">
        <v>87</v>
      </c>
      <c r="B83" s="44">
        <v>2.0390575336199803</v>
      </c>
      <c r="C83" s="44">
        <v>1.9272156390716064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9"/>
      <c r="O83"/>
    </row>
    <row r="84" spans="1:16" ht="18.75" customHeight="1">
      <c r="A84" s="17" t="s">
        <v>88</v>
      </c>
      <c r="B84" s="44">
        <v>0</v>
      </c>
      <c r="C84" s="44">
        <v>0</v>
      </c>
      <c r="D84" s="22">
        <f>(D$37+D$38+D$39)/D$7</f>
        <v>1.8686109870259853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6"/>
      <c r="P84"/>
    </row>
    <row r="85" spans="1:17" ht="18.75" customHeight="1">
      <c r="A85" s="17" t="s">
        <v>89</v>
      </c>
      <c r="B85" s="44">
        <v>0</v>
      </c>
      <c r="C85" s="44">
        <v>0</v>
      </c>
      <c r="D85" s="44">
        <v>0</v>
      </c>
      <c r="E85" s="22">
        <f>(E$37+E$38+E$39)/E$7</f>
        <v>2.604089145133363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Q85"/>
    </row>
    <row r="86" spans="1:18" ht="18.75" customHeight="1">
      <c r="A86" s="17" t="s">
        <v>90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2.1818722129136567</v>
      </c>
      <c r="G86" s="35">
        <v>0</v>
      </c>
      <c r="H86" s="44">
        <v>0</v>
      </c>
      <c r="I86" s="44">
        <v>0</v>
      </c>
      <c r="J86" s="44">
        <v>0</v>
      </c>
      <c r="K86" s="35">
        <v>0</v>
      </c>
      <c r="L86" s="44">
        <v>0</v>
      </c>
      <c r="M86" s="44">
        <v>0</v>
      </c>
      <c r="N86" s="26"/>
      <c r="R86"/>
    </row>
    <row r="87" spans="1:19" ht="18.75" customHeight="1">
      <c r="A87" s="17" t="s">
        <v>91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1.730142773941193</v>
      </c>
      <c r="H87" s="44">
        <v>0</v>
      </c>
      <c r="I87" s="44">
        <v>0</v>
      </c>
      <c r="J87" s="44">
        <v>0</v>
      </c>
      <c r="K87" s="35">
        <v>0</v>
      </c>
      <c r="L87" s="44">
        <v>0</v>
      </c>
      <c r="M87" s="44">
        <v>0</v>
      </c>
      <c r="N87" s="29"/>
      <c r="S87"/>
    </row>
    <row r="88" spans="1:20" ht="18.75" customHeight="1">
      <c r="A88" s="17" t="s">
        <v>92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2.0349226738163777</v>
      </c>
      <c r="I88" s="44">
        <v>0</v>
      </c>
      <c r="J88" s="44">
        <v>0</v>
      </c>
      <c r="K88" s="35">
        <v>0</v>
      </c>
      <c r="L88" s="44">
        <v>0</v>
      </c>
      <c r="M88" s="44">
        <v>0</v>
      </c>
      <c r="N88" s="29"/>
      <c r="T88"/>
    </row>
    <row r="89" spans="1:20" ht="18.75" customHeight="1">
      <c r="A89" s="17" t="s">
        <v>93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1.9914399551551867</v>
      </c>
      <c r="I89" s="44">
        <v>0</v>
      </c>
      <c r="J89" s="44">
        <v>0</v>
      </c>
      <c r="K89" s="35">
        <v>0</v>
      </c>
      <c r="L89" s="44">
        <v>0</v>
      </c>
      <c r="M89" s="44">
        <v>0</v>
      </c>
      <c r="N89" s="29"/>
      <c r="T89"/>
    </row>
    <row r="90" spans="1:21" ht="18.75" customHeight="1">
      <c r="A90" s="17" t="s">
        <v>94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f>(I$37+I$38+I$39)/I$7</f>
        <v>1.9767170678838668</v>
      </c>
      <c r="J90" s="44">
        <v>0</v>
      </c>
      <c r="K90" s="35">
        <v>0</v>
      </c>
      <c r="L90" s="44">
        <v>0</v>
      </c>
      <c r="M90" s="44">
        <v>0</v>
      </c>
      <c r="N90" s="26"/>
      <c r="U90"/>
    </row>
    <row r="91" spans="1:22" ht="18.75" customHeight="1">
      <c r="A91" s="17" t="s">
        <v>95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f>(J$37+J$38+J$39)/J$7</f>
        <v>2.226689719246241</v>
      </c>
      <c r="K91" s="35">
        <v>0</v>
      </c>
      <c r="L91" s="44">
        <v>0</v>
      </c>
      <c r="M91" s="44">
        <v>0</v>
      </c>
      <c r="N91" s="29"/>
      <c r="V91"/>
    </row>
    <row r="92" spans="1:23" ht="18.75" customHeight="1">
      <c r="A92" s="17" t="s">
        <v>96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22">
        <f>(K$37+K$38+K$39)/K$7</f>
        <v>2.1287755973825355</v>
      </c>
      <c r="L92" s="44">
        <v>0</v>
      </c>
      <c r="M92" s="44">
        <v>0</v>
      </c>
      <c r="N92" s="26"/>
      <c r="W92"/>
    </row>
    <row r="93" spans="1:24" ht="18.75" customHeight="1">
      <c r="A93" s="17" t="s">
        <v>97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f>(L$37+L$38+L$39)/L$7</f>
        <v>2.527379107443329</v>
      </c>
      <c r="M93" s="44">
        <v>0</v>
      </c>
      <c r="N93" s="62"/>
      <c r="X93"/>
    </row>
    <row r="94" spans="1:25" ht="18.75" customHeight="1">
      <c r="A94" s="34" t="s">
        <v>98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9">
        <f>(M$37+M$38+M$39)/M$7</f>
        <v>2.4758733083588624</v>
      </c>
      <c r="N94" s="50"/>
      <c r="Y94"/>
    </row>
    <row r="95" spans="1:13" ht="84.75" customHeight="1">
      <c r="A95" s="72" t="s">
        <v>103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8" ht="14.25">
      <c r="B98" s="40"/>
    </row>
    <row r="99" ht="14.25">
      <c r="H99" s="41"/>
    </row>
    <row r="100" ht="14.25"/>
    <row r="101" spans="8:11" ht="14.25">
      <c r="H101" s="42"/>
      <c r="I101" s="43"/>
      <c r="J101" s="43"/>
      <c r="K101" s="43"/>
    </row>
  </sheetData>
  <sheetProtection/>
  <mergeCells count="7">
    <mergeCell ref="A95:M95"/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2017-08-28T19:15:39Z</dcterms:modified>
  <cp:category/>
  <cp:version/>
  <cp:contentType/>
  <cp:contentStatus/>
</cp:coreProperties>
</file>