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<sst xmlns="http://schemas.openxmlformats.org/spreadsheetml/2006/main" count="109" uniqueCount="107">
  <si>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</si>
  <si>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</si>
  <si>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</si>
  <si>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</si>
  <si>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</si>
  <si>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</si>
  <si>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</si>
  <si>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</si>
  <si>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</si>
  <si>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</si>
  <si>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</si>
  <si>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</si>
  <si>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</si>
  <si>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</si>
  <si>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</si>
  <si>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</si>
  <si>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</si>
  <si>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</si>
  <si>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</si>
  <si>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</si>
  <si>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</si>
  <si>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</si>
  <si>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</si>
  <si>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</si>
  <si>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</si>
  <si>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</si>
  <si>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</si>
  <si>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</si>
  <si>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</si>
  <si>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</si>
  <si>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</si>
  <si>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</si>
  <si>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</si>
  <si>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</si>
  <si>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</si>
  <si>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</si>
  <si>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</si>
  <si>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</si>
  <si>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</si>
  <si>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</si>
  <si>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</si>
  <si>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</si>
  <si>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</si>
  <si>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</si>
  <si>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</si>
  <si>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</si>
  <si>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</si>
  <si>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</si>
  <si>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</si>
  <si>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</si>
  <si>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</si>
  <si>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</si>
  <si>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</si>
  <si>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</si>
  <si>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</si>
  <si>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</si>
  <si>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</si>
  <si>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</si>
  <si>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</si>
  <si>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</si>
  <si>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</si>
  <si>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</si>
  <si>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</si>
  <si>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</si>
  <si>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</si>
  <si>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</si>
  <si>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</si>
  <si>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</si>
  <si>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</si>
  <si>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</si>
  <si>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</si>
  <si>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</si>
  <si>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</si>
  <si>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</si>
  <si>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</si>
  <si>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</si>
  <si>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</si>
  <si>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</si>
  <si>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</si>
  <si>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</si>
  <si>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</si>
  <si>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</si>
  <si>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</si>
  <si>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</si>
  <si>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</si>
  <si>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</si>
  <si>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</si>
  <si>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</si>
  <si>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</si>
  <si>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</si>
  <si>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</si>
  <si>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</si>
  <si>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</si>
  <si>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</si>
  <si>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</si>
  <si>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</si>
  <si>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</si>
  <si>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</si>
  <si>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</si>
  <si>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</si>
  <si>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02/08/17 - VENCIMENTO 09/08/17</t>
  </si>
  <si>
    <t>5.2.8. Ajuste de Remuneração Previsto Contratualmente (1)</t>
  </si>
  <si>
    <t>5.2.9. Revisão do Ajuste de Remuneração Previsto Contratualmente (2)</t>
  </si>
  <si>
    <t>5.2.10. Ajuste de Remuneração Previsto Contratualmente  Ar-condicionado (3)</t>
  </si>
  <si>
    <t>5.2.11. Ajuste de Remuneração Previsto Contratualmente  Ar-condicionado (3)</t>
  </si>
  <si>
    <t>8. Tarifa de Remuneração por Passageiro (4)</t>
  </si>
  <si>
    <t>Nota:  (1) Ajuste de remuneração previsto contratualmente, período de 26/06 a 24/07/17, parcela 04/20.
             (2) Revisão do ajuste de remuneração previsto contratualmente, período de 25/05 a 25/06/17.
             (3) Revisão de remuneração referente ao ar-condicionado, previsto contratualmente, períodos de 26/06 a 03/07/17 e de 04 a 24/07/17.
             (4)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</si>
</sst>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4022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4022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4022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503750</v>
      </c>
      <c r="C7" s="10">
        <f>C8+C20+C24</f>
        <v>362767</v>
      </c>
      <c r="D7" s="10">
        <f>D8+D20+D24</f>
        <v>384237</v>
      </c>
      <c r="E7" s="10">
        <f>E8+E20+E24</f>
        <v>49343</v>
      </c>
      <c r="F7" s="10">
        <f aca="true" t="shared" si="0" ref="F7:M7">F8+F20+F24</f>
        <v>329939</v>
      </c>
      <c r="G7" s="10">
        <f t="shared" si="0"/>
        <v>513236</v>
      </c>
      <c r="H7" s="10">
        <f t="shared" si="0"/>
        <v>469180</v>
      </c>
      <c r="I7" s="10">
        <f t="shared" si="0"/>
        <v>415968</v>
      </c>
      <c r="J7" s="10">
        <f t="shared" si="0"/>
        <v>298196</v>
      </c>
      <c r="K7" s="10">
        <f t="shared" si="0"/>
        <v>369589</v>
      </c>
      <c r="L7" s="10">
        <f t="shared" si="0"/>
        <v>149382</v>
      </c>
      <c r="M7" s="10">
        <f t="shared" si="0"/>
        <v>80949</v>
      </c>
      <c r="N7" s="10">
        <f>+N8+N20+N24</f>
        <v>3926536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219541</v>
      </c>
      <c r="C8" s="12">
        <f>+C9+C12+C16</f>
        <v>172163</v>
      </c>
      <c r="D8" s="12">
        <f>+D9+D12+D16</f>
        <v>191985</v>
      </c>
      <c r="E8" s="12">
        <f>+E9+E12+E16</f>
        <v>22670</v>
      </c>
      <c r="F8" s="12">
        <f aca="true" t="shared" si="1" ref="F8:M8">+F9+F12+F16</f>
        <v>152911</v>
      </c>
      <c r="G8" s="12">
        <f t="shared" si="1"/>
        <v>245400</v>
      </c>
      <c r="H8" s="12">
        <f t="shared" si="1"/>
        <v>216486</v>
      </c>
      <c r="I8" s="12">
        <f t="shared" si="1"/>
        <v>200625</v>
      </c>
      <c r="J8" s="12">
        <f t="shared" si="1"/>
        <v>143152</v>
      </c>
      <c r="K8" s="12">
        <f t="shared" si="1"/>
        <v>166546</v>
      </c>
      <c r="L8" s="12">
        <f t="shared" si="1"/>
        <v>76624</v>
      </c>
      <c r="M8" s="12">
        <f t="shared" si="1"/>
        <v>42921</v>
      </c>
      <c r="N8" s="12">
        <f>SUM(B8:M8)</f>
        <v>1851024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19363</v>
      </c>
      <c r="C9" s="14">
        <v>19442</v>
      </c>
      <c r="D9" s="14">
        <v>13275</v>
      </c>
      <c r="E9" s="14">
        <v>1290</v>
      </c>
      <c r="F9" s="14">
        <v>11297</v>
      </c>
      <c r="G9" s="14">
        <v>20848</v>
      </c>
      <c r="H9" s="14">
        <v>24943</v>
      </c>
      <c r="I9" s="14">
        <v>12064</v>
      </c>
      <c r="J9" s="14">
        <v>15588</v>
      </c>
      <c r="K9" s="14">
        <v>12310</v>
      </c>
      <c r="L9" s="14">
        <v>8473</v>
      </c>
      <c r="M9" s="14">
        <v>4803</v>
      </c>
      <c r="N9" s="12">
        <f aca="true" t="shared" si="2" ref="N9:N19">SUM(B9:M9)</f>
        <v>163696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19363</v>
      </c>
      <c r="C10" s="14">
        <f>+C9-C11</f>
        <v>19442</v>
      </c>
      <c r="D10" s="14">
        <f>+D9-D11</f>
        <v>13275</v>
      </c>
      <c r="E10" s="14">
        <f>+E9-E11</f>
        <v>1290</v>
      </c>
      <c r="F10" s="14">
        <f aca="true" t="shared" si="3" ref="F10:M10">+F9-F11</f>
        <v>11297</v>
      </c>
      <c r="G10" s="14">
        <f t="shared" si="3"/>
        <v>20848</v>
      </c>
      <c r="H10" s="14">
        <f t="shared" si="3"/>
        <v>24943</v>
      </c>
      <c r="I10" s="14">
        <f t="shared" si="3"/>
        <v>12064</v>
      </c>
      <c r="J10" s="14">
        <f t="shared" si="3"/>
        <v>15588</v>
      </c>
      <c r="K10" s="14">
        <f t="shared" si="3"/>
        <v>12310</v>
      </c>
      <c r="L10" s="14">
        <f t="shared" si="3"/>
        <v>8473</v>
      </c>
      <c r="M10" s="14">
        <f t="shared" si="3"/>
        <v>4803</v>
      </c>
      <c r="N10" s="12">
        <f t="shared" si="2"/>
        <v>163696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187675</v>
      </c>
      <c r="C12" s="14">
        <f>C13+C14+C15</f>
        <v>143736</v>
      </c>
      <c r="D12" s="14">
        <f>D13+D14+D15</f>
        <v>168878</v>
      </c>
      <c r="E12" s="14">
        <f>E13+E14+E15</f>
        <v>20131</v>
      </c>
      <c r="F12" s="14">
        <f aca="true" t="shared" si="4" ref="F12:M12">F13+F14+F15</f>
        <v>132931</v>
      </c>
      <c r="G12" s="14">
        <f t="shared" si="4"/>
        <v>209907</v>
      </c>
      <c r="H12" s="14">
        <f t="shared" si="4"/>
        <v>179625</v>
      </c>
      <c r="I12" s="14">
        <f t="shared" si="4"/>
        <v>176519</v>
      </c>
      <c r="J12" s="14">
        <f t="shared" si="4"/>
        <v>119555</v>
      </c>
      <c r="K12" s="14">
        <f t="shared" si="4"/>
        <v>143571</v>
      </c>
      <c r="L12" s="14">
        <f t="shared" si="4"/>
        <v>64197</v>
      </c>
      <c r="M12" s="14">
        <f t="shared" si="4"/>
        <v>36197</v>
      </c>
      <c r="N12" s="12">
        <f t="shared" si="2"/>
        <v>1582922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90360</v>
      </c>
      <c r="C13" s="14">
        <v>70906</v>
      </c>
      <c r="D13" s="14">
        <v>78121</v>
      </c>
      <c r="E13" s="14">
        <v>9435</v>
      </c>
      <c r="F13" s="14">
        <v>62082</v>
      </c>
      <c r="G13" s="14">
        <v>99427</v>
      </c>
      <c r="H13" s="14">
        <v>90425</v>
      </c>
      <c r="I13" s="14">
        <v>87581</v>
      </c>
      <c r="J13" s="14">
        <v>57506</v>
      </c>
      <c r="K13" s="14">
        <v>68788</v>
      </c>
      <c r="L13" s="14">
        <v>30146</v>
      </c>
      <c r="M13" s="14">
        <v>16410</v>
      </c>
      <c r="N13" s="12">
        <f t="shared" si="2"/>
        <v>761187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93562</v>
      </c>
      <c r="C14" s="14">
        <v>68397</v>
      </c>
      <c r="D14" s="14">
        <v>88187</v>
      </c>
      <c r="E14" s="14">
        <v>10153</v>
      </c>
      <c r="F14" s="14">
        <v>67844</v>
      </c>
      <c r="G14" s="14">
        <v>103634</v>
      </c>
      <c r="H14" s="14">
        <v>84847</v>
      </c>
      <c r="I14" s="14">
        <v>86696</v>
      </c>
      <c r="J14" s="14">
        <v>59336</v>
      </c>
      <c r="K14" s="14">
        <v>72016</v>
      </c>
      <c r="L14" s="14">
        <v>32649</v>
      </c>
      <c r="M14" s="14">
        <v>19199</v>
      </c>
      <c r="N14" s="12">
        <f t="shared" si="2"/>
        <v>786520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3753</v>
      </c>
      <c r="C15" s="14">
        <v>4433</v>
      </c>
      <c r="D15" s="14">
        <v>2570</v>
      </c>
      <c r="E15" s="14">
        <v>543</v>
      </c>
      <c r="F15" s="14">
        <v>3005</v>
      </c>
      <c r="G15" s="14">
        <v>6846</v>
      </c>
      <c r="H15" s="14">
        <v>4353</v>
      </c>
      <c r="I15" s="14">
        <v>2242</v>
      </c>
      <c r="J15" s="14">
        <v>2713</v>
      </c>
      <c r="K15" s="14">
        <v>2767</v>
      </c>
      <c r="L15" s="14">
        <v>1402</v>
      </c>
      <c r="M15" s="14">
        <v>588</v>
      </c>
      <c r="N15" s="12">
        <f t="shared" si="2"/>
        <v>35215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12503</v>
      </c>
      <c r="C16" s="14">
        <f>C17+C18+C19</f>
        <v>8985</v>
      </c>
      <c r="D16" s="14">
        <f>D17+D18+D19</f>
        <v>9832</v>
      </c>
      <c r="E16" s="14">
        <f>E17+E18+E19</f>
        <v>1249</v>
      </c>
      <c r="F16" s="14">
        <f aca="true" t="shared" si="5" ref="F16:M16">F17+F18+F19</f>
        <v>8683</v>
      </c>
      <c r="G16" s="14">
        <f t="shared" si="5"/>
        <v>14645</v>
      </c>
      <c r="H16" s="14">
        <f t="shared" si="5"/>
        <v>11918</v>
      </c>
      <c r="I16" s="14">
        <f t="shared" si="5"/>
        <v>12042</v>
      </c>
      <c r="J16" s="14">
        <f t="shared" si="5"/>
        <v>8009</v>
      </c>
      <c r="K16" s="14">
        <f t="shared" si="5"/>
        <v>10665</v>
      </c>
      <c r="L16" s="14">
        <f t="shared" si="5"/>
        <v>3954</v>
      </c>
      <c r="M16" s="14">
        <f t="shared" si="5"/>
        <v>1921</v>
      </c>
      <c r="N16" s="12">
        <f t="shared" si="2"/>
        <v>104406</v>
      </c>
    </row>
    <row r="17" spans="1:25" ht="18.75" customHeight="1">
      <c r="A17" s="15" t="s">
        <v>16</v>
      </c>
      <c r="B17" s="14">
        <v>12340</v>
      </c>
      <c r="C17" s="14">
        <v>8874</v>
      </c>
      <c r="D17" s="14">
        <v>9706</v>
      </c>
      <c r="E17" s="14">
        <v>1229</v>
      </c>
      <c r="F17" s="14">
        <v>8586</v>
      </c>
      <c r="G17" s="14">
        <v>14485</v>
      </c>
      <c r="H17" s="14">
        <v>11758</v>
      </c>
      <c r="I17" s="14">
        <v>11910</v>
      </c>
      <c r="J17" s="14">
        <v>7868</v>
      </c>
      <c r="K17" s="14">
        <v>10491</v>
      </c>
      <c r="L17" s="14">
        <v>3882</v>
      </c>
      <c r="M17" s="14">
        <v>1888</v>
      </c>
      <c r="N17" s="12">
        <f t="shared" si="2"/>
        <v>103017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163</v>
      </c>
      <c r="C18" s="14">
        <v>107</v>
      </c>
      <c r="D18" s="14">
        <v>120</v>
      </c>
      <c r="E18" s="14">
        <v>20</v>
      </c>
      <c r="F18" s="14">
        <v>95</v>
      </c>
      <c r="G18" s="14">
        <v>152</v>
      </c>
      <c r="H18" s="14">
        <v>159</v>
      </c>
      <c r="I18" s="14">
        <v>129</v>
      </c>
      <c r="J18" s="14">
        <v>139</v>
      </c>
      <c r="K18" s="14">
        <v>169</v>
      </c>
      <c r="L18" s="14">
        <v>70</v>
      </c>
      <c r="M18" s="14">
        <v>33</v>
      </c>
      <c r="N18" s="12">
        <f t="shared" si="2"/>
        <v>1356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0</v>
      </c>
      <c r="C19" s="14">
        <v>4</v>
      </c>
      <c r="D19" s="14">
        <v>6</v>
      </c>
      <c r="E19" s="14">
        <v>0</v>
      </c>
      <c r="F19" s="14">
        <v>2</v>
      </c>
      <c r="G19" s="14">
        <v>8</v>
      </c>
      <c r="H19" s="14">
        <v>1</v>
      </c>
      <c r="I19" s="14">
        <v>3</v>
      </c>
      <c r="J19" s="14">
        <v>2</v>
      </c>
      <c r="K19" s="14">
        <v>5</v>
      </c>
      <c r="L19" s="14">
        <v>2</v>
      </c>
      <c r="M19" s="14">
        <v>0</v>
      </c>
      <c r="N19" s="12">
        <f t="shared" si="2"/>
        <v>33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138185</v>
      </c>
      <c r="C20" s="18">
        <f>C21+C22+C23</f>
        <v>85837</v>
      </c>
      <c r="D20" s="18">
        <f>D21+D22+D23</f>
        <v>81283</v>
      </c>
      <c r="E20" s="18">
        <f>E21+E22+E23</f>
        <v>10186</v>
      </c>
      <c r="F20" s="18">
        <f aca="true" t="shared" si="6" ref="F20:M20">F21+F22+F23</f>
        <v>71839</v>
      </c>
      <c r="G20" s="18">
        <f t="shared" si="6"/>
        <v>111368</v>
      </c>
      <c r="H20" s="18">
        <f t="shared" si="6"/>
        <v>118207</v>
      </c>
      <c r="I20" s="18">
        <f t="shared" si="6"/>
        <v>109166</v>
      </c>
      <c r="J20" s="18">
        <f t="shared" si="6"/>
        <v>72785</v>
      </c>
      <c r="K20" s="18">
        <f t="shared" si="6"/>
        <v>112902</v>
      </c>
      <c r="L20" s="18">
        <f t="shared" si="6"/>
        <v>42750</v>
      </c>
      <c r="M20" s="18">
        <f t="shared" si="6"/>
        <v>22173</v>
      </c>
      <c r="N20" s="12">
        <f aca="true" t="shared" si="7" ref="N20:N26">SUM(B20:M20)</f>
        <v>976681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70404</v>
      </c>
      <c r="C21" s="14">
        <v>47113</v>
      </c>
      <c r="D21" s="14">
        <v>40513</v>
      </c>
      <c r="E21" s="14">
        <v>5426</v>
      </c>
      <c r="F21" s="14">
        <v>36674</v>
      </c>
      <c r="G21" s="14">
        <v>57681</v>
      </c>
      <c r="H21" s="14">
        <v>65429</v>
      </c>
      <c r="I21" s="14">
        <v>58992</v>
      </c>
      <c r="J21" s="14">
        <v>38436</v>
      </c>
      <c r="K21" s="14">
        <v>58423</v>
      </c>
      <c r="L21" s="14">
        <v>22156</v>
      </c>
      <c r="M21" s="14">
        <v>11227</v>
      </c>
      <c r="N21" s="12">
        <f t="shared" si="7"/>
        <v>512474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65828</v>
      </c>
      <c r="C22" s="14">
        <v>37066</v>
      </c>
      <c r="D22" s="14">
        <v>39786</v>
      </c>
      <c r="E22" s="14">
        <v>4563</v>
      </c>
      <c r="F22" s="14">
        <v>34018</v>
      </c>
      <c r="G22" s="14">
        <v>51373</v>
      </c>
      <c r="H22" s="14">
        <v>51104</v>
      </c>
      <c r="I22" s="14">
        <v>49054</v>
      </c>
      <c r="J22" s="14">
        <v>33261</v>
      </c>
      <c r="K22" s="14">
        <v>53024</v>
      </c>
      <c r="L22" s="14">
        <v>19940</v>
      </c>
      <c r="M22" s="14">
        <v>10650</v>
      </c>
      <c r="N22" s="12">
        <f t="shared" si="7"/>
        <v>449667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1953</v>
      </c>
      <c r="C23" s="14">
        <v>1658</v>
      </c>
      <c r="D23" s="14">
        <v>984</v>
      </c>
      <c r="E23" s="14">
        <v>197</v>
      </c>
      <c r="F23" s="14">
        <v>1147</v>
      </c>
      <c r="G23" s="14">
        <v>2314</v>
      </c>
      <c r="H23" s="14">
        <v>1674</v>
      </c>
      <c r="I23" s="14">
        <v>1120</v>
      </c>
      <c r="J23" s="14">
        <v>1088</v>
      </c>
      <c r="K23" s="14">
        <v>1455</v>
      </c>
      <c r="L23" s="14">
        <v>654</v>
      </c>
      <c r="M23" s="14">
        <v>296</v>
      </c>
      <c r="N23" s="12">
        <f t="shared" si="7"/>
        <v>14540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146024</v>
      </c>
      <c r="C24" s="14">
        <f>C25+C26</f>
        <v>104767</v>
      </c>
      <c r="D24" s="14">
        <f>D25+D26</f>
        <v>110969</v>
      </c>
      <c r="E24" s="14">
        <f>E25+E26</f>
        <v>16487</v>
      </c>
      <c r="F24" s="14">
        <f aca="true" t="shared" si="8" ref="F24:M24">F25+F26</f>
        <v>105189</v>
      </c>
      <c r="G24" s="14">
        <f t="shared" si="8"/>
        <v>156468</v>
      </c>
      <c r="H24" s="14">
        <f t="shared" si="8"/>
        <v>134487</v>
      </c>
      <c r="I24" s="14">
        <f t="shared" si="8"/>
        <v>106177</v>
      </c>
      <c r="J24" s="14">
        <f t="shared" si="8"/>
        <v>82259</v>
      </c>
      <c r="K24" s="14">
        <f t="shared" si="8"/>
        <v>90141</v>
      </c>
      <c r="L24" s="14">
        <f t="shared" si="8"/>
        <v>30008</v>
      </c>
      <c r="M24" s="14">
        <f t="shared" si="8"/>
        <v>15855</v>
      </c>
      <c r="N24" s="12">
        <f t="shared" si="7"/>
        <v>1098831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71952</v>
      </c>
      <c r="C25" s="14">
        <v>60209</v>
      </c>
      <c r="D25" s="14">
        <v>59569</v>
      </c>
      <c r="E25" s="14">
        <v>9726</v>
      </c>
      <c r="F25" s="14">
        <v>58093</v>
      </c>
      <c r="G25" s="14">
        <v>90661</v>
      </c>
      <c r="H25" s="14">
        <v>80613</v>
      </c>
      <c r="I25" s="14">
        <v>55734</v>
      </c>
      <c r="J25" s="14">
        <v>47838</v>
      </c>
      <c r="K25" s="14">
        <v>47225</v>
      </c>
      <c r="L25" s="14">
        <v>16042</v>
      </c>
      <c r="M25" s="14">
        <v>7336</v>
      </c>
      <c r="N25" s="12">
        <f t="shared" si="7"/>
        <v>604998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74072</v>
      </c>
      <c r="C26" s="14">
        <v>44558</v>
      </c>
      <c r="D26" s="14">
        <v>51400</v>
      </c>
      <c r="E26" s="14">
        <v>6761</v>
      </c>
      <c r="F26" s="14">
        <v>47096</v>
      </c>
      <c r="G26" s="14">
        <v>65807</v>
      </c>
      <c r="H26" s="14">
        <v>53874</v>
      </c>
      <c r="I26" s="14">
        <v>50443</v>
      </c>
      <c r="J26" s="14">
        <v>34421</v>
      </c>
      <c r="K26" s="14">
        <v>42916</v>
      </c>
      <c r="L26" s="14">
        <v>13966</v>
      </c>
      <c r="M26" s="14">
        <v>8519</v>
      </c>
      <c r="N26" s="12">
        <f t="shared" si="7"/>
        <v>493833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1052419.955475</v>
      </c>
      <c r="C36" s="60">
        <f aca="true" t="shared" si="11" ref="C36:M36">C37+C38+C39+C40</f>
        <v>732327.0650935</v>
      </c>
      <c r="D36" s="60">
        <f t="shared" si="11"/>
        <v>728047.5272618501</v>
      </c>
      <c r="E36" s="60">
        <f t="shared" si="11"/>
        <v>128341.93761119999</v>
      </c>
      <c r="F36" s="60">
        <f t="shared" si="11"/>
        <v>719759.60503495</v>
      </c>
      <c r="G36" s="60">
        <f t="shared" si="11"/>
        <v>887891.6128</v>
      </c>
      <c r="H36" s="60">
        <f t="shared" si="11"/>
        <v>950031.2260000001</v>
      </c>
      <c r="I36" s="60">
        <f t="shared" si="11"/>
        <v>826190.9388224</v>
      </c>
      <c r="J36" s="60">
        <f t="shared" si="11"/>
        <v>667358.1417227999</v>
      </c>
      <c r="K36" s="60">
        <f t="shared" si="11"/>
        <v>790723.76534864</v>
      </c>
      <c r="L36" s="60">
        <f t="shared" si="11"/>
        <v>377509.36027625995</v>
      </c>
      <c r="M36" s="60">
        <f t="shared" si="11"/>
        <v>200475.15175344</v>
      </c>
      <c r="N36" s="60">
        <f>N37+N38+N39+N40</f>
        <v>8061076.28720004</v>
      </c>
    </row>
    <row r="37" spans="1:14" ht="18.75" customHeight="1">
      <c r="A37" s="57" t="s">
        <v>54</v>
      </c>
      <c r="B37" s="54">
        <f aca="true" t="shared" si="12" ref="B37:M37">B29*B7</f>
        <v>1052283.375</v>
      </c>
      <c r="C37" s="54">
        <f t="shared" si="12"/>
        <v>732063.806</v>
      </c>
      <c r="D37" s="54">
        <f t="shared" si="12"/>
        <v>717831.5634</v>
      </c>
      <c r="E37" s="54">
        <f t="shared" si="12"/>
        <v>128005.61059999999</v>
      </c>
      <c r="F37" s="54">
        <f t="shared" si="12"/>
        <v>719695.9406999999</v>
      </c>
      <c r="G37" s="54">
        <f t="shared" si="12"/>
        <v>887846.9564</v>
      </c>
      <c r="H37" s="54">
        <f t="shared" si="12"/>
        <v>949761.0740000001</v>
      </c>
      <c r="I37" s="54">
        <f t="shared" si="12"/>
        <v>821952.768</v>
      </c>
      <c r="J37" s="54">
        <f t="shared" si="12"/>
        <v>663635.198</v>
      </c>
      <c r="K37" s="54">
        <f t="shared" si="12"/>
        <v>786374.5153</v>
      </c>
      <c r="L37" s="54">
        <f t="shared" si="12"/>
        <v>377338.932</v>
      </c>
      <c r="M37" s="54">
        <f t="shared" si="12"/>
        <v>200348.775</v>
      </c>
      <c r="N37" s="56">
        <f>SUM(B37:M37)</f>
        <v>8037138.514400001</v>
      </c>
    </row>
    <row r="38" spans="1:14" ht="18.75" customHeight="1">
      <c r="A38" s="57" t="s">
        <v>55</v>
      </c>
      <c r="B38" s="54">
        <f aca="true" t="shared" si="13" ref="B38:M38">B30*B7</f>
        <v>-3120.499525</v>
      </c>
      <c r="C38" s="54">
        <f t="shared" si="13"/>
        <v>-2129.2609064999997</v>
      </c>
      <c r="D38" s="54">
        <f t="shared" si="13"/>
        <v>-2132.4961381499998</v>
      </c>
      <c r="E38" s="54">
        <f t="shared" si="13"/>
        <v>-309.9529888</v>
      </c>
      <c r="F38" s="54">
        <f t="shared" si="13"/>
        <v>-2097.73566505</v>
      </c>
      <c r="G38" s="54">
        <f t="shared" si="13"/>
        <v>-2617.5036</v>
      </c>
      <c r="H38" s="54">
        <f t="shared" si="13"/>
        <v>-2627.408</v>
      </c>
      <c r="I38" s="54">
        <f t="shared" si="13"/>
        <v>-2366.1091776</v>
      </c>
      <c r="J38" s="54">
        <f t="shared" si="13"/>
        <v>-1898.2262772000001</v>
      </c>
      <c r="K38" s="54">
        <f t="shared" si="13"/>
        <v>-2310.01995136</v>
      </c>
      <c r="L38" s="54">
        <f t="shared" si="13"/>
        <v>-1100.73172374</v>
      </c>
      <c r="M38" s="54">
        <f t="shared" si="13"/>
        <v>-592.6632465600001</v>
      </c>
      <c r="N38" s="25">
        <f>SUM(B38:M38)</f>
        <v>-23302.60719996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10187.06</v>
      </c>
      <c r="E40" s="54">
        <v>0</v>
      </c>
      <c r="F40" s="54">
        <v>0</v>
      </c>
      <c r="G40" s="54">
        <v>0</v>
      </c>
      <c r="H40" s="54">
        <v>0</v>
      </c>
      <c r="I40" s="54">
        <v>4057.68</v>
      </c>
      <c r="J40" s="54">
        <v>3502.57</v>
      </c>
      <c r="K40" s="54">
        <v>4057.03</v>
      </c>
      <c r="L40" s="54">
        <v>0</v>
      </c>
      <c r="M40" s="54">
        <v>0</v>
      </c>
      <c r="N40" s="56">
        <f>SUM(B40:M40)</f>
        <v>21804.34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+B43+B46+B58+B59</f>
        <v>-105540.59</v>
      </c>
      <c r="C42" s="25">
        <f aca="true" t="shared" si="15" ref="C42:M42">+C43+C46+C58+C59</f>
        <v>-30185.460000000006</v>
      </c>
      <c r="D42" s="25">
        <f t="shared" si="15"/>
        <v>-134159.7</v>
      </c>
      <c r="E42" s="25">
        <f t="shared" si="15"/>
        <v>-19010.019999999997</v>
      </c>
      <c r="F42" s="25">
        <f t="shared" si="15"/>
        <v>-79013.51000000001</v>
      </c>
      <c r="G42" s="25">
        <f t="shared" si="15"/>
        <v>-46184.31999999999</v>
      </c>
      <c r="H42" s="25">
        <f t="shared" si="15"/>
        <v>-140618.08</v>
      </c>
      <c r="I42" s="25">
        <f t="shared" si="15"/>
        <v>89711.73</v>
      </c>
      <c r="J42" s="25">
        <f t="shared" si="15"/>
        <v>-17507.67</v>
      </c>
      <c r="K42" s="25">
        <f t="shared" si="15"/>
        <v>80834.87999999999</v>
      </c>
      <c r="L42" s="25">
        <f t="shared" si="15"/>
        <v>-41168.33</v>
      </c>
      <c r="M42" s="25">
        <f t="shared" si="15"/>
        <v>5495.999999999996</v>
      </c>
      <c r="N42" s="25">
        <f>+N43+N46+N58+N59</f>
        <v>-437345.07000000007</v>
      </c>
    </row>
    <row r="43" spans="1:14" ht="18.75" customHeight="1">
      <c r="A43" s="17" t="s">
        <v>59</v>
      </c>
      <c r="B43" s="26">
        <f>B44+B45</f>
        <v>-73579.4</v>
      </c>
      <c r="C43" s="26">
        <f>C44+C45</f>
        <v>-73879.6</v>
      </c>
      <c r="D43" s="26">
        <f>D44+D45</f>
        <v>-50445</v>
      </c>
      <c r="E43" s="26">
        <f>E44+E45</f>
        <v>-4902</v>
      </c>
      <c r="F43" s="26">
        <f aca="true" t="shared" si="16" ref="F43:M43">F44+F45</f>
        <v>-42928.6</v>
      </c>
      <c r="G43" s="26">
        <f t="shared" si="16"/>
        <v>-79222.4</v>
      </c>
      <c r="H43" s="26">
        <f t="shared" si="16"/>
        <v>-94783.4</v>
      </c>
      <c r="I43" s="26">
        <f t="shared" si="16"/>
        <v>-45843.2</v>
      </c>
      <c r="J43" s="26">
        <f t="shared" si="16"/>
        <v>-59234.4</v>
      </c>
      <c r="K43" s="26">
        <f t="shared" si="16"/>
        <v>-46778</v>
      </c>
      <c r="L43" s="26">
        <f t="shared" si="16"/>
        <v>-32197.4</v>
      </c>
      <c r="M43" s="26">
        <f t="shared" si="16"/>
        <v>-18251.4</v>
      </c>
      <c r="N43" s="25">
        <f aca="true" t="shared" si="17" ref="N43:N59">SUM(B43:M43)</f>
        <v>-622044.8</v>
      </c>
    </row>
    <row r="44" spans="1:25" ht="18.75" customHeight="1">
      <c r="A44" s="13" t="s">
        <v>60</v>
      </c>
      <c r="B44" s="20">
        <f>ROUND(-B9*$D$3,2)</f>
        <v>-73579.4</v>
      </c>
      <c r="C44" s="20">
        <f>ROUND(-C9*$D$3,2)</f>
        <v>-73879.6</v>
      </c>
      <c r="D44" s="20">
        <f>ROUND(-D9*$D$3,2)</f>
        <v>-50445</v>
      </c>
      <c r="E44" s="20">
        <f>ROUND(-E9*$D$3,2)</f>
        <v>-4902</v>
      </c>
      <c r="F44" s="20">
        <f aca="true" t="shared" si="18" ref="F44:M44">ROUND(-F9*$D$3,2)</f>
        <v>-42928.6</v>
      </c>
      <c r="G44" s="20">
        <f t="shared" si="18"/>
        <v>-79222.4</v>
      </c>
      <c r="H44" s="20">
        <f t="shared" si="18"/>
        <v>-94783.4</v>
      </c>
      <c r="I44" s="20">
        <f t="shared" si="18"/>
        <v>-45843.2</v>
      </c>
      <c r="J44" s="20">
        <f t="shared" si="18"/>
        <v>-59234.4</v>
      </c>
      <c r="K44" s="20">
        <f t="shared" si="18"/>
        <v>-46778</v>
      </c>
      <c r="L44" s="20">
        <f t="shared" si="18"/>
        <v>-32197.4</v>
      </c>
      <c r="M44" s="20">
        <f t="shared" si="18"/>
        <v>-18251.4</v>
      </c>
      <c r="N44" s="46">
        <f t="shared" si="17"/>
        <v>-622044.8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 aca="true" t="shared" si="20" ref="B46:M46">SUM(B47:B57)</f>
        <v>-31961.190000000002</v>
      </c>
      <c r="C46" s="26">
        <f t="shared" si="20"/>
        <v>43694.14</v>
      </c>
      <c r="D46" s="26">
        <f t="shared" si="20"/>
        <v>-83714.7</v>
      </c>
      <c r="E46" s="26">
        <f t="shared" si="20"/>
        <v>-14108.019999999999</v>
      </c>
      <c r="F46" s="26">
        <f t="shared" si="20"/>
        <v>-36084.91</v>
      </c>
      <c r="G46" s="26">
        <f t="shared" si="20"/>
        <v>33038.08</v>
      </c>
      <c r="H46" s="26">
        <f t="shared" si="20"/>
        <v>-45834.679999999986</v>
      </c>
      <c r="I46" s="26">
        <f t="shared" si="20"/>
        <v>135554.93</v>
      </c>
      <c r="J46" s="26">
        <f t="shared" si="20"/>
        <v>41726.73</v>
      </c>
      <c r="K46" s="26">
        <f t="shared" si="20"/>
        <v>127612.87999999999</v>
      </c>
      <c r="L46" s="26">
        <f t="shared" si="20"/>
        <v>-8970.929999999998</v>
      </c>
      <c r="M46" s="26">
        <f t="shared" si="20"/>
        <v>23747.399999999998</v>
      </c>
      <c r="N46" s="26">
        <f>SUM(N47:N57)</f>
        <v>184699.72999999998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101</v>
      </c>
      <c r="B54" s="24">
        <f>-324.86-1396.13</f>
        <v>-1720.9900000000002</v>
      </c>
      <c r="C54" s="24">
        <f>-364.93-917.87</f>
        <v>-1282.8</v>
      </c>
      <c r="D54" s="24">
        <v>-1104.85</v>
      </c>
      <c r="E54" s="24">
        <v>-230.7</v>
      </c>
      <c r="F54" s="24">
        <v>-1117.82</v>
      </c>
      <c r="G54" s="24">
        <v>-1444.42</v>
      </c>
      <c r="H54" s="24">
        <f>-1220.87-326.18</f>
        <v>-1547.05</v>
      </c>
      <c r="I54" s="24">
        <v>-1340.34</v>
      </c>
      <c r="J54" s="24">
        <v>-1025.48</v>
      </c>
      <c r="K54" s="24">
        <v>-1206.16</v>
      </c>
      <c r="L54" s="24">
        <v>-661.97</v>
      </c>
      <c r="M54" s="24">
        <v>-330.87</v>
      </c>
      <c r="N54" s="24">
        <f t="shared" si="17"/>
        <v>-13013.449999999999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6" t="s">
        <v>102</v>
      </c>
      <c r="B55" s="24">
        <f>26119.66</f>
        <v>26119.66</v>
      </c>
      <c r="C55" s="24">
        <f>18403.93</f>
        <v>18403.93</v>
      </c>
      <c r="D55" s="24">
        <f>17534.57</f>
        <v>17534.57</v>
      </c>
      <c r="E55" s="24">
        <f>3522.62</f>
        <v>3522.62</v>
      </c>
      <c r="F55" s="24">
        <f>17671.41</f>
        <v>17671.41</v>
      </c>
      <c r="G55" s="24">
        <f>22285.54</f>
        <v>22285.54</v>
      </c>
      <c r="H55" s="24">
        <f>22751.32</f>
        <v>22751.32</v>
      </c>
      <c r="I55" s="24">
        <f>20154.41</f>
        <v>20154.41</v>
      </c>
      <c r="J55" s="24">
        <f>16106.65</f>
        <v>16106.65</v>
      </c>
      <c r="K55" s="24">
        <f>19341.49</f>
        <v>19341.49</v>
      </c>
      <c r="L55" s="24">
        <f>9012.93</f>
        <v>9012.93</v>
      </c>
      <c r="M55" s="24">
        <f>5308.65</f>
        <v>5308.65</v>
      </c>
      <c r="N55" s="24">
        <f t="shared" si="17"/>
        <v>198213.18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6" t="s">
        <v>103</v>
      </c>
      <c r="B56" s="24">
        <f>-16054.95-40304.91</f>
        <v>-56359.86</v>
      </c>
      <c r="C56" s="24">
        <f>-11157.75-27839.82</f>
        <v>-38997.57</v>
      </c>
      <c r="D56" s="24">
        <f>-27553.77-72590.65</f>
        <v>-100144.42</v>
      </c>
      <c r="E56" s="24">
        <f>-4834.53-12565.41</f>
        <v>-17399.94</v>
      </c>
      <c r="F56" s="24">
        <f>-14641.86-37996.64</f>
        <v>-52638.5</v>
      </c>
      <c r="G56" s="24">
        <v>0</v>
      </c>
      <c r="H56" s="24">
        <f>-21183.18-52789.78</f>
        <v>-73972.95999999999</v>
      </c>
      <c r="I56" s="24"/>
      <c r="J56" s="24"/>
      <c r="K56" s="24"/>
      <c r="L56" s="24">
        <f>-5409.65-11912.24</f>
        <v>-17321.89</v>
      </c>
      <c r="M56" s="24"/>
      <c r="N56" s="24">
        <f t="shared" si="17"/>
        <v>-356835.14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6" t="s">
        <v>104</v>
      </c>
      <c r="B57" s="24"/>
      <c r="C57" s="24">
        <f>47850.58+17720</f>
        <v>65570.58</v>
      </c>
      <c r="D57" s="24"/>
      <c r="E57" s="24"/>
      <c r="F57" s="24"/>
      <c r="G57" s="24">
        <f>3398.31+8798.65</f>
        <v>12196.96</v>
      </c>
      <c r="H57" s="24">
        <f>2215.56+5218.45</f>
        <v>7434.01</v>
      </c>
      <c r="I57" s="24">
        <f>32766+83974.86</f>
        <v>116740.86</v>
      </c>
      <c r="J57" s="24">
        <f>7918.13+18727.43</f>
        <v>26645.56</v>
      </c>
      <c r="K57" s="24">
        <f>78060.73+31416.82</f>
        <v>109477.54999999999</v>
      </c>
      <c r="L57" s="24"/>
      <c r="M57" s="24">
        <f>5400.87+13368.75</f>
        <v>18769.62</v>
      </c>
      <c r="N57" s="24">
        <f t="shared" si="17"/>
        <v>356835.14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7" t="s">
        <v>70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4">
        <f t="shared" si="17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7" t="s">
        <v>71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4">
        <f t="shared" si="17"/>
        <v>0</v>
      </c>
      <c r="O59"/>
      <c r="P59"/>
      <c r="Q59"/>
      <c r="R59"/>
      <c r="S59"/>
      <c r="T59"/>
      <c r="U59"/>
      <c r="V59"/>
      <c r="W59"/>
      <c r="X59"/>
      <c r="Y59"/>
    </row>
    <row r="60" spans="1:14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20"/>
    </row>
    <row r="61" spans="1:25" ht="15.75">
      <c r="A61" s="2" t="s">
        <v>72</v>
      </c>
      <c r="B61" s="29">
        <f aca="true" t="shared" si="21" ref="B61:M61">+B36+B42</f>
        <v>946879.365475</v>
      </c>
      <c r="C61" s="29">
        <f t="shared" si="21"/>
        <v>702141.6050935</v>
      </c>
      <c r="D61" s="29">
        <f t="shared" si="21"/>
        <v>593887.82726185</v>
      </c>
      <c r="E61" s="29">
        <f t="shared" si="21"/>
        <v>109331.91761119998</v>
      </c>
      <c r="F61" s="29">
        <f t="shared" si="21"/>
        <v>640746.09503495</v>
      </c>
      <c r="G61" s="29">
        <f t="shared" si="21"/>
        <v>841707.2928</v>
      </c>
      <c r="H61" s="29">
        <f t="shared" si="21"/>
        <v>809413.1460000002</v>
      </c>
      <c r="I61" s="29">
        <f t="shared" si="21"/>
        <v>915902.6688224</v>
      </c>
      <c r="J61" s="29">
        <f t="shared" si="21"/>
        <v>649850.4717227998</v>
      </c>
      <c r="K61" s="29">
        <f t="shared" si="21"/>
        <v>871558.64534864</v>
      </c>
      <c r="L61" s="29">
        <f t="shared" si="21"/>
        <v>336341.03027625993</v>
      </c>
      <c r="M61" s="29">
        <f t="shared" si="21"/>
        <v>205971.15175344</v>
      </c>
      <c r="N61" s="29">
        <f>SUM(B61:M61)</f>
        <v>7623731.217200041</v>
      </c>
      <c r="O61"/>
      <c r="P61"/>
      <c r="Q61"/>
      <c r="R61"/>
      <c r="S61"/>
      <c r="T61"/>
      <c r="U61"/>
      <c r="V61"/>
      <c r="W61"/>
      <c r="X61"/>
      <c r="Y61"/>
    </row>
    <row r="62" spans="1:16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8"/>
      <c r="P62" s="72"/>
    </row>
    <row r="63" spans="1:14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1"/>
    </row>
    <row r="64" spans="1:14" ht="18.75" customHeight="1">
      <c r="A64" s="2" t="s">
        <v>73</v>
      </c>
      <c r="B64" s="36">
        <f>SUM(B65:B78)</f>
        <v>946879.37</v>
      </c>
      <c r="C64" s="36">
        <f aca="true" t="shared" si="22" ref="C64:M64">SUM(C65:C78)</f>
        <v>702141.59</v>
      </c>
      <c r="D64" s="36">
        <f t="shared" si="22"/>
        <v>593887.8200000001</v>
      </c>
      <c r="E64" s="36">
        <f t="shared" si="22"/>
        <v>109331.92</v>
      </c>
      <c r="F64" s="36">
        <f t="shared" si="22"/>
        <v>640746.09</v>
      </c>
      <c r="G64" s="36">
        <f t="shared" si="22"/>
        <v>841707.2999999999</v>
      </c>
      <c r="H64" s="36">
        <f t="shared" si="22"/>
        <v>809413.15</v>
      </c>
      <c r="I64" s="36">
        <f t="shared" si="22"/>
        <v>915902.66</v>
      </c>
      <c r="J64" s="36">
        <f t="shared" si="22"/>
        <v>649850.47</v>
      </c>
      <c r="K64" s="36">
        <f t="shared" si="22"/>
        <v>871558.65</v>
      </c>
      <c r="L64" s="36">
        <f t="shared" si="22"/>
        <v>336341.03</v>
      </c>
      <c r="M64" s="36">
        <f t="shared" si="22"/>
        <v>205971.16</v>
      </c>
      <c r="N64" s="29">
        <f>SUM(N65:N78)</f>
        <v>7623731.210000001</v>
      </c>
    </row>
    <row r="65" spans="1:15" ht="18.75" customHeight="1">
      <c r="A65" s="17" t="s">
        <v>74</v>
      </c>
      <c r="B65" s="36">
        <v>150133.4</v>
      </c>
      <c r="C65" s="36">
        <v>159189.84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>SUM(B65:M65)</f>
        <v>309323.24</v>
      </c>
      <c r="O65"/>
    </row>
    <row r="66" spans="1:15" ht="18.75" customHeight="1">
      <c r="A66" s="17" t="s">
        <v>75</v>
      </c>
      <c r="B66" s="36">
        <v>796745.97</v>
      </c>
      <c r="C66" s="36">
        <f>477381.17+65570.58</f>
        <v>542951.75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aca="true" t="shared" si="23" ref="N66:N77">SUM(B66:M66)</f>
        <v>1339697.72</v>
      </c>
      <c r="O66"/>
    </row>
    <row r="67" spans="1:16" ht="18.75" customHeight="1">
      <c r="A67" s="17" t="s">
        <v>76</v>
      </c>
      <c r="B67" s="35">
        <v>0</v>
      </c>
      <c r="C67" s="35">
        <v>0</v>
      </c>
      <c r="D67" s="26">
        <f>10187.06+583700.76</f>
        <v>593887.8200000001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6">
        <f t="shared" si="23"/>
        <v>593887.8200000001</v>
      </c>
      <c r="P67"/>
    </row>
    <row r="68" spans="1:17" ht="18.75" customHeight="1">
      <c r="A68" s="17" t="s">
        <v>77</v>
      </c>
      <c r="B68" s="35">
        <v>0</v>
      </c>
      <c r="C68" s="35">
        <v>0</v>
      </c>
      <c r="D68" s="35">
        <v>0</v>
      </c>
      <c r="E68" s="26">
        <v>109331.92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109331.92</v>
      </c>
      <c r="Q68"/>
    </row>
    <row r="69" spans="1:18" ht="18.75" customHeight="1">
      <c r="A69" s="17" t="s">
        <v>78</v>
      </c>
      <c r="B69" s="35">
        <v>0</v>
      </c>
      <c r="C69" s="35">
        <v>0</v>
      </c>
      <c r="D69" s="35">
        <v>0</v>
      </c>
      <c r="E69" s="35">
        <v>0</v>
      </c>
      <c r="F69" s="26">
        <v>640746.09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640746.09</v>
      </c>
      <c r="R69"/>
    </row>
    <row r="70" spans="1:19" ht="18.75" customHeight="1">
      <c r="A70" s="17" t="s">
        <v>79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829510.34+12196.96</f>
        <v>841707.2999999999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29">
        <f t="shared" si="23"/>
        <v>841707.2999999999</v>
      </c>
      <c r="S70"/>
    </row>
    <row r="71" spans="1:20" ht="18.75" customHeight="1">
      <c r="A71" s="17" t="s">
        <v>80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606709.65</f>
        <v>606709.65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29">
        <f t="shared" si="23"/>
        <v>606709.65</v>
      </c>
      <c r="T71"/>
    </row>
    <row r="72" spans="1:20" ht="18.75" customHeight="1">
      <c r="A72" s="17" t="s">
        <v>81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6">
        <f>195269.49+7434.01</f>
        <v>202703.5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29">
        <f t="shared" si="23"/>
        <v>202703.5</v>
      </c>
      <c r="T72"/>
    </row>
    <row r="73" spans="1:21" ht="18.75" customHeight="1">
      <c r="A73" s="17" t="s">
        <v>82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26">
        <f>795104.12+116740.86+4057.68</f>
        <v>915902.66</v>
      </c>
      <c r="J73" s="35">
        <v>0</v>
      </c>
      <c r="K73" s="35">
        <v>0</v>
      </c>
      <c r="L73" s="35">
        <v>0</v>
      </c>
      <c r="M73" s="35">
        <v>0</v>
      </c>
      <c r="N73" s="26">
        <f t="shared" si="23"/>
        <v>915902.66</v>
      </c>
      <c r="U73"/>
    </row>
    <row r="74" spans="1:22" ht="18.75" customHeight="1">
      <c r="A74" s="17" t="s">
        <v>83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>3502.57+619702.34+26645.56</f>
        <v>649850.47</v>
      </c>
      <c r="K74" s="35">
        <v>0</v>
      </c>
      <c r="L74" s="35">
        <v>0</v>
      </c>
      <c r="M74" s="35">
        <v>0</v>
      </c>
      <c r="N74" s="29">
        <f t="shared" si="23"/>
        <v>649850.47</v>
      </c>
      <c r="V74"/>
    </row>
    <row r="75" spans="1:23" ht="18.75" customHeight="1">
      <c r="A75" s="17" t="s">
        <v>84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26">
        <f>758024.07+109477.55+4057.03</f>
        <v>871558.65</v>
      </c>
      <c r="L75" s="35">
        <v>0</v>
      </c>
      <c r="M75" s="61"/>
      <c r="N75" s="26">
        <f t="shared" si="23"/>
        <v>871558.65</v>
      </c>
      <c r="W75"/>
    </row>
    <row r="76" spans="1:24" ht="18.75" customHeight="1">
      <c r="A76" s="17" t="s">
        <v>85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26">
        <f>336341.03</f>
        <v>336341.03</v>
      </c>
      <c r="M76" s="35">
        <v>0</v>
      </c>
      <c r="N76" s="29">
        <f t="shared" si="23"/>
        <v>336341.03</v>
      </c>
      <c r="X76"/>
    </row>
    <row r="77" spans="1:25" ht="18.75" customHeight="1">
      <c r="A77" s="17" t="s">
        <v>86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26">
        <f>187201.54+18769.62</f>
        <v>205971.16</v>
      </c>
      <c r="N77" s="26">
        <f t="shared" si="23"/>
        <v>205971.16</v>
      </c>
      <c r="Y77"/>
    </row>
    <row r="78" spans="1:25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/>
      <c r="P78"/>
      <c r="Q78"/>
      <c r="R78"/>
      <c r="S78"/>
      <c r="T78"/>
      <c r="U78"/>
      <c r="V78"/>
      <c r="W78"/>
      <c r="X78"/>
      <c r="Y78"/>
    </row>
    <row r="79" spans="1:14" ht="17.25" customHeight="1">
      <c r="A79" s="6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</row>
    <row r="81" spans="1:14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29"/>
    </row>
    <row r="82" spans="1:15" ht="18.75" customHeight="1">
      <c r="A82" s="17" t="s">
        <v>87</v>
      </c>
      <c r="B82" s="44">
        <v>2.336239201562263</v>
      </c>
      <c r="C82" s="44">
        <v>2.291293034410398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O82"/>
    </row>
    <row r="83" spans="1:15" ht="18.75" customHeight="1">
      <c r="A83" s="17" t="s">
        <v>88</v>
      </c>
      <c r="B83" s="44">
        <v>2.0386525864769163</v>
      </c>
      <c r="C83" s="44">
        <v>1.9242132942290202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O83"/>
    </row>
    <row r="84" spans="1:16" ht="18.75" customHeight="1">
      <c r="A84" s="17" t="s">
        <v>89</v>
      </c>
      <c r="B84" s="44">
        <v>0</v>
      </c>
      <c r="C84" s="44">
        <v>0</v>
      </c>
      <c r="D84" s="22">
        <f>(D$37+D$38+D$39)/D$7</f>
        <v>1.8682752240462268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6"/>
      <c r="P84"/>
    </row>
    <row r="85" spans="1:17" ht="18.75" customHeight="1">
      <c r="A85" s="17" t="s">
        <v>90</v>
      </c>
      <c r="B85" s="44">
        <v>0</v>
      </c>
      <c r="C85" s="44">
        <v>0</v>
      </c>
      <c r="D85" s="44">
        <v>0</v>
      </c>
      <c r="E85" s="22">
        <f>(E$37+E$38+E$39)/E$7</f>
        <v>2.6010161038283037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Q85"/>
    </row>
    <row r="86" spans="1:18" ht="18.75" customHeight="1">
      <c r="A86" s="17" t="s">
        <v>91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2.1814929578950957</v>
      </c>
      <c r="G86" s="35">
        <v>0</v>
      </c>
      <c r="H86" s="44">
        <v>0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6"/>
      <c r="R86"/>
    </row>
    <row r="87" spans="1:19" ht="18.75" customHeight="1">
      <c r="A87" s="17" t="s">
        <v>92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1.7299870094849152</v>
      </c>
      <c r="H87" s="44">
        <v>0</v>
      </c>
      <c r="I87" s="44">
        <v>0</v>
      </c>
      <c r="J87" s="44">
        <v>0</v>
      </c>
      <c r="K87" s="35">
        <v>0</v>
      </c>
      <c r="L87" s="44">
        <v>0</v>
      </c>
      <c r="M87" s="44">
        <v>0</v>
      </c>
      <c r="N87" s="29"/>
      <c r="S87"/>
    </row>
    <row r="88" spans="1:20" ht="18.75" customHeight="1">
      <c r="A88" s="17" t="s">
        <v>93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2.034882533735619</v>
      </c>
      <c r="I88" s="44">
        <v>0</v>
      </c>
      <c r="J88" s="44">
        <v>0</v>
      </c>
      <c r="K88" s="35">
        <v>0</v>
      </c>
      <c r="L88" s="44">
        <v>0</v>
      </c>
      <c r="M88" s="44">
        <v>0</v>
      </c>
      <c r="N88" s="29"/>
      <c r="T88"/>
    </row>
    <row r="89" spans="1:20" ht="18.75" customHeight="1">
      <c r="A89" s="17" t="s">
        <v>94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1.991105836938684</v>
      </c>
      <c r="I89" s="44">
        <v>0</v>
      </c>
      <c r="J89" s="44">
        <v>0</v>
      </c>
      <c r="K89" s="35">
        <v>0</v>
      </c>
      <c r="L89" s="44">
        <v>0</v>
      </c>
      <c r="M89" s="44">
        <v>0</v>
      </c>
      <c r="N89" s="29"/>
      <c r="T89"/>
    </row>
    <row r="90" spans="1:21" ht="18.75" customHeight="1">
      <c r="A90" s="17" t="s">
        <v>95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f>(I$37+I$38+I$39)/I$7</f>
        <v>1.9764339055465805</v>
      </c>
      <c r="J90" s="44">
        <v>0</v>
      </c>
      <c r="K90" s="35">
        <v>0</v>
      </c>
      <c r="L90" s="44">
        <v>0</v>
      </c>
      <c r="M90" s="44">
        <v>0</v>
      </c>
      <c r="N90" s="26"/>
      <c r="U90"/>
    </row>
    <row r="91" spans="1:22" ht="18.75" customHeight="1">
      <c r="A91" s="17" t="s">
        <v>96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f>(J$37+J$38+J$39)/J$7</f>
        <v>2.226239023068049</v>
      </c>
      <c r="K91" s="35">
        <v>0</v>
      </c>
      <c r="L91" s="44">
        <v>0</v>
      </c>
      <c r="M91" s="44">
        <v>0</v>
      </c>
      <c r="N91" s="29"/>
      <c r="V91"/>
    </row>
    <row r="92" spans="1:23" ht="18.75" customHeight="1">
      <c r="A92" s="17" t="s">
        <v>97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22">
        <f>(K$37+K$38+K$39)/K$7</f>
        <v>2.128490662191353</v>
      </c>
      <c r="L92" s="44">
        <v>0</v>
      </c>
      <c r="M92" s="44">
        <v>0</v>
      </c>
      <c r="N92" s="26"/>
      <c r="W92"/>
    </row>
    <row r="93" spans="1:24" ht="18.75" customHeight="1">
      <c r="A93" s="17" t="s">
        <v>98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f>(L$37+L$38+L$39)/L$7</f>
        <v>2.52714088897096</v>
      </c>
      <c r="M93" s="44">
        <v>0</v>
      </c>
      <c r="N93" s="62"/>
      <c r="X93"/>
    </row>
    <row r="94" spans="1:25" ht="18.75" customHeight="1">
      <c r="A94" s="34" t="s">
        <v>99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9">
        <f>(M$37+M$38+M$39)/M$7</f>
        <v>2.4765611898039506</v>
      </c>
      <c r="N94" s="50"/>
      <c r="Y94"/>
    </row>
    <row r="95" spans="1:13" ht="87" customHeight="1">
      <c r="A95" s="73" t="s">
        <v>106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</row>
    <row r="98" ht="14.25">
      <c r="B98" s="40"/>
    </row>
    <row r="99" ht="14.25">
      <c r="H99" s="41"/>
    </row>
    <row r="100" ht="14.25"/>
    <row r="101" spans="8:11" ht="14.25">
      <c r="H101" s="42"/>
      <c r="I101" s="43"/>
      <c r="J101" s="43"/>
      <c r="K101" s="43"/>
    </row>
  </sheetData>
  <sheetProtection/>
  <mergeCells count="7">
    <mergeCell ref="A95:M95"/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2017-08-08T22:18:11Z</dcterms:modified>
  <cp:category/>
  <cp:version/>
  <cp:contentType/>
  <cp:contentStatus/>
</cp:coreProperties>
</file>