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<sst xmlns="http://schemas.openxmlformats.org/spreadsheetml/2006/main" count="105" uniqueCount="103">
  <si>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</si>
  <si>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</si>
  <si>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</si>
  <si>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</si>
  <si>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</si>
  <si>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</si>
  <si>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</si>
  <si>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</si>
  <si>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</si>
  <si>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</si>
  <si>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</si>
  <si>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</si>
  <si>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</si>
  <si>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</si>
  <si>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</si>
  <si>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</si>
  <si>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</si>
  <si>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</si>
  <si>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</si>
  <si>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</si>
  <si>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</si>
  <si>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</si>
  <si>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</si>
  <si>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</si>
  <si>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</si>
  <si>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</si>
  <si>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</si>
  <si>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</si>
  <si>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</si>
  <si>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</si>
  <si>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</si>
  <si>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</si>
  <si>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</si>
  <si>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</si>
  <si>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</si>
  <si>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</si>
  <si>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</si>
  <si>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</si>
  <si>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</si>
  <si>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</si>
  <si>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</si>
  <si>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</si>
  <si>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</si>
  <si>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</si>
  <si>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</si>
  <si>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OPERAÇÃO 20/05/16 - VENCIMENTO 30/05/16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</si>
  <si>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</si>
  <si>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</si>
  <si>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</si>
  <si>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</si>
  <si>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</si>
  <si>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</si>
  <si>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</si>
  <si>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</si>
  <si>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</si>
  <si>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</si>
  <si>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</si>
  <si>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</si>
  <si>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</si>
  <si>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</si>
  <si>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</si>
  <si>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</si>
  <si>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</si>
  <si>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</si>
  <si>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</si>
  <si>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</si>
  <si>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</si>
  <si>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</si>
  <si>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</si>
  <si>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</si>
  <si>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</si>
  <si>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</si>
  <si>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</si>
  <si>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</si>
  <si>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</si>
  <si>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</si>
  <si>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</si>
  <si>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</si>
  <si>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</si>
  <si>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</si>
  <si>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</si>
  <si>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</si>
  <si>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</si>
  <si>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</si>
  <si>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</si>
  <si>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</si>
  <si>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</si>
  <si>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</si>
  <si>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</si>
  <si>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</si>
  <si>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</si>
  <si>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</si>
  <si>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</si>
  <si>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</si>
  <si>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</si>
  <si>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</si>
  <si>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</si>
  <si>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</si>
  <si>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</si>
  <si>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</si>
  <si>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8. Tarifa de Remuneração por Passageiro (2)</t>
  </si>
  <si>
    <t>5.3. Revisão de Remuneração pelo Transporte Coletivo (1)</t>
  </si>
  <si>
    <t>Nota: (1) Revisão de passageiros transportados, processado pelo sistema de bilhetagem eletrônica, mês de abril/2016, todas as áreas. Total de 694.142.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</si>
</sst>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79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79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79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1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9" t="s">
        <v>1</v>
      </c>
      <c r="B4" s="69" t="s">
        <v>42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 t="s">
        <v>2</v>
      </c>
    </row>
    <row r="5" spans="1:14" ht="42" customHeight="1">
      <c r="A5" s="69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9"/>
    </row>
    <row r="6" spans="1:14" ht="20.25" customHeight="1">
      <c r="A6" s="69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9"/>
    </row>
    <row r="7" spans="1:25" ht="18.75" customHeight="1">
      <c r="A7" s="9" t="s">
        <v>3</v>
      </c>
      <c r="B7" s="10">
        <f>B8+B20+B24</f>
        <v>520146</v>
      </c>
      <c r="C7" s="10">
        <f>C8+C20+C24</f>
        <v>388255</v>
      </c>
      <c r="D7" s="10">
        <f>D8+D20+D24</f>
        <v>388760</v>
      </c>
      <c r="E7" s="10">
        <f>E8+E20+E24</f>
        <v>60929</v>
      </c>
      <c r="F7" s="10">
        <f aca="true" t="shared" si="0" ref="F7:M7">F8+F20+F24</f>
        <v>321991</v>
      </c>
      <c r="G7" s="10">
        <f t="shared" si="0"/>
        <v>533144</v>
      </c>
      <c r="H7" s="10">
        <f t="shared" si="0"/>
        <v>486665</v>
      </c>
      <c r="I7" s="10">
        <f t="shared" si="0"/>
        <v>422482</v>
      </c>
      <c r="J7" s="10">
        <f t="shared" si="0"/>
        <v>310636</v>
      </c>
      <c r="K7" s="10">
        <f t="shared" si="0"/>
        <v>372344</v>
      </c>
      <c r="L7" s="10">
        <f t="shared" si="0"/>
        <v>157461</v>
      </c>
      <c r="M7" s="10">
        <f t="shared" si="0"/>
        <v>89083</v>
      </c>
      <c r="N7" s="10">
        <f>+N8+N20+N24</f>
        <v>4051896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227594</v>
      </c>
      <c r="C8" s="12">
        <f>+C9+C12+C16</f>
        <v>181903</v>
      </c>
      <c r="D8" s="12">
        <f>+D9+D12+D16</f>
        <v>200200</v>
      </c>
      <c r="E8" s="12">
        <f>+E9+E12+E16</f>
        <v>28709</v>
      </c>
      <c r="F8" s="12">
        <f aca="true" t="shared" si="1" ref="F8:M8">+F9+F12+F16</f>
        <v>149733</v>
      </c>
      <c r="G8" s="12">
        <f t="shared" si="1"/>
        <v>259360</v>
      </c>
      <c r="H8" s="12">
        <f t="shared" si="1"/>
        <v>231245</v>
      </c>
      <c r="I8" s="12">
        <f t="shared" si="1"/>
        <v>204814</v>
      </c>
      <c r="J8" s="12">
        <f t="shared" si="1"/>
        <v>151363</v>
      </c>
      <c r="K8" s="12">
        <f t="shared" si="1"/>
        <v>170876</v>
      </c>
      <c r="L8" s="12">
        <f t="shared" si="1"/>
        <v>81667</v>
      </c>
      <c r="M8" s="12">
        <f t="shared" si="1"/>
        <v>48387</v>
      </c>
      <c r="N8" s="12">
        <f>SUM(B8:M8)</f>
        <v>1935851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20732</v>
      </c>
      <c r="C9" s="14">
        <v>21078</v>
      </c>
      <c r="D9" s="14">
        <v>14352</v>
      </c>
      <c r="E9" s="14">
        <v>2222</v>
      </c>
      <c r="F9" s="14">
        <v>11401</v>
      </c>
      <c r="G9" s="14">
        <v>23754</v>
      </c>
      <c r="H9" s="14">
        <v>27925</v>
      </c>
      <c r="I9" s="14">
        <v>12386</v>
      </c>
      <c r="J9" s="14">
        <v>17143</v>
      </c>
      <c r="K9" s="14">
        <v>13468</v>
      </c>
      <c r="L9" s="14">
        <v>9616</v>
      </c>
      <c r="M9" s="14">
        <v>5791</v>
      </c>
      <c r="N9" s="12">
        <f aca="true" t="shared" si="2" ref="N9:N19">SUM(B9:M9)</f>
        <v>179868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20732</v>
      </c>
      <c r="C10" s="14">
        <f>+C9-C11</f>
        <v>21078</v>
      </c>
      <c r="D10" s="14">
        <f>+D9-D11</f>
        <v>14352</v>
      </c>
      <c r="E10" s="14">
        <f>+E9-E11</f>
        <v>2222</v>
      </c>
      <c r="F10" s="14">
        <f aca="true" t="shared" si="3" ref="F10:M10">+F9-F11</f>
        <v>11401</v>
      </c>
      <c r="G10" s="14">
        <f t="shared" si="3"/>
        <v>23754</v>
      </c>
      <c r="H10" s="14">
        <f t="shared" si="3"/>
        <v>27925</v>
      </c>
      <c r="I10" s="14">
        <f t="shared" si="3"/>
        <v>12386</v>
      </c>
      <c r="J10" s="14">
        <f t="shared" si="3"/>
        <v>17143</v>
      </c>
      <c r="K10" s="14">
        <f t="shared" si="3"/>
        <v>13468</v>
      </c>
      <c r="L10" s="14">
        <f t="shared" si="3"/>
        <v>9616</v>
      </c>
      <c r="M10" s="14">
        <f t="shared" si="3"/>
        <v>5791</v>
      </c>
      <c r="N10" s="12">
        <f t="shared" si="2"/>
        <v>179868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183536</v>
      </c>
      <c r="C12" s="14">
        <f>C13+C14+C15</f>
        <v>144128</v>
      </c>
      <c r="D12" s="14">
        <f>D13+D14+D15</f>
        <v>168022</v>
      </c>
      <c r="E12" s="14">
        <f>E13+E14+E15</f>
        <v>23822</v>
      </c>
      <c r="F12" s="14">
        <f aca="true" t="shared" si="4" ref="F12:M12">F13+F14+F15</f>
        <v>123308</v>
      </c>
      <c r="G12" s="14">
        <f t="shared" si="4"/>
        <v>209744</v>
      </c>
      <c r="H12" s="14">
        <f t="shared" si="4"/>
        <v>181495</v>
      </c>
      <c r="I12" s="14">
        <f t="shared" si="4"/>
        <v>171025</v>
      </c>
      <c r="J12" s="14">
        <f t="shared" si="4"/>
        <v>119514</v>
      </c>
      <c r="K12" s="14">
        <f t="shared" si="4"/>
        <v>138329</v>
      </c>
      <c r="L12" s="14">
        <f t="shared" si="4"/>
        <v>64975</v>
      </c>
      <c r="M12" s="14">
        <f t="shared" si="4"/>
        <v>39128</v>
      </c>
      <c r="N12" s="12">
        <f t="shared" si="2"/>
        <v>1567026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89916</v>
      </c>
      <c r="C13" s="14">
        <v>72158</v>
      </c>
      <c r="D13" s="14">
        <v>81649</v>
      </c>
      <c r="E13" s="14">
        <v>11904</v>
      </c>
      <c r="F13" s="14">
        <v>59641</v>
      </c>
      <c r="G13" s="14">
        <v>103688</v>
      </c>
      <c r="H13" s="14">
        <v>93893</v>
      </c>
      <c r="I13" s="14">
        <v>86392</v>
      </c>
      <c r="J13" s="14">
        <v>58375</v>
      </c>
      <c r="K13" s="14">
        <v>67347</v>
      </c>
      <c r="L13" s="14">
        <v>31733</v>
      </c>
      <c r="M13" s="14">
        <v>18295</v>
      </c>
      <c r="N13" s="12">
        <f t="shared" si="2"/>
        <v>774991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88368</v>
      </c>
      <c r="C14" s="14">
        <v>65328</v>
      </c>
      <c r="D14" s="14">
        <v>82715</v>
      </c>
      <c r="E14" s="14">
        <v>11074</v>
      </c>
      <c r="F14" s="14">
        <v>59081</v>
      </c>
      <c r="G14" s="14">
        <v>96738</v>
      </c>
      <c r="H14" s="14">
        <v>81013</v>
      </c>
      <c r="I14" s="14">
        <v>81155</v>
      </c>
      <c r="J14" s="14">
        <v>57220</v>
      </c>
      <c r="K14" s="14">
        <v>67396</v>
      </c>
      <c r="L14" s="14">
        <v>31047</v>
      </c>
      <c r="M14" s="14">
        <v>19858</v>
      </c>
      <c r="N14" s="12">
        <f t="shared" si="2"/>
        <v>740993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5252</v>
      </c>
      <c r="C15" s="14">
        <v>6642</v>
      </c>
      <c r="D15" s="14">
        <v>3658</v>
      </c>
      <c r="E15" s="14">
        <v>844</v>
      </c>
      <c r="F15" s="14">
        <v>4586</v>
      </c>
      <c r="G15" s="14">
        <v>9318</v>
      </c>
      <c r="H15" s="14">
        <v>6589</v>
      </c>
      <c r="I15" s="14">
        <v>3478</v>
      </c>
      <c r="J15" s="14">
        <v>3919</v>
      </c>
      <c r="K15" s="14">
        <v>3586</v>
      </c>
      <c r="L15" s="14">
        <v>2195</v>
      </c>
      <c r="M15" s="14">
        <v>975</v>
      </c>
      <c r="N15" s="12">
        <f t="shared" si="2"/>
        <v>51042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23326</v>
      </c>
      <c r="C16" s="14">
        <f>C17+C18+C19</f>
        <v>16697</v>
      </c>
      <c r="D16" s="14">
        <f>D17+D18+D19</f>
        <v>17826</v>
      </c>
      <c r="E16" s="14">
        <f>E17+E18+E19</f>
        <v>2665</v>
      </c>
      <c r="F16" s="14">
        <f aca="true" t="shared" si="5" ref="F16:M16">F17+F18+F19</f>
        <v>15024</v>
      </c>
      <c r="G16" s="14">
        <f t="shared" si="5"/>
        <v>25862</v>
      </c>
      <c r="H16" s="14">
        <f t="shared" si="5"/>
        <v>21825</v>
      </c>
      <c r="I16" s="14">
        <f t="shared" si="5"/>
        <v>21403</v>
      </c>
      <c r="J16" s="14">
        <f t="shared" si="5"/>
        <v>14706</v>
      </c>
      <c r="K16" s="14">
        <f t="shared" si="5"/>
        <v>19079</v>
      </c>
      <c r="L16" s="14">
        <f t="shared" si="5"/>
        <v>7076</v>
      </c>
      <c r="M16" s="14">
        <f t="shared" si="5"/>
        <v>3468</v>
      </c>
      <c r="N16" s="12">
        <f t="shared" si="2"/>
        <v>188957</v>
      </c>
    </row>
    <row r="17" spans="1:25" ht="18.75" customHeight="1">
      <c r="A17" s="15" t="s">
        <v>16</v>
      </c>
      <c r="B17" s="14">
        <v>14843</v>
      </c>
      <c r="C17" s="14">
        <v>11304</v>
      </c>
      <c r="D17" s="14">
        <v>10595</v>
      </c>
      <c r="E17" s="14">
        <v>1752</v>
      </c>
      <c r="F17" s="14">
        <v>9613</v>
      </c>
      <c r="G17" s="14">
        <v>16693</v>
      </c>
      <c r="H17" s="14">
        <v>14160</v>
      </c>
      <c r="I17" s="14">
        <v>13831</v>
      </c>
      <c r="J17" s="14">
        <v>9280</v>
      </c>
      <c r="K17" s="14">
        <v>11985</v>
      </c>
      <c r="L17" s="14">
        <v>4506</v>
      </c>
      <c r="M17" s="14">
        <v>2155</v>
      </c>
      <c r="N17" s="12">
        <f t="shared" si="2"/>
        <v>120717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7156</v>
      </c>
      <c r="C18" s="14">
        <v>3798</v>
      </c>
      <c r="D18" s="14">
        <v>6261</v>
      </c>
      <c r="E18" s="14">
        <v>750</v>
      </c>
      <c r="F18" s="14">
        <v>4112</v>
      </c>
      <c r="G18" s="14">
        <v>6826</v>
      </c>
      <c r="H18" s="14">
        <v>6054</v>
      </c>
      <c r="I18" s="14">
        <v>6787</v>
      </c>
      <c r="J18" s="14">
        <v>4608</v>
      </c>
      <c r="K18" s="14">
        <v>6303</v>
      </c>
      <c r="L18" s="14">
        <v>2164</v>
      </c>
      <c r="M18" s="14">
        <v>1103</v>
      </c>
      <c r="N18" s="12">
        <f t="shared" si="2"/>
        <v>55922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1327</v>
      </c>
      <c r="C19" s="14">
        <v>1595</v>
      </c>
      <c r="D19" s="14">
        <v>970</v>
      </c>
      <c r="E19" s="14">
        <v>163</v>
      </c>
      <c r="F19" s="14">
        <v>1299</v>
      </c>
      <c r="G19" s="14">
        <v>2343</v>
      </c>
      <c r="H19" s="14">
        <v>1611</v>
      </c>
      <c r="I19" s="14">
        <v>785</v>
      </c>
      <c r="J19" s="14">
        <v>818</v>
      </c>
      <c r="K19" s="14">
        <v>791</v>
      </c>
      <c r="L19" s="14">
        <v>406</v>
      </c>
      <c r="M19" s="14">
        <v>210</v>
      </c>
      <c r="N19" s="12">
        <f t="shared" si="2"/>
        <v>12318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133568</v>
      </c>
      <c r="C20" s="18">
        <f>C21+C22+C23</f>
        <v>84847</v>
      </c>
      <c r="D20" s="18">
        <f>D21+D22+D23</f>
        <v>77318</v>
      </c>
      <c r="E20" s="18">
        <f>E21+E22+E23</f>
        <v>12109</v>
      </c>
      <c r="F20" s="18">
        <f aca="true" t="shared" si="6" ref="F20:M20">F21+F22+F23</f>
        <v>64295</v>
      </c>
      <c r="G20" s="18">
        <f t="shared" si="6"/>
        <v>109742</v>
      </c>
      <c r="H20" s="18">
        <f t="shared" si="6"/>
        <v>115621</v>
      </c>
      <c r="I20" s="18">
        <f t="shared" si="6"/>
        <v>105289</v>
      </c>
      <c r="J20" s="18">
        <f t="shared" si="6"/>
        <v>71099</v>
      </c>
      <c r="K20" s="18">
        <f t="shared" si="6"/>
        <v>106674</v>
      </c>
      <c r="L20" s="18">
        <f t="shared" si="6"/>
        <v>42986</v>
      </c>
      <c r="M20" s="18">
        <f t="shared" si="6"/>
        <v>23177</v>
      </c>
      <c r="N20" s="12">
        <f aca="true" t="shared" si="7" ref="N20:N26">SUM(B20:M20)</f>
        <v>946725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71943</v>
      </c>
      <c r="C21" s="14">
        <v>48755</v>
      </c>
      <c r="D21" s="14">
        <v>43758</v>
      </c>
      <c r="E21" s="14">
        <v>6847</v>
      </c>
      <c r="F21" s="14">
        <v>36043</v>
      </c>
      <c r="G21" s="14">
        <v>63468</v>
      </c>
      <c r="H21" s="14">
        <v>67647</v>
      </c>
      <c r="I21" s="14">
        <v>59510</v>
      </c>
      <c r="J21" s="14">
        <v>39683</v>
      </c>
      <c r="K21" s="14">
        <v>57736</v>
      </c>
      <c r="L21" s="14">
        <v>23362</v>
      </c>
      <c r="M21" s="14">
        <v>12261</v>
      </c>
      <c r="N21" s="12">
        <f t="shared" si="7"/>
        <v>531013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58896</v>
      </c>
      <c r="C22" s="14">
        <v>33526</v>
      </c>
      <c r="D22" s="14">
        <v>32172</v>
      </c>
      <c r="E22" s="14">
        <v>4941</v>
      </c>
      <c r="F22" s="14">
        <v>26643</v>
      </c>
      <c r="G22" s="14">
        <v>42920</v>
      </c>
      <c r="H22" s="14">
        <v>45505</v>
      </c>
      <c r="I22" s="14">
        <v>43910</v>
      </c>
      <c r="J22" s="14">
        <v>29833</v>
      </c>
      <c r="K22" s="14">
        <v>46908</v>
      </c>
      <c r="L22" s="14">
        <v>18649</v>
      </c>
      <c r="M22" s="14">
        <v>10469</v>
      </c>
      <c r="N22" s="12">
        <f t="shared" si="7"/>
        <v>394372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2729</v>
      </c>
      <c r="C23" s="14">
        <v>2566</v>
      </c>
      <c r="D23" s="14">
        <v>1388</v>
      </c>
      <c r="E23" s="14">
        <v>321</v>
      </c>
      <c r="F23" s="14">
        <v>1609</v>
      </c>
      <c r="G23" s="14">
        <v>3354</v>
      </c>
      <c r="H23" s="14">
        <v>2469</v>
      </c>
      <c r="I23" s="14">
        <v>1869</v>
      </c>
      <c r="J23" s="14">
        <v>1583</v>
      </c>
      <c r="K23" s="14">
        <v>2030</v>
      </c>
      <c r="L23" s="14">
        <v>975</v>
      </c>
      <c r="M23" s="14">
        <v>447</v>
      </c>
      <c r="N23" s="12">
        <f t="shared" si="7"/>
        <v>21340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158984</v>
      </c>
      <c r="C24" s="14">
        <f>C25+C26</f>
        <v>121505</v>
      </c>
      <c r="D24" s="14">
        <f>D25+D26</f>
        <v>111242</v>
      </c>
      <c r="E24" s="14">
        <f>E25+E26</f>
        <v>20111</v>
      </c>
      <c r="F24" s="14">
        <f aca="true" t="shared" si="8" ref="F24:M24">F25+F26</f>
        <v>107963</v>
      </c>
      <c r="G24" s="14">
        <f t="shared" si="8"/>
        <v>164042</v>
      </c>
      <c r="H24" s="14">
        <f t="shared" si="8"/>
        <v>139799</v>
      </c>
      <c r="I24" s="14">
        <f t="shared" si="8"/>
        <v>112379</v>
      </c>
      <c r="J24" s="14">
        <f t="shared" si="8"/>
        <v>88174</v>
      </c>
      <c r="K24" s="14">
        <f t="shared" si="8"/>
        <v>94794</v>
      </c>
      <c r="L24" s="14">
        <f t="shared" si="8"/>
        <v>32808</v>
      </c>
      <c r="M24" s="14">
        <f t="shared" si="8"/>
        <v>17519</v>
      </c>
      <c r="N24" s="12">
        <f t="shared" si="7"/>
        <v>1169320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72598</v>
      </c>
      <c r="C25" s="14">
        <v>61480</v>
      </c>
      <c r="D25" s="14">
        <v>55457</v>
      </c>
      <c r="E25" s="14">
        <v>10937</v>
      </c>
      <c r="F25" s="14">
        <v>53292</v>
      </c>
      <c r="G25" s="14">
        <v>84505</v>
      </c>
      <c r="H25" s="14">
        <v>74519</v>
      </c>
      <c r="I25" s="14">
        <v>51506</v>
      </c>
      <c r="J25" s="14">
        <v>45396</v>
      </c>
      <c r="K25" s="14">
        <v>43264</v>
      </c>
      <c r="L25" s="14">
        <v>14991</v>
      </c>
      <c r="M25" s="14">
        <v>7296</v>
      </c>
      <c r="N25" s="12">
        <f t="shared" si="7"/>
        <v>575241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f>57455+28931</f>
        <v>86386</v>
      </c>
      <c r="C26" s="14">
        <f>42030+17995</f>
        <v>60025</v>
      </c>
      <c r="D26" s="14">
        <f>41079+14706</f>
        <v>55785</v>
      </c>
      <c r="E26" s="14">
        <f>6557+2617</f>
        <v>9174</v>
      </c>
      <c r="F26" s="14">
        <f>40378+14293</f>
        <v>54671</v>
      </c>
      <c r="G26" s="14">
        <f>57995+21542</f>
        <v>79537</v>
      </c>
      <c r="H26" s="14">
        <f>48800+16480</f>
        <v>65280</v>
      </c>
      <c r="I26" s="14">
        <f>42327+18546</f>
        <v>60873</v>
      </c>
      <c r="J26" s="14">
        <f>30529+12249</f>
        <v>42778</v>
      </c>
      <c r="K26" s="14">
        <f>34851+16679</f>
        <v>51530</v>
      </c>
      <c r="L26" s="14">
        <f>12260+5557</f>
        <v>17817</v>
      </c>
      <c r="M26" s="14">
        <f>7430+2793</f>
        <v>10223</v>
      </c>
      <c r="N26" s="12">
        <f t="shared" si="7"/>
        <v>594079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2">
        <f>+B29+B30</f>
        <v>1.87210546</v>
      </c>
      <c r="C28" s="22">
        <f aca="true" t="shared" si="9" ref="C28:M28">+C29+C30</f>
        <v>1.8086</v>
      </c>
      <c r="D28" s="22">
        <f t="shared" si="9"/>
        <v>1.67545005</v>
      </c>
      <c r="E28" s="22">
        <f t="shared" si="9"/>
        <v>2.3279184</v>
      </c>
      <c r="F28" s="22">
        <f t="shared" si="9"/>
        <v>1.95524205</v>
      </c>
      <c r="G28" s="22">
        <f t="shared" si="9"/>
        <v>1.5492</v>
      </c>
      <c r="H28" s="22">
        <f t="shared" si="9"/>
        <v>1.8149</v>
      </c>
      <c r="I28" s="22">
        <f t="shared" si="9"/>
        <v>1.7715117999999999</v>
      </c>
      <c r="J28" s="22">
        <f t="shared" si="9"/>
        <v>1.9951343000000001</v>
      </c>
      <c r="K28" s="22">
        <f t="shared" si="9"/>
        <v>1.90744976</v>
      </c>
      <c r="L28" s="22">
        <f t="shared" si="9"/>
        <v>2.26553143</v>
      </c>
      <c r="M28" s="22">
        <f t="shared" si="9"/>
        <v>2.21827856</v>
      </c>
      <c r="N28" s="63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2">
        <v>1.8783</v>
      </c>
      <c r="C29" s="22">
        <v>1.8146</v>
      </c>
      <c r="D29" s="22">
        <v>1.681</v>
      </c>
      <c r="E29" s="22">
        <v>2.3342</v>
      </c>
      <c r="F29" s="22">
        <v>1.9616</v>
      </c>
      <c r="G29" s="22">
        <v>1.5543</v>
      </c>
      <c r="H29" s="22">
        <v>1.8205</v>
      </c>
      <c r="I29" s="22">
        <v>1.7772</v>
      </c>
      <c r="J29" s="22">
        <v>2.0015</v>
      </c>
      <c r="K29" s="22">
        <v>1.9137</v>
      </c>
      <c r="L29" s="22">
        <v>2.2729</v>
      </c>
      <c r="M29" s="22">
        <v>2.2256</v>
      </c>
      <c r="N29" s="23"/>
    </row>
    <row r="30" spans="1:25" ht="18.75" customHeight="1">
      <c r="A30" s="51" t="s">
        <v>50</v>
      </c>
      <c r="B30" s="22">
        <v>-0.00619454</v>
      </c>
      <c r="C30" s="22">
        <v>-0.006</v>
      </c>
      <c r="D30" s="22">
        <v>-0.00554995</v>
      </c>
      <c r="E30" s="22">
        <v>-0.0062816</v>
      </c>
      <c r="F30" s="22">
        <v>-0.00635795</v>
      </c>
      <c r="G30" s="22">
        <v>-0.0051</v>
      </c>
      <c r="H30" s="22">
        <v>-0.0056</v>
      </c>
      <c r="I30" s="22">
        <v>-0.0056882</v>
      </c>
      <c r="J30" s="22">
        <v>-0.0063657</v>
      </c>
      <c r="K30" s="22">
        <v>-0.00625024</v>
      </c>
      <c r="L30" s="22">
        <v>-0.00736857</v>
      </c>
      <c r="M30" s="22">
        <v>-0.00732144</v>
      </c>
      <c r="N30" s="64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1:14" ht="18.75" customHeight="1">
      <c r="A32" s="54" t="s">
        <v>51</v>
      </c>
      <c r="B32" s="55">
        <f>+B33*B34</f>
        <v>3257.0800000000004</v>
      </c>
      <c r="C32" s="55">
        <f aca="true" t="shared" si="10" ref="C32:M32">+C33*C34</f>
        <v>2478.1200000000003</v>
      </c>
      <c r="D32" s="55">
        <f t="shared" si="10"/>
        <v>2161.4</v>
      </c>
      <c r="E32" s="55">
        <f t="shared" si="10"/>
        <v>646.2800000000001</v>
      </c>
      <c r="F32" s="55">
        <f t="shared" si="10"/>
        <v>2161.4</v>
      </c>
      <c r="G32" s="55">
        <f t="shared" si="10"/>
        <v>2662.1600000000003</v>
      </c>
      <c r="H32" s="55">
        <f t="shared" si="10"/>
        <v>2897.56</v>
      </c>
      <c r="I32" s="55">
        <f t="shared" si="10"/>
        <v>2546.6000000000004</v>
      </c>
      <c r="J32" s="55">
        <f t="shared" si="10"/>
        <v>2118.6</v>
      </c>
      <c r="K32" s="55">
        <f t="shared" si="10"/>
        <v>2602.2400000000002</v>
      </c>
      <c r="L32" s="55">
        <f t="shared" si="10"/>
        <v>1271.16</v>
      </c>
      <c r="M32" s="55">
        <f t="shared" si="10"/>
        <v>719.0400000000001</v>
      </c>
      <c r="N32" s="24">
        <f>SUM(B32:M32)</f>
        <v>25521.64</v>
      </c>
    </row>
    <row r="33" spans="1:25" ht="18.75" customHeight="1">
      <c r="A33" s="51" t="s">
        <v>52</v>
      </c>
      <c r="B33" s="57">
        <v>761</v>
      </c>
      <c r="C33" s="57">
        <v>579</v>
      </c>
      <c r="D33" s="57">
        <v>505</v>
      </c>
      <c r="E33" s="57">
        <v>151</v>
      </c>
      <c r="F33" s="57">
        <v>505</v>
      </c>
      <c r="G33" s="57">
        <v>622</v>
      </c>
      <c r="H33" s="57">
        <v>677</v>
      </c>
      <c r="I33" s="57">
        <v>595</v>
      </c>
      <c r="J33" s="57">
        <v>495</v>
      </c>
      <c r="K33" s="57">
        <v>608</v>
      </c>
      <c r="L33" s="57">
        <v>297</v>
      </c>
      <c r="M33" s="57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1" t="s">
        <v>53</v>
      </c>
      <c r="B34" s="53">
        <v>4.28</v>
      </c>
      <c r="C34" s="53">
        <v>4.28</v>
      </c>
      <c r="D34" s="53">
        <v>4.28</v>
      </c>
      <c r="E34" s="53">
        <v>4.28</v>
      </c>
      <c r="F34" s="53">
        <v>4.28</v>
      </c>
      <c r="G34" s="53">
        <v>4.28</v>
      </c>
      <c r="H34" s="53">
        <v>4.28</v>
      </c>
      <c r="I34" s="53">
        <v>4.28</v>
      </c>
      <c r="J34" s="53">
        <v>4.28</v>
      </c>
      <c r="K34" s="53">
        <v>4.28</v>
      </c>
      <c r="L34" s="53">
        <v>4.28</v>
      </c>
      <c r="M34" s="53">
        <v>4.28</v>
      </c>
      <c r="N34" s="53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8.75" customHeight="1">
      <c r="A36" s="58" t="s">
        <v>54</v>
      </c>
      <c r="B36" s="59">
        <f>B37+B38+B39+B40</f>
        <v>977025.24659716</v>
      </c>
      <c r="C36" s="59">
        <f aca="true" t="shared" si="11" ref="C36:M36">C37+C38+C39+C40</f>
        <v>704676.113</v>
      </c>
      <c r="D36" s="59">
        <f t="shared" si="11"/>
        <v>663356.7714380001</v>
      </c>
      <c r="E36" s="59">
        <f t="shared" si="11"/>
        <v>142484.0201936</v>
      </c>
      <c r="F36" s="59">
        <f t="shared" si="11"/>
        <v>631731.74292155</v>
      </c>
      <c r="G36" s="59">
        <f t="shared" si="11"/>
        <v>828608.8448000001</v>
      </c>
      <c r="H36" s="59">
        <f t="shared" si="11"/>
        <v>886145.8685</v>
      </c>
      <c r="I36" s="59">
        <f t="shared" si="11"/>
        <v>750978.4482875998</v>
      </c>
      <c r="J36" s="59">
        <f t="shared" si="11"/>
        <v>621879.1384148</v>
      </c>
      <c r="K36" s="59">
        <f t="shared" si="11"/>
        <v>712829.71343744</v>
      </c>
      <c r="L36" s="59">
        <f t="shared" si="11"/>
        <v>358004.00449923</v>
      </c>
      <c r="M36" s="59">
        <f t="shared" si="11"/>
        <v>198329.94896048</v>
      </c>
      <c r="N36" s="59">
        <f>N37+N38+N39+N40</f>
        <v>7476049.861049861</v>
      </c>
    </row>
    <row r="37" spans="1:14" ht="18.75" customHeight="1">
      <c r="A37" s="56" t="s">
        <v>55</v>
      </c>
      <c r="B37" s="53">
        <f>B29*B7</f>
        <v>976990.2318000001</v>
      </c>
      <c r="C37" s="53">
        <f>C29*C7</f>
        <v>704527.523</v>
      </c>
      <c r="D37" s="53">
        <f>D29*D7</f>
        <v>653505.56</v>
      </c>
      <c r="E37" s="53">
        <f>E29*E7</f>
        <v>142220.4718</v>
      </c>
      <c r="F37" s="53">
        <f>F29*F7</f>
        <v>631617.5456</v>
      </c>
      <c r="G37" s="53">
        <f>G29*G7</f>
        <v>828665.7192</v>
      </c>
      <c r="H37" s="53">
        <f>H29*H7</f>
        <v>885973.6325</v>
      </c>
      <c r="I37" s="53">
        <f>I29*I7</f>
        <v>750835.0103999999</v>
      </c>
      <c r="J37" s="53">
        <f>J29*J7</f>
        <v>621737.954</v>
      </c>
      <c r="K37" s="53">
        <f>K29*K7</f>
        <v>712554.7128</v>
      </c>
      <c r="L37" s="53">
        <f>L29*L7</f>
        <v>357893.1069</v>
      </c>
      <c r="M37" s="53">
        <f>M29*M7</f>
        <v>198263.1248</v>
      </c>
      <c r="N37" s="55">
        <f>SUM(B37:M37)</f>
        <v>7464784.592800001</v>
      </c>
    </row>
    <row r="38" spans="1:14" ht="18.75" customHeight="1">
      <c r="A38" s="56" t="s">
        <v>56</v>
      </c>
      <c r="B38" s="53">
        <f>B30*B7</f>
        <v>-3222.06520284</v>
      </c>
      <c r="C38" s="53">
        <f>C30*C7</f>
        <v>-2329.53</v>
      </c>
      <c r="D38" s="53">
        <f>D30*D7</f>
        <v>-2157.5985619999997</v>
      </c>
      <c r="E38" s="53">
        <f>E30*E7</f>
        <v>-382.7316064</v>
      </c>
      <c r="F38" s="53">
        <f>F30*F7</f>
        <v>-2047.2026784500001</v>
      </c>
      <c r="G38" s="53">
        <f>G30*G7</f>
        <v>-2719.0344</v>
      </c>
      <c r="H38" s="53">
        <f>H30*H7</f>
        <v>-2725.324</v>
      </c>
      <c r="I38" s="53">
        <f>I30*I7</f>
        <v>-2403.1621124</v>
      </c>
      <c r="J38" s="53">
        <f>J30*J7</f>
        <v>-1977.4155852000001</v>
      </c>
      <c r="K38" s="53">
        <f>K30*K7</f>
        <v>-2327.23936256</v>
      </c>
      <c r="L38" s="53">
        <f>L30*L7</f>
        <v>-1160.2624007699999</v>
      </c>
      <c r="M38" s="53">
        <f>M30*M7</f>
        <v>-652.21583952</v>
      </c>
      <c r="N38" s="24">
        <f>SUM(B38:M38)</f>
        <v>-24103.781750140002</v>
      </c>
    </row>
    <row r="39" spans="1:14" ht="18.75" customHeight="1">
      <c r="A39" s="56" t="s">
        <v>57</v>
      </c>
      <c r="B39" s="53">
        <f aca="true" t="shared" si="12" ref="B39:M39">B32</f>
        <v>3257.0800000000004</v>
      </c>
      <c r="C39" s="53">
        <f t="shared" si="12"/>
        <v>2478.1200000000003</v>
      </c>
      <c r="D39" s="53">
        <f t="shared" si="12"/>
        <v>2161.4</v>
      </c>
      <c r="E39" s="53">
        <f t="shared" si="12"/>
        <v>646.2800000000001</v>
      </c>
      <c r="F39" s="53">
        <f t="shared" si="12"/>
        <v>2161.4</v>
      </c>
      <c r="G39" s="53">
        <f t="shared" si="12"/>
        <v>2662.1600000000003</v>
      </c>
      <c r="H39" s="53">
        <f t="shared" si="12"/>
        <v>2897.56</v>
      </c>
      <c r="I39" s="53">
        <f t="shared" si="12"/>
        <v>2546.6000000000004</v>
      </c>
      <c r="J39" s="53">
        <f t="shared" si="12"/>
        <v>2118.6</v>
      </c>
      <c r="K39" s="53">
        <f t="shared" si="12"/>
        <v>2602.2400000000002</v>
      </c>
      <c r="L39" s="53">
        <f t="shared" si="12"/>
        <v>1271.16</v>
      </c>
      <c r="M39" s="53">
        <f t="shared" si="12"/>
        <v>719.0400000000001</v>
      </c>
      <c r="N39" s="55">
        <f>SUM(B39:M39)</f>
        <v>25521.64</v>
      </c>
    </row>
    <row r="40" spans="1:25" ht="18.75" customHeight="1">
      <c r="A40" s="2" t="s">
        <v>58</v>
      </c>
      <c r="B40" s="53">
        <v>0</v>
      </c>
      <c r="C40" s="53">
        <v>0</v>
      </c>
      <c r="D40" s="53">
        <v>9847.41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5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0"/>
    </row>
    <row r="42" spans="1:14" ht="18.75" customHeight="1">
      <c r="A42" s="2" t="s">
        <v>59</v>
      </c>
      <c r="B42" s="24">
        <f>+B43+B46+B54+B55</f>
        <v>-67807.03</v>
      </c>
      <c r="C42" s="24">
        <f aca="true" t="shared" si="13" ref="C42:M42">+C43+C46+C54+C55</f>
        <v>-11998.009999999995</v>
      </c>
      <c r="D42" s="24">
        <f t="shared" si="13"/>
        <v>-11675.810000000005</v>
      </c>
      <c r="E42" s="24">
        <f t="shared" si="13"/>
        <v>-21729.890000000003</v>
      </c>
      <c r="F42" s="24">
        <f t="shared" si="13"/>
        <v>348166.01</v>
      </c>
      <c r="G42" s="24">
        <f t="shared" si="13"/>
        <v>18909.960000000006</v>
      </c>
      <c r="H42" s="24">
        <f t="shared" si="13"/>
        <v>55871.37000000001</v>
      </c>
      <c r="I42" s="24">
        <f t="shared" si="13"/>
        <v>-8034.320000000007</v>
      </c>
      <c r="J42" s="24">
        <f t="shared" si="13"/>
        <v>-44837.11</v>
      </c>
      <c r="K42" s="24">
        <f t="shared" si="13"/>
        <v>64413.42999999999</v>
      </c>
      <c r="L42" s="24">
        <f t="shared" si="13"/>
        <v>-43964.78</v>
      </c>
      <c r="M42" s="24">
        <f t="shared" si="13"/>
        <v>-25723.82</v>
      </c>
      <c r="N42" s="24">
        <f>+N43+N46+N54+N55</f>
        <v>251590</v>
      </c>
    </row>
    <row r="43" spans="1:14" ht="18.75" customHeight="1">
      <c r="A43" s="17" t="s">
        <v>60</v>
      </c>
      <c r="B43" s="25">
        <f>B44+B45</f>
        <v>-78781.6</v>
      </c>
      <c r="C43" s="25">
        <f>C44+C45</f>
        <v>-80096.4</v>
      </c>
      <c r="D43" s="25">
        <f>D44+D45</f>
        <v>-54537.6</v>
      </c>
      <c r="E43" s="25">
        <f>E44+E45</f>
        <v>-8443.6</v>
      </c>
      <c r="F43" s="25">
        <f aca="true" t="shared" si="14" ref="F43:M43">F44+F45</f>
        <v>-43323.8</v>
      </c>
      <c r="G43" s="25">
        <f t="shared" si="14"/>
        <v>-90265.2</v>
      </c>
      <c r="H43" s="25">
        <f t="shared" si="14"/>
        <v>-106115</v>
      </c>
      <c r="I43" s="25">
        <f t="shared" si="14"/>
        <v>-47066.8</v>
      </c>
      <c r="J43" s="25">
        <f t="shared" si="14"/>
        <v>-65143.4</v>
      </c>
      <c r="K43" s="25">
        <f t="shared" si="14"/>
        <v>-51178.4</v>
      </c>
      <c r="L43" s="25">
        <f t="shared" si="14"/>
        <v>-36540.8</v>
      </c>
      <c r="M43" s="25">
        <f t="shared" si="14"/>
        <v>-22005.8</v>
      </c>
      <c r="N43" s="24">
        <f aca="true" t="shared" si="15" ref="N43:N55">SUM(B43:M43)</f>
        <v>-683498.4000000001</v>
      </c>
    </row>
    <row r="44" spans="1:25" ht="18.75" customHeight="1">
      <c r="A44" s="13" t="s">
        <v>61</v>
      </c>
      <c r="B44" s="20">
        <f>ROUND(-B9*$D$3,2)</f>
        <v>-78781.6</v>
      </c>
      <c r="C44" s="20">
        <f>ROUND(-C9*$D$3,2)</f>
        <v>-80096.4</v>
      </c>
      <c r="D44" s="20">
        <f>ROUND(-D9*$D$3,2)</f>
        <v>-54537.6</v>
      </c>
      <c r="E44" s="20">
        <f>ROUND(-E9*$D$3,2)</f>
        <v>-8443.6</v>
      </c>
      <c r="F44" s="20">
        <f aca="true" t="shared" si="16" ref="F44:M44">ROUND(-F9*$D$3,2)</f>
        <v>-43323.8</v>
      </c>
      <c r="G44" s="20">
        <f t="shared" si="16"/>
        <v>-90265.2</v>
      </c>
      <c r="H44" s="20">
        <f t="shared" si="16"/>
        <v>-106115</v>
      </c>
      <c r="I44" s="20">
        <f t="shared" si="16"/>
        <v>-47066.8</v>
      </c>
      <c r="J44" s="20">
        <f t="shared" si="16"/>
        <v>-65143.4</v>
      </c>
      <c r="K44" s="20">
        <f t="shared" si="16"/>
        <v>-51178.4</v>
      </c>
      <c r="L44" s="20">
        <f t="shared" si="16"/>
        <v>-36540.8</v>
      </c>
      <c r="M44" s="20">
        <f t="shared" si="16"/>
        <v>-22005.8</v>
      </c>
      <c r="N44" s="45">
        <f t="shared" si="15"/>
        <v>-683498.4000000001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7" ref="F45:M45">ROUND(F11*$D$3,2)</f>
        <v>0</v>
      </c>
      <c r="G45" s="20">
        <f t="shared" si="17"/>
        <v>0</v>
      </c>
      <c r="H45" s="20">
        <f t="shared" si="17"/>
        <v>0</v>
      </c>
      <c r="I45" s="20">
        <f t="shared" si="17"/>
        <v>0</v>
      </c>
      <c r="J45" s="20">
        <f t="shared" si="17"/>
        <v>0</v>
      </c>
      <c r="K45" s="20">
        <f t="shared" si="17"/>
        <v>0</v>
      </c>
      <c r="L45" s="20">
        <f t="shared" si="17"/>
        <v>0</v>
      </c>
      <c r="M45" s="20">
        <f t="shared" si="17"/>
        <v>0</v>
      </c>
      <c r="N45" s="45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5">
        <f>SUM(B47:B53)</f>
        <v>-11515.949999999999</v>
      </c>
      <c r="C46" s="25">
        <f aca="true" t="shared" si="18" ref="C46:M46">SUM(C47:C53)</f>
        <v>-20839.56</v>
      </c>
      <c r="D46" s="25">
        <f t="shared" si="18"/>
        <v>-9249.300000000001</v>
      </c>
      <c r="E46" s="25">
        <f t="shared" si="18"/>
        <v>-13785.8</v>
      </c>
      <c r="F46" s="25">
        <f t="shared" si="18"/>
        <v>-17812.260000000002</v>
      </c>
      <c r="G46" s="25">
        <f t="shared" si="18"/>
        <v>-11875.64</v>
      </c>
      <c r="H46" s="25">
        <f t="shared" si="18"/>
        <v>-11676.58</v>
      </c>
      <c r="I46" s="25">
        <f t="shared" si="18"/>
        <v>-50303.86</v>
      </c>
      <c r="J46" s="25">
        <f t="shared" si="18"/>
        <v>-3202.44</v>
      </c>
      <c r="K46" s="25">
        <f t="shared" si="18"/>
        <v>-39818.44</v>
      </c>
      <c r="L46" s="25">
        <f t="shared" si="18"/>
        <v>-8395.6</v>
      </c>
      <c r="M46" s="25">
        <f t="shared" si="18"/>
        <v>-6162.8</v>
      </c>
      <c r="N46" s="25">
        <f>SUM(N47:N53)</f>
        <v>-204638.23</v>
      </c>
    </row>
    <row r="47" spans="1:25" ht="18.75" customHeight="1">
      <c r="A47" s="13" t="s">
        <v>64</v>
      </c>
      <c r="B47" s="23">
        <v>-11306.23</v>
      </c>
      <c r="C47" s="23">
        <v>-20719.72</v>
      </c>
      <c r="D47" s="23">
        <v>-9150.86</v>
      </c>
      <c r="E47" s="23">
        <v>-13743</v>
      </c>
      <c r="F47" s="23">
        <v>-17790.86</v>
      </c>
      <c r="G47" s="23">
        <v>-11820</v>
      </c>
      <c r="H47" s="23">
        <v>-11676.58</v>
      </c>
      <c r="I47" s="23">
        <v>-50201.14</v>
      </c>
      <c r="J47" s="23">
        <v>-2997</v>
      </c>
      <c r="K47" s="23">
        <v>-39720</v>
      </c>
      <c r="L47" s="23">
        <v>-8310</v>
      </c>
      <c r="M47" s="23">
        <v>-6120</v>
      </c>
      <c r="N47" s="23">
        <f t="shared" si="15"/>
        <v>-203555.39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f t="shared" si="15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f t="shared" si="15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f t="shared" si="15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f t="shared" si="15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f t="shared" si="15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3">
        <v>-209.72</v>
      </c>
      <c r="C53" s="23">
        <v>-119.84</v>
      </c>
      <c r="D53" s="23">
        <v>-98.44</v>
      </c>
      <c r="E53" s="23">
        <v>-42.8</v>
      </c>
      <c r="F53" s="23">
        <v>-21.4</v>
      </c>
      <c r="G53" s="23">
        <v>-55.64</v>
      </c>
      <c r="H53" s="23">
        <v>0</v>
      </c>
      <c r="I53" s="23">
        <v>-102.72</v>
      </c>
      <c r="J53" s="23">
        <v>-205.44</v>
      </c>
      <c r="K53" s="23">
        <v>-98.44</v>
      </c>
      <c r="L53" s="23">
        <v>-85.6</v>
      </c>
      <c r="M53" s="23">
        <v>-42.8</v>
      </c>
      <c r="N53" s="23">
        <f t="shared" si="15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6">
        <v>22490.52</v>
      </c>
      <c r="C54" s="26">
        <v>88937.95</v>
      </c>
      <c r="D54" s="26">
        <v>52111.09</v>
      </c>
      <c r="E54" s="26">
        <v>499.51</v>
      </c>
      <c r="F54" s="26">
        <v>409302.07</v>
      </c>
      <c r="G54" s="26">
        <v>121050.8</v>
      </c>
      <c r="H54" s="26">
        <v>173662.95</v>
      </c>
      <c r="I54" s="26">
        <v>89336.34</v>
      </c>
      <c r="J54" s="26">
        <v>23508.73</v>
      </c>
      <c r="K54" s="26">
        <v>155410.27</v>
      </c>
      <c r="L54" s="26">
        <v>971.62</v>
      </c>
      <c r="M54" s="26">
        <v>2444.78</v>
      </c>
      <c r="N54" s="23">
        <f t="shared" si="15"/>
        <v>1139726.6300000001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3">
        <f t="shared" si="15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20"/>
    </row>
    <row r="57" spans="1:25" ht="15.75">
      <c r="A57" s="2" t="s">
        <v>72</v>
      </c>
      <c r="B57" s="28">
        <f aca="true" t="shared" si="19" ref="B57:M57">+B36+B42</f>
        <v>909218.21659716</v>
      </c>
      <c r="C57" s="28">
        <f t="shared" si="19"/>
        <v>692678.103</v>
      </c>
      <c r="D57" s="28">
        <f t="shared" si="19"/>
        <v>651680.9614380001</v>
      </c>
      <c r="E57" s="28">
        <f t="shared" si="19"/>
        <v>120754.13019360001</v>
      </c>
      <c r="F57" s="28">
        <f t="shared" si="19"/>
        <v>979897.75292155</v>
      </c>
      <c r="G57" s="28">
        <f t="shared" si="19"/>
        <v>847518.8048</v>
      </c>
      <c r="H57" s="28">
        <f t="shared" si="19"/>
        <v>942017.2385</v>
      </c>
      <c r="I57" s="28">
        <f t="shared" si="19"/>
        <v>742944.1282875999</v>
      </c>
      <c r="J57" s="28">
        <f t="shared" si="19"/>
        <v>577042.0284148001</v>
      </c>
      <c r="K57" s="28">
        <f t="shared" si="19"/>
        <v>777243.14343744</v>
      </c>
      <c r="L57" s="28">
        <f t="shared" si="19"/>
        <v>314039.22449923004</v>
      </c>
      <c r="M57" s="28">
        <f t="shared" si="19"/>
        <v>172606.12896047998</v>
      </c>
      <c r="N57" s="28">
        <f>SUM(B57:M57)</f>
        <v>7727639.861049861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3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  <c r="P58" s="71"/>
    </row>
    <row r="59" spans="1:14" ht="15" customHeight="1">
      <c r="A59" s="2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</row>
    <row r="60" spans="1:14" ht="18.75" customHeight="1">
      <c r="A60" s="2" t="s">
        <v>73</v>
      </c>
      <c r="B60" s="35">
        <f>SUM(B61:B74)</f>
        <v>909218.21</v>
      </c>
      <c r="C60" s="35">
        <f aca="true" t="shared" si="20" ref="C60:M60">SUM(C61:C74)</f>
        <v>692678.1100000001</v>
      </c>
      <c r="D60" s="35">
        <f t="shared" si="20"/>
        <v>651680.96</v>
      </c>
      <c r="E60" s="35">
        <f t="shared" si="20"/>
        <v>120754.12999999999</v>
      </c>
      <c r="F60" s="35">
        <f t="shared" si="20"/>
        <v>979897.76</v>
      </c>
      <c r="G60" s="35">
        <f t="shared" si="20"/>
        <v>847518.81</v>
      </c>
      <c r="H60" s="35">
        <f t="shared" si="20"/>
        <v>942017.25</v>
      </c>
      <c r="I60" s="35">
        <f t="shared" si="20"/>
        <v>742944.12</v>
      </c>
      <c r="J60" s="35">
        <f t="shared" si="20"/>
        <v>577042.02</v>
      </c>
      <c r="K60" s="35">
        <f t="shared" si="20"/>
        <v>777243.14</v>
      </c>
      <c r="L60" s="35">
        <f t="shared" si="20"/>
        <v>314039.23</v>
      </c>
      <c r="M60" s="35">
        <f t="shared" si="20"/>
        <v>172606.12</v>
      </c>
      <c r="N60" s="28">
        <f>SUM(N61:N74)</f>
        <v>7727639.86</v>
      </c>
    </row>
    <row r="61" spans="1:15" ht="18.75" customHeight="1">
      <c r="A61" s="17" t="s">
        <v>74</v>
      </c>
      <c r="B61" s="35">
        <f>619.82+181030.71</f>
        <v>181650.53</v>
      </c>
      <c r="C61" s="35">
        <f>4877.45+177029.01</f>
        <v>181906.46000000002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28">
        <f>SUM(B61:M61)</f>
        <v>363556.99</v>
      </c>
      <c r="O61"/>
    </row>
    <row r="62" spans="1:15" ht="18.75" customHeight="1">
      <c r="A62" s="17" t="s">
        <v>75</v>
      </c>
      <c r="B62" s="35">
        <f>21870.7+705696.98</f>
        <v>727567.6799999999</v>
      </c>
      <c r="C62" s="35">
        <f>84060.5+426711.15</f>
        <v>510771.65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8">
        <f aca="true" t="shared" si="21" ref="N62:N73">SUM(B62:M62)</f>
        <v>1238339.33</v>
      </c>
      <c r="O62"/>
    </row>
    <row r="63" spans="1:16" ht="18.75" customHeight="1">
      <c r="A63" s="17" t="s">
        <v>76</v>
      </c>
      <c r="B63" s="34">
        <v>0</v>
      </c>
      <c r="C63" s="34">
        <v>0</v>
      </c>
      <c r="D63" s="25">
        <f>52111.09+589722.46+9847.41</f>
        <v>651680.96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25">
        <f t="shared" si="21"/>
        <v>651680.96</v>
      </c>
      <c r="P63"/>
    </row>
    <row r="64" spans="1:17" ht="18.75" customHeight="1">
      <c r="A64" s="17" t="s">
        <v>77</v>
      </c>
      <c r="B64" s="34">
        <v>0</v>
      </c>
      <c r="C64" s="34">
        <v>0</v>
      </c>
      <c r="D64" s="34">
        <v>0</v>
      </c>
      <c r="E64" s="25">
        <f>499.51+120254.62</f>
        <v>120754.12999999999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28">
        <f t="shared" si="21"/>
        <v>120754.12999999999</v>
      </c>
      <c r="Q64"/>
    </row>
    <row r="65" spans="1:18" ht="18.75" customHeight="1">
      <c r="A65" s="17" t="s">
        <v>78</v>
      </c>
      <c r="B65" s="34">
        <v>0</v>
      </c>
      <c r="C65" s="34">
        <v>0</v>
      </c>
      <c r="D65" s="34">
        <v>0</v>
      </c>
      <c r="E65" s="34">
        <v>0</v>
      </c>
      <c r="F65" s="25">
        <f>409302.07+570595.69</f>
        <v>979897.76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25">
        <f t="shared" si="21"/>
        <v>979897.76</v>
      </c>
      <c r="R65"/>
    </row>
    <row r="66" spans="1:19" ht="18.75" customHeight="1">
      <c r="A66" s="17" t="s">
        <v>79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5">
        <f>121050.8+726468.01</f>
        <v>847518.81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28">
        <f t="shared" si="21"/>
        <v>847518.81</v>
      </c>
      <c r="S66"/>
    </row>
    <row r="67" spans="1:20" ht="18.75" customHeight="1">
      <c r="A67" s="17" t="s">
        <v>80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5">
        <f>171956.4+594821.9</f>
        <v>766778.3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28">
        <f t="shared" si="21"/>
        <v>766778.3</v>
      </c>
      <c r="T67"/>
    </row>
    <row r="68" spans="1:20" ht="18.75" customHeight="1">
      <c r="A68" s="17" t="s">
        <v>81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5">
        <f>1706.55+173532.4</f>
        <v>175238.94999999998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28">
        <f t="shared" si="21"/>
        <v>175238.94999999998</v>
      </c>
      <c r="T68"/>
    </row>
    <row r="69" spans="1:21" ht="18.75" customHeight="1">
      <c r="A69" s="17" t="s">
        <v>82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25">
        <f>89336.34+653607.78</f>
        <v>742944.12</v>
      </c>
      <c r="J69" s="34">
        <v>0</v>
      </c>
      <c r="K69" s="34">
        <v>0</v>
      </c>
      <c r="L69" s="34">
        <v>0</v>
      </c>
      <c r="M69" s="34">
        <v>0</v>
      </c>
      <c r="N69" s="25">
        <f t="shared" si="21"/>
        <v>742944.12</v>
      </c>
      <c r="U69"/>
    </row>
    <row r="70" spans="1:22" ht="18.75" customHeight="1">
      <c r="A70" s="17" t="s">
        <v>83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25">
        <f>23508.73+553533.29</f>
        <v>577042.02</v>
      </c>
      <c r="K70" s="34">
        <v>0</v>
      </c>
      <c r="L70" s="34">
        <v>0</v>
      </c>
      <c r="M70" s="34">
        <v>0</v>
      </c>
      <c r="N70" s="28">
        <f t="shared" si="21"/>
        <v>577042.02</v>
      </c>
      <c r="V70"/>
    </row>
    <row r="71" spans="1:23" ht="18.75" customHeight="1">
      <c r="A71" s="17" t="s">
        <v>84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25">
        <f>155410.27+621832.87</f>
        <v>777243.14</v>
      </c>
      <c r="L71" s="34">
        <v>0</v>
      </c>
      <c r="M71" s="60"/>
      <c r="N71" s="25">
        <f t="shared" si="21"/>
        <v>777243.14</v>
      </c>
      <c r="W71"/>
    </row>
    <row r="72" spans="1:24" ht="18.75" customHeight="1">
      <c r="A72" s="17" t="s">
        <v>85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25">
        <f>971.62+313067.61</f>
        <v>314039.23</v>
      </c>
      <c r="M72" s="34">
        <v>0</v>
      </c>
      <c r="N72" s="28">
        <f t="shared" si="21"/>
        <v>314039.23</v>
      </c>
      <c r="X72"/>
    </row>
    <row r="73" spans="1:25" ht="18.75" customHeight="1">
      <c r="A73" s="17" t="s">
        <v>86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25">
        <f>2444.78+170161.34</f>
        <v>172606.12</v>
      </c>
      <c r="N73" s="25">
        <f t="shared" si="21"/>
        <v>172606.12</v>
      </c>
      <c r="Y73"/>
    </row>
    <row r="74" spans="1:25" ht="18.75" customHeight="1">
      <c r="A74" s="33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5"/>
      <c r="B75" s="66">
        <v>0</v>
      </c>
      <c r="C75" s="66">
        <v>0</v>
      </c>
      <c r="D75" s="66">
        <v>0</v>
      </c>
      <c r="E75" s="66">
        <v>2.3341999704574175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/>
      <c r="N75" s="66"/>
    </row>
    <row r="76" spans="1:14" ht="1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</row>
    <row r="77" spans="1:14" ht="18.75" customHeight="1">
      <c r="A77" s="2" t="s">
        <v>100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8"/>
    </row>
    <row r="78" spans="1:15" ht="18.75" customHeight="1">
      <c r="A78" s="17" t="s">
        <v>87</v>
      </c>
      <c r="B78" s="43">
        <v>2.0913080996452793</v>
      </c>
      <c r="C78" s="43">
        <v>2.0858135608421198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34">
        <v>0</v>
      </c>
      <c r="L78" s="43">
        <v>0</v>
      </c>
      <c r="M78" s="43">
        <v>0</v>
      </c>
      <c r="N78" s="28"/>
      <c r="O78"/>
    </row>
    <row r="79" spans="1:15" ht="18.75" customHeight="1">
      <c r="A79" s="17" t="s">
        <v>88</v>
      </c>
      <c r="B79" s="43">
        <v>1.8321597269884846</v>
      </c>
      <c r="C79" s="43">
        <v>1.7277285274731848</v>
      </c>
      <c r="D79" s="43">
        <v>0</v>
      </c>
      <c r="E79" s="43">
        <v>0</v>
      </c>
      <c r="F79" s="34">
        <v>0</v>
      </c>
      <c r="G79" s="34">
        <v>0</v>
      </c>
      <c r="H79" s="43">
        <v>0</v>
      </c>
      <c r="I79" s="43">
        <v>0</v>
      </c>
      <c r="J79" s="43">
        <v>0</v>
      </c>
      <c r="K79" s="34">
        <v>0</v>
      </c>
      <c r="L79" s="43">
        <v>0</v>
      </c>
      <c r="M79" s="43">
        <v>0</v>
      </c>
      <c r="N79" s="28"/>
      <c r="O79"/>
    </row>
    <row r="80" spans="1:16" ht="18.75" customHeight="1">
      <c r="A80" s="17" t="s">
        <v>89</v>
      </c>
      <c r="B80" s="43">
        <v>0</v>
      </c>
      <c r="C80" s="43">
        <v>0</v>
      </c>
      <c r="D80" s="21">
        <f>(D$37+D$38+D$39)/D$7</f>
        <v>1.6810097783671163</v>
      </c>
      <c r="E80" s="43">
        <v>0</v>
      </c>
      <c r="F80" s="34">
        <v>0</v>
      </c>
      <c r="G80" s="34">
        <v>0</v>
      </c>
      <c r="H80" s="43">
        <v>0</v>
      </c>
      <c r="I80" s="43">
        <v>0</v>
      </c>
      <c r="J80" s="43">
        <v>0</v>
      </c>
      <c r="K80" s="34">
        <v>0</v>
      </c>
      <c r="L80" s="43">
        <v>0</v>
      </c>
      <c r="M80" s="43">
        <v>0</v>
      </c>
      <c r="N80" s="25"/>
      <c r="P80"/>
    </row>
    <row r="81" spans="1:17" ht="18.75" customHeight="1">
      <c r="A81" s="17" t="s">
        <v>90</v>
      </c>
      <c r="B81" s="43">
        <v>0</v>
      </c>
      <c r="C81" s="43">
        <v>0</v>
      </c>
      <c r="D81" s="43">
        <v>0</v>
      </c>
      <c r="E81" s="21">
        <f>(E$37+E$38+E$39)/E$7</f>
        <v>2.3385255000672918</v>
      </c>
      <c r="F81" s="34">
        <v>0</v>
      </c>
      <c r="G81" s="34">
        <v>0</v>
      </c>
      <c r="H81" s="43">
        <v>0</v>
      </c>
      <c r="I81" s="43">
        <v>0</v>
      </c>
      <c r="J81" s="43">
        <v>0</v>
      </c>
      <c r="K81" s="34">
        <v>0</v>
      </c>
      <c r="L81" s="43">
        <v>0</v>
      </c>
      <c r="M81" s="43">
        <v>0</v>
      </c>
      <c r="N81" s="28"/>
      <c r="Q81"/>
    </row>
    <row r="82" spans="1:18" ht="18.75" customHeight="1">
      <c r="A82" s="17" t="s">
        <v>91</v>
      </c>
      <c r="B82" s="43">
        <v>0</v>
      </c>
      <c r="C82" s="43">
        <v>0</v>
      </c>
      <c r="D82" s="43">
        <v>0</v>
      </c>
      <c r="E82" s="43">
        <v>0</v>
      </c>
      <c r="F82" s="43">
        <f>(F$37+F$38+F$39)/F$7</f>
        <v>1.961954659979782</v>
      </c>
      <c r="G82" s="34">
        <v>0</v>
      </c>
      <c r="H82" s="43">
        <v>0</v>
      </c>
      <c r="I82" s="43">
        <v>0</v>
      </c>
      <c r="J82" s="43">
        <v>0</v>
      </c>
      <c r="K82" s="34">
        <v>0</v>
      </c>
      <c r="L82" s="43">
        <v>0</v>
      </c>
      <c r="M82" s="43">
        <v>0</v>
      </c>
      <c r="N82" s="25"/>
      <c r="R82"/>
    </row>
    <row r="83" spans="1:19" ht="18.75" customHeight="1">
      <c r="A83" s="17" t="s">
        <v>92</v>
      </c>
      <c r="B83" s="43">
        <v>0</v>
      </c>
      <c r="C83" s="43">
        <v>0</v>
      </c>
      <c r="D83" s="43">
        <v>0</v>
      </c>
      <c r="E83" s="43">
        <v>0</v>
      </c>
      <c r="F83" s="34">
        <v>0</v>
      </c>
      <c r="G83" s="43">
        <f>(G$37+G$38+G$39)/G$7</f>
        <v>1.5541933226295337</v>
      </c>
      <c r="H83" s="43">
        <v>0</v>
      </c>
      <c r="I83" s="43">
        <v>0</v>
      </c>
      <c r="J83" s="43">
        <v>0</v>
      </c>
      <c r="K83" s="34">
        <v>0</v>
      </c>
      <c r="L83" s="43">
        <v>0</v>
      </c>
      <c r="M83" s="43">
        <v>0</v>
      </c>
      <c r="N83" s="28"/>
      <c r="S83"/>
    </row>
    <row r="84" spans="1:20" ht="18.75" customHeight="1">
      <c r="A84" s="17" t="s">
        <v>93</v>
      </c>
      <c r="B84" s="43">
        <v>0</v>
      </c>
      <c r="C84" s="43">
        <v>0</v>
      </c>
      <c r="D84" s="43">
        <v>0</v>
      </c>
      <c r="E84" s="43">
        <v>0</v>
      </c>
      <c r="F84" s="34">
        <v>0</v>
      </c>
      <c r="G84" s="34">
        <v>0</v>
      </c>
      <c r="H84" s="43">
        <v>1.8314586918300713</v>
      </c>
      <c r="I84" s="43">
        <v>0</v>
      </c>
      <c r="J84" s="43">
        <v>0</v>
      </c>
      <c r="K84" s="34">
        <v>0</v>
      </c>
      <c r="L84" s="43">
        <v>0</v>
      </c>
      <c r="M84" s="43">
        <v>0</v>
      </c>
      <c r="N84" s="28"/>
      <c r="T84"/>
    </row>
    <row r="85" spans="1:20" ht="18.75" customHeight="1">
      <c r="A85" s="17" t="s">
        <v>94</v>
      </c>
      <c r="B85" s="43">
        <v>0</v>
      </c>
      <c r="C85" s="43">
        <v>0</v>
      </c>
      <c r="D85" s="43">
        <v>0</v>
      </c>
      <c r="E85" s="43">
        <v>0</v>
      </c>
      <c r="F85" s="34">
        <v>0</v>
      </c>
      <c r="G85" s="34">
        <v>0</v>
      </c>
      <c r="H85" s="43">
        <v>1.7896617079388202</v>
      </c>
      <c r="I85" s="43">
        <v>0</v>
      </c>
      <c r="J85" s="43">
        <v>0</v>
      </c>
      <c r="K85" s="34">
        <v>0</v>
      </c>
      <c r="L85" s="43">
        <v>0</v>
      </c>
      <c r="M85" s="43">
        <v>0</v>
      </c>
      <c r="N85" s="28"/>
      <c r="T85"/>
    </row>
    <row r="86" spans="1:21" ht="18.75" customHeight="1">
      <c r="A86" s="17" t="s">
        <v>95</v>
      </c>
      <c r="B86" s="43">
        <v>0</v>
      </c>
      <c r="C86" s="43">
        <v>0</v>
      </c>
      <c r="D86" s="43">
        <v>0</v>
      </c>
      <c r="E86" s="43">
        <v>0</v>
      </c>
      <c r="F86" s="34">
        <v>0</v>
      </c>
      <c r="G86" s="34">
        <v>0</v>
      </c>
      <c r="H86" s="43">
        <v>0</v>
      </c>
      <c r="I86" s="43">
        <f>(I$37+I$38+I$39)/I$7</f>
        <v>1.7775395124232507</v>
      </c>
      <c r="J86" s="43">
        <v>0</v>
      </c>
      <c r="K86" s="34">
        <v>0</v>
      </c>
      <c r="L86" s="43">
        <v>0</v>
      </c>
      <c r="M86" s="43">
        <v>0</v>
      </c>
      <c r="N86" s="25"/>
      <c r="U86"/>
    </row>
    <row r="87" spans="1:22" ht="18.75" customHeight="1">
      <c r="A87" s="17" t="s">
        <v>96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34">
        <v>0</v>
      </c>
      <c r="H87" s="43">
        <v>0</v>
      </c>
      <c r="I87" s="43">
        <v>0</v>
      </c>
      <c r="J87" s="43">
        <f>(J$37+J$38+J$39)/J$7</f>
        <v>2.0019545011357347</v>
      </c>
      <c r="K87" s="34">
        <v>0</v>
      </c>
      <c r="L87" s="43">
        <v>0</v>
      </c>
      <c r="M87" s="43">
        <v>0</v>
      </c>
      <c r="N87" s="28"/>
      <c r="V87"/>
    </row>
    <row r="88" spans="1:23" ht="18.75" customHeight="1">
      <c r="A88" s="17" t="s">
        <v>97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v>0</v>
      </c>
      <c r="I88" s="43">
        <v>0</v>
      </c>
      <c r="J88" s="43">
        <v>0</v>
      </c>
      <c r="K88" s="21">
        <f>(K$37+K$38+K$39)/K$7</f>
        <v>1.914438566050319</v>
      </c>
      <c r="L88" s="43">
        <v>0</v>
      </c>
      <c r="M88" s="43">
        <v>0</v>
      </c>
      <c r="N88" s="25"/>
      <c r="W88"/>
    </row>
    <row r="89" spans="1:24" ht="18.75" customHeight="1">
      <c r="A89" s="17" t="s">
        <v>98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v>0</v>
      </c>
      <c r="J89" s="43">
        <v>0</v>
      </c>
      <c r="K89" s="43">
        <v>0</v>
      </c>
      <c r="L89" s="43">
        <f>(L$37+L$38+L$39)/L$7</f>
        <v>2.273604286135805</v>
      </c>
      <c r="M89" s="43">
        <v>0</v>
      </c>
      <c r="N89" s="61"/>
      <c r="X89"/>
    </row>
    <row r="90" spans="1:25" ht="18.75" customHeight="1">
      <c r="A90" s="33" t="s">
        <v>99</v>
      </c>
      <c r="B90" s="44">
        <v>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8">
        <f>(M$37+M$38+M$39)/M$7</f>
        <v>2.2263501337009304</v>
      </c>
      <c r="N90" s="49"/>
      <c r="Y90"/>
    </row>
    <row r="91" spans="1:13" ht="40.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39"/>
    </row>
    <row r="95" ht="14.25">
      <c r="H95" s="40"/>
    </row>
    <row r="97" spans="8:11" ht="14.25">
      <c r="H97" s="41"/>
      <c r="I97" s="42"/>
      <c r="J97" s="42"/>
      <c r="K97" s="42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2016-06-02T13:08:53Z</dcterms:modified>
  <cp:category/>
  <cp:version/>
  <cp:contentType/>
  <cp:contentStatus/>
</cp:coreProperties>
</file>