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<sst xmlns="http://schemas.openxmlformats.org/spreadsheetml/2006/main" count="105" uniqueCount="103">
  <si>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</si>
  <si>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</si>
  <si>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</si>
  <si>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</si>
  <si>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</si>
  <si>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</si>
  <si>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</si>
  <si>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</si>
  <si>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</si>
  <si>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</si>
  <si>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</si>
  <si>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</si>
  <si>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</si>
  <si>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</si>
  <si>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</si>
  <si>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</si>
  <si>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</si>
  <si>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</si>
  <si>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</si>
  <si>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</si>
  <si>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</si>
  <si>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</si>
  <si>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</si>
  <si>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</si>
  <si>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</si>
  <si>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</si>
  <si>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</si>
  <si>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</si>
  <si>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</si>
  <si>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</si>
  <si>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</si>
  <si>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</si>
  <si>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</si>
  <si>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</si>
  <si>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</si>
  <si>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</si>
  <si>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</si>
  <si>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</si>
  <si>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</si>
  <si>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</si>
  <si>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</si>
  <si>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</si>
  <si>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</si>
  <si>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</si>
  <si>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</si>
  <si>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</si>
  <si>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OPERAÇÃO 15/05/16 - VENCIMENTO 20/05/16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</si>
  <si>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</si>
  <si>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</si>
  <si>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</si>
  <si>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</si>
  <si>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</si>
  <si>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</si>
  <si>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</si>
  <si>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</si>
  <si>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</si>
  <si>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</si>
  <si>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</si>
  <si>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</si>
  <si>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</si>
  <si>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</si>
  <si>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</si>
  <si>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</si>
  <si>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</si>
  <si>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</si>
  <si>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</si>
  <si>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</si>
  <si>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</si>
  <si>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</si>
  <si>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</si>
  <si>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</si>
  <si>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</si>
  <si>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 (1)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</si>
  <si>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</si>
  <si>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</si>
  <si>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</si>
  <si>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</si>
  <si>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</si>
  <si>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</si>
  <si>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</si>
  <si>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</si>
  <si>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</si>
  <si>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</si>
  <si>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</si>
  <si>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</si>
  <si>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</si>
  <si>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</si>
  <si>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</si>
  <si>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</si>
  <si>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(2)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</si>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</sst>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46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233299</v>
      </c>
      <c r="C7" s="10">
        <f>C8+C20+C24</f>
        <v>149163</v>
      </c>
      <c r="D7" s="10">
        <f>D8+D20+D24</f>
        <v>177776</v>
      </c>
      <c r="E7" s="10">
        <f>E8+E20+E24</f>
        <v>30231</v>
      </c>
      <c r="F7" s="10">
        <f aca="true" t="shared" si="0" ref="F7:M7">F8+F20+F24</f>
        <v>136642</v>
      </c>
      <c r="G7" s="10">
        <f t="shared" si="0"/>
        <v>212594</v>
      </c>
      <c r="H7" s="10">
        <f t="shared" si="0"/>
        <v>188126</v>
      </c>
      <c r="I7" s="10">
        <f t="shared" si="0"/>
        <v>203304</v>
      </c>
      <c r="J7" s="10">
        <f t="shared" si="0"/>
        <v>149026</v>
      </c>
      <c r="K7" s="10">
        <f t="shared" si="0"/>
        <v>192969</v>
      </c>
      <c r="L7" s="10">
        <f t="shared" si="0"/>
        <v>63049</v>
      </c>
      <c r="M7" s="10">
        <f t="shared" si="0"/>
        <v>32236</v>
      </c>
      <c r="N7" s="10">
        <f>+N8+N20+N24</f>
        <v>1768415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103822</v>
      </c>
      <c r="C8" s="12">
        <f>+C9+C12+C16</f>
        <v>70902</v>
      </c>
      <c r="D8" s="12">
        <f>+D9+D12+D16</f>
        <v>87619</v>
      </c>
      <c r="E8" s="12">
        <f>+E9+E12+E16</f>
        <v>14101</v>
      </c>
      <c r="F8" s="12">
        <f aca="true" t="shared" si="1" ref="F8:M8">+F9+F12+F16</f>
        <v>64807</v>
      </c>
      <c r="G8" s="12">
        <f t="shared" si="1"/>
        <v>105990</v>
      </c>
      <c r="H8" s="12">
        <f t="shared" si="1"/>
        <v>91926</v>
      </c>
      <c r="I8" s="12">
        <f t="shared" si="1"/>
        <v>97085</v>
      </c>
      <c r="J8" s="12">
        <f t="shared" si="1"/>
        <v>73409</v>
      </c>
      <c r="K8" s="12">
        <f t="shared" si="1"/>
        <v>91493</v>
      </c>
      <c r="L8" s="12">
        <f t="shared" si="1"/>
        <v>33228</v>
      </c>
      <c r="M8" s="12">
        <f t="shared" si="1"/>
        <v>18093</v>
      </c>
      <c r="N8" s="12">
        <f>SUM(B8:M8)</f>
        <v>852475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15297</v>
      </c>
      <c r="C9" s="14">
        <v>13225</v>
      </c>
      <c r="D9" s="14">
        <v>11302</v>
      </c>
      <c r="E9" s="14">
        <v>1578</v>
      </c>
      <c r="F9" s="14">
        <v>8611</v>
      </c>
      <c r="G9" s="14">
        <v>16125</v>
      </c>
      <c r="H9" s="14">
        <v>16706</v>
      </c>
      <c r="I9" s="14">
        <v>9651</v>
      </c>
      <c r="J9" s="14">
        <v>12186</v>
      </c>
      <c r="K9" s="14">
        <v>10671</v>
      </c>
      <c r="L9" s="14">
        <v>5148</v>
      </c>
      <c r="M9" s="14">
        <v>2998</v>
      </c>
      <c r="N9" s="12">
        <f aca="true" t="shared" si="2" ref="N9:N19">SUM(B9:M9)</f>
        <v>123498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15297</v>
      </c>
      <c r="C10" s="14">
        <f>+C9-C11</f>
        <v>13225</v>
      </c>
      <c r="D10" s="14">
        <f>+D9-D11</f>
        <v>11302</v>
      </c>
      <c r="E10" s="14">
        <f>+E9-E11</f>
        <v>1578</v>
      </c>
      <c r="F10" s="14">
        <f aca="true" t="shared" si="3" ref="F10:M10">+F9-F11</f>
        <v>8611</v>
      </c>
      <c r="G10" s="14">
        <f t="shared" si="3"/>
        <v>16125</v>
      </c>
      <c r="H10" s="14">
        <f t="shared" si="3"/>
        <v>16706</v>
      </c>
      <c r="I10" s="14">
        <f t="shared" si="3"/>
        <v>9651</v>
      </c>
      <c r="J10" s="14">
        <f t="shared" si="3"/>
        <v>12186</v>
      </c>
      <c r="K10" s="14">
        <f t="shared" si="3"/>
        <v>10671</v>
      </c>
      <c r="L10" s="14">
        <f t="shared" si="3"/>
        <v>5148</v>
      </c>
      <c r="M10" s="14">
        <f t="shared" si="3"/>
        <v>2998</v>
      </c>
      <c r="N10" s="12">
        <f t="shared" si="2"/>
        <v>123498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76964</v>
      </c>
      <c r="C12" s="14">
        <f>C13+C14+C15</f>
        <v>51034</v>
      </c>
      <c r="D12" s="14">
        <f>D13+D14+D15</f>
        <v>67743</v>
      </c>
      <c r="E12" s="14">
        <f>E13+E14+E15</f>
        <v>11088</v>
      </c>
      <c r="F12" s="14">
        <f aca="true" t="shared" si="4" ref="F12:M12">F13+F14+F15</f>
        <v>49186</v>
      </c>
      <c r="G12" s="14">
        <f t="shared" si="4"/>
        <v>79147</v>
      </c>
      <c r="H12" s="14">
        <f t="shared" si="4"/>
        <v>66449</v>
      </c>
      <c r="I12" s="14">
        <f t="shared" si="4"/>
        <v>76449</v>
      </c>
      <c r="J12" s="14">
        <f t="shared" si="4"/>
        <v>53468</v>
      </c>
      <c r="K12" s="14">
        <f t="shared" si="4"/>
        <v>69509</v>
      </c>
      <c r="L12" s="14">
        <f t="shared" si="4"/>
        <v>24974</v>
      </c>
      <c r="M12" s="14">
        <f t="shared" si="4"/>
        <v>13726</v>
      </c>
      <c r="N12" s="12">
        <f t="shared" si="2"/>
        <v>639737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36297</v>
      </c>
      <c r="C13" s="14">
        <v>25641</v>
      </c>
      <c r="D13" s="14">
        <v>31977</v>
      </c>
      <c r="E13" s="14">
        <v>5294</v>
      </c>
      <c r="F13" s="14">
        <v>24619</v>
      </c>
      <c r="G13" s="14">
        <v>39885</v>
      </c>
      <c r="H13" s="14">
        <v>34220</v>
      </c>
      <c r="I13" s="14">
        <v>37526</v>
      </c>
      <c r="J13" s="14">
        <v>25080</v>
      </c>
      <c r="K13" s="14">
        <v>31702</v>
      </c>
      <c r="L13" s="14">
        <v>11197</v>
      </c>
      <c r="M13" s="14">
        <v>5895</v>
      </c>
      <c r="N13" s="12">
        <f t="shared" si="2"/>
        <v>309333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39114</v>
      </c>
      <c r="C14" s="14">
        <v>23926</v>
      </c>
      <c r="D14" s="14">
        <v>34618</v>
      </c>
      <c r="E14" s="14">
        <v>5502</v>
      </c>
      <c r="F14" s="14">
        <v>23510</v>
      </c>
      <c r="G14" s="14">
        <v>36867</v>
      </c>
      <c r="H14" s="14">
        <v>30588</v>
      </c>
      <c r="I14" s="14">
        <v>37896</v>
      </c>
      <c r="J14" s="14">
        <v>27251</v>
      </c>
      <c r="K14" s="14">
        <v>36662</v>
      </c>
      <c r="L14" s="14">
        <v>13264</v>
      </c>
      <c r="M14" s="14">
        <v>7585</v>
      </c>
      <c r="N14" s="12">
        <f t="shared" si="2"/>
        <v>316783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1553</v>
      </c>
      <c r="C15" s="14">
        <v>1467</v>
      </c>
      <c r="D15" s="14">
        <v>1148</v>
      </c>
      <c r="E15" s="14">
        <v>292</v>
      </c>
      <c r="F15" s="14">
        <v>1057</v>
      </c>
      <c r="G15" s="14">
        <v>2395</v>
      </c>
      <c r="H15" s="14">
        <v>1641</v>
      </c>
      <c r="I15" s="14">
        <v>1027</v>
      </c>
      <c r="J15" s="14">
        <v>1137</v>
      </c>
      <c r="K15" s="14">
        <v>1145</v>
      </c>
      <c r="L15" s="14">
        <v>513</v>
      </c>
      <c r="M15" s="14">
        <v>246</v>
      </c>
      <c r="N15" s="12">
        <f t="shared" si="2"/>
        <v>13621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11561</v>
      </c>
      <c r="C16" s="14">
        <f>C17+C18+C19</f>
        <v>6643</v>
      </c>
      <c r="D16" s="14">
        <f>D17+D18+D19</f>
        <v>8574</v>
      </c>
      <c r="E16" s="14">
        <f>E17+E18+E19</f>
        <v>1435</v>
      </c>
      <c r="F16" s="14">
        <f aca="true" t="shared" si="5" ref="F16:M16">F17+F18+F19</f>
        <v>7010</v>
      </c>
      <c r="G16" s="14">
        <f t="shared" si="5"/>
        <v>10718</v>
      </c>
      <c r="H16" s="14">
        <f t="shared" si="5"/>
        <v>8771</v>
      </c>
      <c r="I16" s="14">
        <f t="shared" si="5"/>
        <v>10985</v>
      </c>
      <c r="J16" s="14">
        <f t="shared" si="5"/>
        <v>7755</v>
      </c>
      <c r="K16" s="14">
        <f t="shared" si="5"/>
        <v>11313</v>
      </c>
      <c r="L16" s="14">
        <f t="shared" si="5"/>
        <v>3106</v>
      </c>
      <c r="M16" s="14">
        <f t="shared" si="5"/>
        <v>1369</v>
      </c>
      <c r="N16" s="12">
        <f t="shared" si="2"/>
        <v>89240</v>
      </c>
    </row>
    <row r="17" spans="1:25" ht="18.75" customHeight="1">
      <c r="A17" s="15" t="s">
        <v>16</v>
      </c>
      <c r="B17" s="14">
        <v>7783</v>
      </c>
      <c r="C17" s="14">
        <v>4751</v>
      </c>
      <c r="D17" s="14">
        <v>5436</v>
      </c>
      <c r="E17" s="14">
        <v>970</v>
      </c>
      <c r="F17" s="14">
        <v>4655</v>
      </c>
      <c r="G17" s="14">
        <v>7046</v>
      </c>
      <c r="H17" s="14">
        <v>5918</v>
      </c>
      <c r="I17" s="14">
        <v>7092</v>
      </c>
      <c r="J17" s="14">
        <v>4979</v>
      </c>
      <c r="K17" s="14">
        <v>7106</v>
      </c>
      <c r="L17" s="14">
        <v>1855</v>
      </c>
      <c r="M17" s="14">
        <v>803</v>
      </c>
      <c r="N17" s="12">
        <f t="shared" si="2"/>
        <v>58394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3324</v>
      </c>
      <c r="C18" s="14">
        <v>1461</v>
      </c>
      <c r="D18" s="14">
        <v>2812</v>
      </c>
      <c r="E18" s="14">
        <v>386</v>
      </c>
      <c r="F18" s="14">
        <v>1976</v>
      </c>
      <c r="G18" s="14">
        <v>2967</v>
      </c>
      <c r="H18" s="14">
        <v>2349</v>
      </c>
      <c r="I18" s="14">
        <v>3567</v>
      </c>
      <c r="J18" s="14">
        <v>2460</v>
      </c>
      <c r="K18" s="14">
        <v>3866</v>
      </c>
      <c r="L18" s="14">
        <v>1136</v>
      </c>
      <c r="M18" s="14">
        <v>503</v>
      </c>
      <c r="N18" s="12">
        <f t="shared" si="2"/>
        <v>26807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454</v>
      </c>
      <c r="C19" s="14">
        <v>431</v>
      </c>
      <c r="D19" s="14">
        <v>326</v>
      </c>
      <c r="E19" s="14">
        <v>79</v>
      </c>
      <c r="F19" s="14">
        <v>379</v>
      </c>
      <c r="G19" s="14">
        <v>705</v>
      </c>
      <c r="H19" s="14">
        <v>504</v>
      </c>
      <c r="I19" s="14">
        <v>326</v>
      </c>
      <c r="J19" s="14">
        <v>316</v>
      </c>
      <c r="K19" s="14">
        <v>341</v>
      </c>
      <c r="L19" s="14">
        <v>115</v>
      </c>
      <c r="M19" s="14">
        <v>63</v>
      </c>
      <c r="N19" s="12">
        <f t="shared" si="2"/>
        <v>4039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55834</v>
      </c>
      <c r="C20" s="18">
        <f>C21+C22+C23</f>
        <v>30461</v>
      </c>
      <c r="D20" s="18">
        <f>D21+D22+D23</f>
        <v>37841</v>
      </c>
      <c r="E20" s="18">
        <f>E21+E22+E23</f>
        <v>6293</v>
      </c>
      <c r="F20" s="18">
        <f aca="true" t="shared" si="6" ref="F20:M20">F21+F22+F23</f>
        <v>26316</v>
      </c>
      <c r="G20" s="18">
        <f t="shared" si="6"/>
        <v>38921</v>
      </c>
      <c r="H20" s="18">
        <f t="shared" si="6"/>
        <v>40323</v>
      </c>
      <c r="I20" s="18">
        <f t="shared" si="6"/>
        <v>51584</v>
      </c>
      <c r="J20" s="18">
        <f t="shared" si="6"/>
        <v>32282</v>
      </c>
      <c r="K20" s="18">
        <f t="shared" si="6"/>
        <v>55062</v>
      </c>
      <c r="L20" s="18">
        <f t="shared" si="6"/>
        <v>16356</v>
      </c>
      <c r="M20" s="18">
        <f t="shared" si="6"/>
        <v>8174</v>
      </c>
      <c r="N20" s="12">
        <f aca="true" t="shared" si="7" ref="N20:N26">SUM(B20:M20)</f>
        <v>399447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30027</v>
      </c>
      <c r="C21" s="14">
        <v>18060</v>
      </c>
      <c r="D21" s="14">
        <v>20137</v>
      </c>
      <c r="E21" s="14">
        <v>3455</v>
      </c>
      <c r="F21" s="14">
        <v>13956</v>
      </c>
      <c r="G21" s="14">
        <v>20275</v>
      </c>
      <c r="H21" s="14">
        <v>23557</v>
      </c>
      <c r="I21" s="14">
        <v>28152</v>
      </c>
      <c r="J21" s="14">
        <v>17196</v>
      </c>
      <c r="K21" s="14">
        <v>28310</v>
      </c>
      <c r="L21" s="14">
        <v>8700</v>
      </c>
      <c r="M21" s="14">
        <v>4271</v>
      </c>
      <c r="N21" s="12">
        <f t="shared" si="7"/>
        <v>216096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25054</v>
      </c>
      <c r="C22" s="14">
        <v>11828</v>
      </c>
      <c r="D22" s="14">
        <v>17252</v>
      </c>
      <c r="E22" s="14">
        <v>2716</v>
      </c>
      <c r="F22" s="14">
        <v>11934</v>
      </c>
      <c r="G22" s="14">
        <v>17859</v>
      </c>
      <c r="H22" s="14">
        <v>16141</v>
      </c>
      <c r="I22" s="14">
        <v>22934</v>
      </c>
      <c r="J22" s="14">
        <v>14582</v>
      </c>
      <c r="K22" s="14">
        <v>26121</v>
      </c>
      <c r="L22" s="14">
        <v>7430</v>
      </c>
      <c r="M22" s="14">
        <v>3804</v>
      </c>
      <c r="N22" s="12">
        <f t="shared" si="7"/>
        <v>177655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753</v>
      </c>
      <c r="C23" s="14">
        <v>573</v>
      </c>
      <c r="D23" s="14">
        <v>452</v>
      </c>
      <c r="E23" s="14">
        <v>122</v>
      </c>
      <c r="F23" s="14">
        <v>426</v>
      </c>
      <c r="G23" s="14">
        <v>787</v>
      </c>
      <c r="H23" s="14">
        <v>625</v>
      </c>
      <c r="I23" s="14">
        <v>498</v>
      </c>
      <c r="J23" s="14">
        <v>504</v>
      </c>
      <c r="K23" s="14">
        <v>631</v>
      </c>
      <c r="L23" s="14">
        <v>226</v>
      </c>
      <c r="M23" s="14">
        <v>99</v>
      </c>
      <c r="N23" s="12">
        <f t="shared" si="7"/>
        <v>5696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73643</v>
      </c>
      <c r="C24" s="14">
        <f>C25+C26</f>
        <v>47800</v>
      </c>
      <c r="D24" s="14">
        <f>D25+D26</f>
        <v>52316</v>
      </c>
      <c r="E24" s="14">
        <f>E25+E26</f>
        <v>9837</v>
      </c>
      <c r="F24" s="14">
        <f aca="true" t="shared" si="8" ref="F24:M24">F25+F26</f>
        <v>45519</v>
      </c>
      <c r="G24" s="14">
        <f t="shared" si="8"/>
        <v>67683</v>
      </c>
      <c r="H24" s="14">
        <f t="shared" si="8"/>
        <v>55877</v>
      </c>
      <c r="I24" s="14">
        <f t="shared" si="8"/>
        <v>54635</v>
      </c>
      <c r="J24" s="14">
        <f t="shared" si="8"/>
        <v>43335</v>
      </c>
      <c r="K24" s="14">
        <f t="shared" si="8"/>
        <v>46414</v>
      </c>
      <c r="L24" s="14">
        <f t="shared" si="8"/>
        <v>13465</v>
      </c>
      <c r="M24" s="14">
        <f t="shared" si="8"/>
        <v>5969</v>
      </c>
      <c r="N24" s="12">
        <f t="shared" si="7"/>
        <v>516493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47</v>
      </c>
      <c r="B25" s="14">
        <v>39475</v>
      </c>
      <c r="C25" s="14">
        <v>28038</v>
      </c>
      <c r="D25" s="14">
        <v>30903</v>
      </c>
      <c r="E25" s="14">
        <v>6112</v>
      </c>
      <c r="F25" s="14">
        <v>27334</v>
      </c>
      <c r="G25" s="14">
        <v>41079</v>
      </c>
      <c r="H25" s="14">
        <v>34854</v>
      </c>
      <c r="I25" s="14">
        <v>29348</v>
      </c>
      <c r="J25" s="14">
        <v>25967</v>
      </c>
      <c r="K25" s="14">
        <v>24866</v>
      </c>
      <c r="L25" s="14">
        <v>7548</v>
      </c>
      <c r="M25" s="14">
        <v>3073</v>
      </c>
      <c r="N25" s="12">
        <f t="shared" si="7"/>
        <v>298597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48</v>
      </c>
      <c r="B26" s="14">
        <f>21870+12298</f>
        <v>34168</v>
      </c>
      <c r="C26" s="14">
        <f>13237+6525</f>
        <v>19762</v>
      </c>
      <c r="D26" s="14">
        <f>14817+6596</f>
        <v>21413</v>
      </c>
      <c r="E26" s="14">
        <f>2606+1119</f>
        <v>3725</v>
      </c>
      <c r="F26" s="14">
        <f>13845+4340</f>
        <v>18185</v>
      </c>
      <c r="G26" s="14">
        <f>20201+6403</f>
        <v>26604</v>
      </c>
      <c r="H26" s="14">
        <f>16259+4764</f>
        <v>21023</v>
      </c>
      <c r="I26" s="14">
        <f>16736+8551</f>
        <v>25287</v>
      </c>
      <c r="J26" s="14">
        <f>11796+5572</f>
        <v>17368</v>
      </c>
      <c r="K26" s="14">
        <f>13785+7763</f>
        <v>21548</v>
      </c>
      <c r="L26" s="14">
        <f>3929+1988</f>
        <v>5917</v>
      </c>
      <c r="M26" s="14">
        <f>2040+856</f>
        <v>2896</v>
      </c>
      <c r="N26" s="12">
        <f t="shared" si="7"/>
        <v>217896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49</v>
      </c>
      <c r="B28" s="23">
        <v>1.87210546</v>
      </c>
      <c r="C28" s="23">
        <v>1.8086</v>
      </c>
      <c r="D28" s="23">
        <v>1.67545005</v>
      </c>
      <c r="E28" s="23">
        <v>2.3279184</v>
      </c>
      <c r="F28" s="23">
        <v>1.95524205</v>
      </c>
      <c r="G28" s="23">
        <v>1.5492</v>
      </c>
      <c r="H28" s="23">
        <v>1.8149</v>
      </c>
      <c r="I28" s="23">
        <v>1.7715117999999999</v>
      </c>
      <c r="J28" s="23">
        <v>1.9951343000000001</v>
      </c>
      <c r="K28" s="23">
        <v>1.90744976</v>
      </c>
      <c r="L28" s="23">
        <v>2.26553143</v>
      </c>
      <c r="M28" s="23">
        <v>2.21827856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50</v>
      </c>
      <c r="B29" s="23">
        <v>1.8783</v>
      </c>
      <c r="C29" s="23">
        <v>1.8146</v>
      </c>
      <c r="D29" s="23">
        <v>1.681</v>
      </c>
      <c r="E29" s="23">
        <v>2.3342</v>
      </c>
      <c r="F29" s="23">
        <v>1.9616</v>
      </c>
      <c r="G29" s="23">
        <v>1.5543</v>
      </c>
      <c r="H29" s="23">
        <v>1.8205</v>
      </c>
      <c r="I29" s="23">
        <v>1.7772</v>
      </c>
      <c r="J29" s="23">
        <v>2.0015</v>
      </c>
      <c r="K29" s="23">
        <v>1.9137</v>
      </c>
      <c r="L29" s="23">
        <v>2.2729</v>
      </c>
      <c r="M29" s="23">
        <v>2.2256</v>
      </c>
      <c r="N29" s="24"/>
    </row>
    <row r="30" spans="1:25" ht="18.75" customHeight="1">
      <c r="A30" s="53" t="s">
        <v>51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52</v>
      </c>
      <c r="B32" s="57">
        <v>3257.0800000000004</v>
      </c>
      <c r="C32" s="57">
        <v>2478.1200000000003</v>
      </c>
      <c r="D32" s="57">
        <v>2161.4</v>
      </c>
      <c r="E32" s="57">
        <v>646.2800000000001</v>
      </c>
      <c r="F32" s="57">
        <v>2161.4</v>
      </c>
      <c r="G32" s="57">
        <v>2662.1600000000003</v>
      </c>
      <c r="H32" s="57">
        <v>2897.56</v>
      </c>
      <c r="I32" s="57">
        <v>2546.6000000000004</v>
      </c>
      <c r="J32" s="57">
        <v>2118.6</v>
      </c>
      <c r="K32" s="57">
        <v>2602.2400000000002</v>
      </c>
      <c r="L32" s="57">
        <v>1271.16</v>
      </c>
      <c r="M32" s="57">
        <v>719.0400000000001</v>
      </c>
      <c r="N32" s="25">
        <f>SUM(B32:M32)</f>
        <v>25521.64</v>
      </c>
    </row>
    <row r="33" spans="1:25" ht="18.75" customHeight="1">
      <c r="A33" s="53" t="s">
        <v>53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54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55</v>
      </c>
      <c r="B36" s="61">
        <f>B37+B38+B39+B40</f>
        <v>440017.41171254</v>
      </c>
      <c r="C36" s="61">
        <f aca="true" t="shared" si="9" ref="C36:M36">C37+C38+C39+C40</f>
        <v>272254.3218</v>
      </c>
      <c r="D36" s="61">
        <f t="shared" si="9"/>
        <v>309863.6180888</v>
      </c>
      <c r="E36" s="61">
        <f t="shared" si="9"/>
        <v>71021.5811504</v>
      </c>
      <c r="F36" s="61">
        <f t="shared" si="9"/>
        <v>269329.5841961</v>
      </c>
      <c r="G36" s="61">
        <f t="shared" si="9"/>
        <v>332012.78479999996</v>
      </c>
      <c r="H36" s="61">
        <f t="shared" si="9"/>
        <v>344327.4374</v>
      </c>
      <c r="I36" s="61">
        <f t="shared" si="9"/>
        <v>362702.0349872</v>
      </c>
      <c r="J36" s="61">
        <f t="shared" si="9"/>
        <v>299445.48419179994</v>
      </c>
      <c r="K36" s="61">
        <f t="shared" si="9"/>
        <v>370680.91273743997</v>
      </c>
      <c r="L36" s="61">
        <f t="shared" si="9"/>
        <v>144110.65113007</v>
      </c>
      <c r="M36" s="61">
        <f t="shared" si="9"/>
        <v>72227.46766016</v>
      </c>
      <c r="N36" s="61">
        <f>N37+N38+N39+N40</f>
        <v>3287993.2898545098</v>
      </c>
    </row>
    <row r="37" spans="1:14" ht="18.75" customHeight="1">
      <c r="A37" s="58" t="s">
        <v>56</v>
      </c>
      <c r="B37" s="55">
        <f>B29*B7</f>
        <v>438205.51170000003</v>
      </c>
      <c r="C37" s="55">
        <f>C29*C7</f>
        <v>270671.1798</v>
      </c>
      <c r="D37" s="55">
        <f>D29*D7</f>
        <v>298841.456</v>
      </c>
      <c r="E37" s="55">
        <f>E29*E7</f>
        <v>70565.2002</v>
      </c>
      <c r="F37" s="55">
        <f>F29*F7</f>
        <v>268036.9472</v>
      </c>
      <c r="G37" s="55">
        <f>G29*G7</f>
        <v>330434.8542</v>
      </c>
      <c r="H37" s="55">
        <f>H29*H7</f>
        <v>342483.383</v>
      </c>
      <c r="I37" s="55">
        <f>I29*I7</f>
        <v>361311.8688</v>
      </c>
      <c r="J37" s="55">
        <f>J29*J7</f>
        <v>298275.539</v>
      </c>
      <c r="K37" s="55">
        <f>K29*K7</f>
        <v>369284.7753</v>
      </c>
      <c r="L37" s="55">
        <f>L29*L7</f>
        <v>143304.0721</v>
      </c>
      <c r="M37" s="55">
        <f>M29*M7</f>
        <v>71744.4416</v>
      </c>
      <c r="N37" s="57">
        <f>SUM(B37:M37)</f>
        <v>3263159.2288999995</v>
      </c>
    </row>
    <row r="38" spans="1:14" ht="18.75" customHeight="1">
      <c r="A38" s="58" t="s">
        <v>57</v>
      </c>
      <c r="B38" s="55">
        <f>B30*B7</f>
        <v>-1445.1799874600001</v>
      </c>
      <c r="C38" s="55">
        <f>C30*C7</f>
        <v>-894.9780000000001</v>
      </c>
      <c r="D38" s="55">
        <f>D30*D7</f>
        <v>-986.6479112</v>
      </c>
      <c r="E38" s="55">
        <f>E30*E7</f>
        <v>-189.8990496</v>
      </c>
      <c r="F38" s="55">
        <f>F30*F7</f>
        <v>-868.7630039000001</v>
      </c>
      <c r="G38" s="55">
        <f>G30*G7</f>
        <v>-1084.2294000000002</v>
      </c>
      <c r="H38" s="55">
        <f>H30*H7</f>
        <v>-1053.5056</v>
      </c>
      <c r="I38" s="55">
        <f>I30*I7</f>
        <v>-1156.4338128</v>
      </c>
      <c r="J38" s="55">
        <f>J30*J7</f>
        <v>-948.6548082</v>
      </c>
      <c r="K38" s="55">
        <f>K30*K7</f>
        <v>-1206.10256256</v>
      </c>
      <c r="L38" s="55">
        <f>L30*L7</f>
        <v>-464.58096993</v>
      </c>
      <c r="M38" s="55">
        <f>M30*M7</f>
        <v>-236.01393984</v>
      </c>
      <c r="N38" s="25">
        <f>SUM(B38:M38)</f>
        <v>-10534.989045490001</v>
      </c>
    </row>
    <row r="39" spans="1:14" ht="18.75" customHeight="1">
      <c r="A39" s="58" t="s">
        <v>58</v>
      </c>
      <c r="B39" s="55">
        <f aca="true" t="shared" si="10" ref="B39:M39">B32</f>
        <v>3257.0800000000004</v>
      </c>
      <c r="C39" s="55">
        <f t="shared" si="10"/>
        <v>2478.1200000000003</v>
      </c>
      <c r="D39" s="55">
        <f t="shared" si="10"/>
        <v>2161.4</v>
      </c>
      <c r="E39" s="55">
        <f t="shared" si="10"/>
        <v>646.2800000000001</v>
      </c>
      <c r="F39" s="55">
        <f t="shared" si="10"/>
        <v>2161.4</v>
      </c>
      <c r="G39" s="55">
        <f t="shared" si="10"/>
        <v>2662.1600000000003</v>
      </c>
      <c r="H39" s="55">
        <f t="shared" si="10"/>
        <v>2897.56</v>
      </c>
      <c r="I39" s="55">
        <f t="shared" si="10"/>
        <v>2546.6000000000004</v>
      </c>
      <c r="J39" s="55">
        <f t="shared" si="10"/>
        <v>2118.6</v>
      </c>
      <c r="K39" s="55">
        <f t="shared" si="10"/>
        <v>2602.2400000000002</v>
      </c>
      <c r="L39" s="55">
        <f t="shared" si="10"/>
        <v>1271.16</v>
      </c>
      <c r="M39" s="55">
        <f t="shared" si="10"/>
        <v>719.0400000000001</v>
      </c>
      <c r="N39" s="57">
        <f>SUM(B39:M39)</f>
        <v>25521.64</v>
      </c>
    </row>
    <row r="40" spans="1:25" ht="18.75" customHeight="1">
      <c r="A40" s="2" t="s">
        <v>59</v>
      </c>
      <c r="B40" s="55">
        <v>0</v>
      </c>
      <c r="C40" s="55">
        <v>0</v>
      </c>
      <c r="D40" s="55">
        <v>9847.41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9847.41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60</v>
      </c>
      <c r="B42" s="25">
        <f>+B43+B46+B54+B55</f>
        <v>-58338.32</v>
      </c>
      <c r="C42" s="25">
        <f aca="true" t="shared" si="11" ref="C42:M42">+C43+C46+C54+C55</f>
        <v>-50374.84</v>
      </c>
      <c r="D42" s="25">
        <f t="shared" si="11"/>
        <v>-43046.04</v>
      </c>
      <c r="E42" s="25">
        <f t="shared" si="11"/>
        <v>-6039.2</v>
      </c>
      <c r="F42" s="25">
        <f t="shared" si="11"/>
        <v>-32743.2</v>
      </c>
      <c r="G42" s="25">
        <f t="shared" si="11"/>
        <v>-61330.64</v>
      </c>
      <c r="H42" s="25">
        <f t="shared" si="11"/>
        <v>-63482.8</v>
      </c>
      <c r="I42" s="25">
        <f t="shared" si="11"/>
        <v>-36776.520000000004</v>
      </c>
      <c r="J42" s="25">
        <f t="shared" si="11"/>
        <v>-46512.240000000005</v>
      </c>
      <c r="K42" s="25">
        <f t="shared" si="11"/>
        <v>-40648.240000000005</v>
      </c>
      <c r="L42" s="25">
        <f t="shared" si="11"/>
        <v>-19648</v>
      </c>
      <c r="M42" s="25">
        <f t="shared" si="11"/>
        <v>-11435.199999999999</v>
      </c>
      <c r="N42" s="25">
        <f>+N43+N46+N54+N55</f>
        <v>-470375.24000000005</v>
      </c>
    </row>
    <row r="43" spans="1:14" ht="18.75" customHeight="1">
      <c r="A43" s="17" t="s">
        <v>61</v>
      </c>
      <c r="B43" s="26">
        <f>B44+B45</f>
        <v>-58128.6</v>
      </c>
      <c r="C43" s="26">
        <f>C44+C45</f>
        <v>-50255</v>
      </c>
      <c r="D43" s="26">
        <f>D44+D45</f>
        <v>-42947.6</v>
      </c>
      <c r="E43" s="26">
        <f>E44+E45</f>
        <v>-5996.4</v>
      </c>
      <c r="F43" s="26">
        <f aca="true" t="shared" si="12" ref="F43:M43">F44+F45</f>
        <v>-32721.8</v>
      </c>
      <c r="G43" s="26">
        <f t="shared" si="12"/>
        <v>-61275</v>
      </c>
      <c r="H43" s="26">
        <f t="shared" si="12"/>
        <v>-63482.8</v>
      </c>
      <c r="I43" s="26">
        <f t="shared" si="12"/>
        <v>-36673.8</v>
      </c>
      <c r="J43" s="26">
        <f t="shared" si="12"/>
        <v>-46306.8</v>
      </c>
      <c r="K43" s="26">
        <f t="shared" si="12"/>
        <v>-40549.8</v>
      </c>
      <c r="L43" s="26">
        <f t="shared" si="12"/>
        <v>-19562.4</v>
      </c>
      <c r="M43" s="26">
        <f t="shared" si="12"/>
        <v>-11392.4</v>
      </c>
      <c r="N43" s="25">
        <f aca="true" t="shared" si="13" ref="N43:N55">SUM(B43:M43)</f>
        <v>-469292.4</v>
      </c>
    </row>
    <row r="44" spans="1:25" ht="18.75" customHeight="1">
      <c r="A44" s="13" t="s">
        <v>62</v>
      </c>
      <c r="B44" s="20">
        <f>ROUND(-B9*$D$3,2)</f>
        <v>-58128.6</v>
      </c>
      <c r="C44" s="20">
        <f>ROUND(-C9*$D$3,2)</f>
        <v>-50255</v>
      </c>
      <c r="D44" s="20">
        <f>ROUND(-D9*$D$3,2)</f>
        <v>-42947.6</v>
      </c>
      <c r="E44" s="20">
        <f>ROUND(-E9*$D$3,2)</f>
        <v>-5996.4</v>
      </c>
      <c r="F44" s="20">
        <f aca="true" t="shared" si="14" ref="F44:M44">ROUND(-F9*$D$3,2)</f>
        <v>-32721.8</v>
      </c>
      <c r="G44" s="20">
        <f t="shared" si="14"/>
        <v>-61275</v>
      </c>
      <c r="H44" s="20">
        <f t="shared" si="14"/>
        <v>-63482.8</v>
      </c>
      <c r="I44" s="20">
        <f t="shared" si="14"/>
        <v>-36673.8</v>
      </c>
      <c r="J44" s="20">
        <f t="shared" si="14"/>
        <v>-46306.8</v>
      </c>
      <c r="K44" s="20">
        <f t="shared" si="14"/>
        <v>-40549.8</v>
      </c>
      <c r="L44" s="20">
        <f t="shared" si="14"/>
        <v>-19562.4</v>
      </c>
      <c r="M44" s="20">
        <f t="shared" si="14"/>
        <v>-11392.4</v>
      </c>
      <c r="N44" s="47">
        <f t="shared" si="13"/>
        <v>-469292.4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63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5" ref="F45:M45">ROUND(F11*$D$3,2)</f>
        <v>0</v>
      </c>
      <c r="G45" s="20">
        <f t="shared" si="15"/>
        <v>0</v>
      </c>
      <c r="H45" s="20">
        <f t="shared" si="15"/>
        <v>0</v>
      </c>
      <c r="I45" s="20">
        <f t="shared" si="15"/>
        <v>0</v>
      </c>
      <c r="J45" s="20">
        <f t="shared" si="15"/>
        <v>0</v>
      </c>
      <c r="K45" s="20">
        <f t="shared" si="15"/>
        <v>0</v>
      </c>
      <c r="L45" s="20">
        <f t="shared" si="15"/>
        <v>0</v>
      </c>
      <c r="M45" s="20">
        <f t="shared" si="15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64</v>
      </c>
      <c r="B46" s="26">
        <f>SUM(B47:B53)</f>
        <v>-209.72</v>
      </c>
      <c r="C46" s="26">
        <f aca="true" t="shared" si="16" ref="C46:M46">SUM(C47:C53)</f>
        <v>-119.84</v>
      </c>
      <c r="D46" s="26">
        <f t="shared" si="16"/>
        <v>-98.44</v>
      </c>
      <c r="E46" s="26">
        <f t="shared" si="16"/>
        <v>-42.8</v>
      </c>
      <c r="F46" s="26">
        <f t="shared" si="16"/>
        <v>-21.4</v>
      </c>
      <c r="G46" s="26">
        <f t="shared" si="16"/>
        <v>-55.64</v>
      </c>
      <c r="H46" s="26">
        <f t="shared" si="16"/>
        <v>0</v>
      </c>
      <c r="I46" s="26">
        <f t="shared" si="16"/>
        <v>-102.72</v>
      </c>
      <c r="J46" s="26">
        <f t="shared" si="16"/>
        <v>-205.44</v>
      </c>
      <c r="K46" s="26">
        <f t="shared" si="16"/>
        <v>-98.44</v>
      </c>
      <c r="L46" s="26">
        <f t="shared" si="16"/>
        <v>-85.6</v>
      </c>
      <c r="M46" s="26">
        <f t="shared" si="16"/>
        <v>-42.8</v>
      </c>
      <c r="N46" s="26">
        <f>SUM(N47:N53)</f>
        <v>-1082.84</v>
      </c>
    </row>
    <row r="47" spans="1:25" ht="18.75" customHeight="1">
      <c r="A47" s="13" t="s">
        <v>65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3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66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3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67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3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68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3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69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3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70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3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71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3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72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3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73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3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74</v>
      </c>
      <c r="B57" s="29">
        <f aca="true" t="shared" si="17" ref="B57:M57">+B36+B42</f>
        <v>381679.09171254</v>
      </c>
      <c r="C57" s="29">
        <f t="shared" si="17"/>
        <v>221879.48179999998</v>
      </c>
      <c r="D57" s="29">
        <f t="shared" si="17"/>
        <v>266817.5780888</v>
      </c>
      <c r="E57" s="29">
        <f t="shared" si="17"/>
        <v>64982.381150400004</v>
      </c>
      <c r="F57" s="29">
        <f t="shared" si="17"/>
        <v>236586.3841961</v>
      </c>
      <c r="G57" s="29">
        <f t="shared" si="17"/>
        <v>270682.14479999995</v>
      </c>
      <c r="H57" s="29">
        <f t="shared" si="17"/>
        <v>280844.6374</v>
      </c>
      <c r="I57" s="29">
        <f t="shared" si="17"/>
        <v>325925.5149872</v>
      </c>
      <c r="J57" s="29">
        <f t="shared" si="17"/>
        <v>252933.24419179995</v>
      </c>
      <c r="K57" s="29">
        <f t="shared" si="17"/>
        <v>330032.67273744</v>
      </c>
      <c r="L57" s="29">
        <f t="shared" si="17"/>
        <v>124462.65113007001</v>
      </c>
      <c r="M57" s="29">
        <f t="shared" si="17"/>
        <v>60792.267660159996</v>
      </c>
      <c r="N57" s="29">
        <f>SUM(B57:M57)</f>
        <v>2817618.04985451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75</v>
      </c>
      <c r="B60" s="36">
        <f>SUM(B61:B74)</f>
        <v>381679.08999999997</v>
      </c>
      <c r="C60" s="36">
        <f aca="true" t="shared" si="18" ref="C60:M60">SUM(C61:C74)</f>
        <v>221879.48</v>
      </c>
      <c r="D60" s="36">
        <f t="shared" si="18"/>
        <v>266817.58</v>
      </c>
      <c r="E60" s="36">
        <f t="shared" si="18"/>
        <v>64982.38</v>
      </c>
      <c r="F60" s="36">
        <f t="shared" si="18"/>
        <v>236586.39</v>
      </c>
      <c r="G60" s="36">
        <f t="shared" si="18"/>
        <v>270682.14</v>
      </c>
      <c r="H60" s="36">
        <f t="shared" si="18"/>
        <v>280844.63</v>
      </c>
      <c r="I60" s="36">
        <f t="shared" si="18"/>
        <v>325925.52</v>
      </c>
      <c r="J60" s="36">
        <f t="shared" si="18"/>
        <v>252933.25</v>
      </c>
      <c r="K60" s="36">
        <f t="shared" si="18"/>
        <v>330032.68</v>
      </c>
      <c r="L60" s="36">
        <f t="shared" si="18"/>
        <v>124462.65</v>
      </c>
      <c r="M60" s="36">
        <f t="shared" si="18"/>
        <v>60792.27</v>
      </c>
      <c r="N60" s="29">
        <f>SUM(N61:N74)</f>
        <v>2817618.06</v>
      </c>
    </row>
    <row r="61" spans="1:15" ht="18.75" customHeight="1">
      <c r="A61" s="17" t="s">
        <v>76</v>
      </c>
      <c r="B61" s="36">
        <v>73460.74</v>
      </c>
      <c r="C61" s="36">
        <v>64678.06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138138.8</v>
      </c>
      <c r="O61"/>
    </row>
    <row r="62" spans="1:15" ht="18.75" customHeight="1">
      <c r="A62" s="17" t="s">
        <v>77</v>
      </c>
      <c r="B62" s="36">
        <v>308218.35</v>
      </c>
      <c r="C62" s="36">
        <v>157201.42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19" ref="N62:N73">SUM(B62:M62)</f>
        <v>465419.77</v>
      </c>
      <c r="O62"/>
    </row>
    <row r="63" spans="1:16" ht="18.75" customHeight="1">
      <c r="A63" s="17" t="s">
        <v>78</v>
      </c>
      <c r="B63" s="35">
        <v>0</v>
      </c>
      <c r="C63" s="35">
        <v>0</v>
      </c>
      <c r="D63" s="26">
        <v>266817.58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19"/>
        <v>266817.58</v>
      </c>
      <c r="P63"/>
    </row>
    <row r="64" spans="1:17" ht="18.75" customHeight="1">
      <c r="A64" s="17" t="s">
        <v>79</v>
      </c>
      <c r="B64" s="35">
        <v>0</v>
      </c>
      <c r="C64" s="35">
        <v>0</v>
      </c>
      <c r="D64" s="35">
        <v>0</v>
      </c>
      <c r="E64" s="26">
        <v>64982.38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19"/>
        <v>64982.38</v>
      </c>
      <c r="Q64"/>
    </row>
    <row r="65" spans="1:18" ht="18.75" customHeight="1">
      <c r="A65" s="17" t="s">
        <v>80</v>
      </c>
      <c r="B65" s="35">
        <v>0</v>
      </c>
      <c r="C65" s="35">
        <v>0</v>
      </c>
      <c r="D65" s="35">
        <v>0</v>
      </c>
      <c r="E65" s="35">
        <v>0</v>
      </c>
      <c r="F65" s="26">
        <v>236586.39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19"/>
        <v>236586.39</v>
      </c>
      <c r="R65"/>
    </row>
    <row r="66" spans="1:19" ht="18.75" customHeight="1">
      <c r="A66" s="17" t="s">
        <v>81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270682.14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19"/>
        <v>270682.14</v>
      </c>
      <c r="S66"/>
    </row>
    <row r="67" spans="1:20" ht="18.75" customHeight="1">
      <c r="A67" s="17" t="s">
        <v>82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221281.95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19"/>
        <v>221281.95</v>
      </c>
      <c r="T67"/>
    </row>
    <row r="68" spans="1:20" ht="18.75" customHeight="1">
      <c r="A68" s="17" t="s">
        <v>83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59562.68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19"/>
        <v>59562.68</v>
      </c>
      <c r="T68"/>
    </row>
    <row r="69" spans="1:21" ht="18.75" customHeight="1">
      <c r="A69" s="17" t="s">
        <v>84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325925.52</v>
      </c>
      <c r="J69" s="35">
        <v>0</v>
      </c>
      <c r="K69" s="35">
        <v>0</v>
      </c>
      <c r="L69" s="35">
        <v>0</v>
      </c>
      <c r="M69" s="35">
        <v>0</v>
      </c>
      <c r="N69" s="26">
        <f t="shared" si="19"/>
        <v>325925.52</v>
      </c>
      <c r="U69"/>
    </row>
    <row r="70" spans="1:22" ht="18.75" customHeight="1">
      <c r="A70" s="17" t="s">
        <v>85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252933.25</v>
      </c>
      <c r="K70" s="35">
        <v>0</v>
      </c>
      <c r="L70" s="35">
        <v>0</v>
      </c>
      <c r="M70" s="35">
        <v>0</v>
      </c>
      <c r="N70" s="29">
        <f t="shared" si="19"/>
        <v>252933.25</v>
      </c>
      <c r="V70"/>
    </row>
    <row r="71" spans="1:23" ht="18.75" customHeight="1">
      <c r="A71" s="17" t="s">
        <v>86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330032.68</v>
      </c>
      <c r="L71" s="35">
        <v>0</v>
      </c>
      <c r="M71" s="62"/>
      <c r="N71" s="26">
        <f t="shared" si="19"/>
        <v>330032.68</v>
      </c>
      <c r="W71"/>
    </row>
    <row r="72" spans="1:24" ht="18.75" customHeight="1">
      <c r="A72" s="17" t="s">
        <v>87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124462.65</v>
      </c>
      <c r="M72" s="35">
        <v>0</v>
      </c>
      <c r="N72" s="29">
        <f t="shared" si="19"/>
        <v>124462.65</v>
      </c>
      <c r="X72"/>
    </row>
    <row r="73" spans="1:25" ht="18.75" customHeight="1">
      <c r="A73" s="17" t="s">
        <v>88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60792.27</v>
      </c>
      <c r="N73" s="26">
        <f t="shared" si="19"/>
        <v>60792.27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90</v>
      </c>
      <c r="B78" s="45">
        <v>2.118288494129658</v>
      </c>
      <c r="C78" s="45">
        <v>2.0863311411068977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91</v>
      </c>
      <c r="B79" s="45">
        <v>1.8391958978770757</v>
      </c>
      <c r="C79" s="45">
        <v>1.7368677553071221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92</v>
      </c>
      <c r="B80" s="45">
        <v>0</v>
      </c>
      <c r="C80" s="45">
        <v>0</v>
      </c>
      <c r="D80" s="22">
        <f>(D$37+D$38+D$39)/D$7</f>
        <v>1.6876080465799659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93</v>
      </c>
      <c r="B81" s="45">
        <v>0</v>
      </c>
      <c r="C81" s="45">
        <v>0</v>
      </c>
      <c r="D81" s="45">
        <v>0</v>
      </c>
      <c r="E81" s="22">
        <f>(E$37+E$38+E$39)/E$7</f>
        <v>2.3492964556382523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94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1.9710600269031484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95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1.5617222725006348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96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1.8390053551584735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97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1.799500265411992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98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1.7840378693345924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99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2.0093506112477013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100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1.9209350348368908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101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2.2856928917202493</v>
      </c>
      <c r="M89" s="45">
        <v>0</v>
      </c>
      <c r="N89" s="63"/>
      <c r="X89"/>
    </row>
    <row r="90" spans="1:25" ht="18.75" customHeight="1">
      <c r="A90" s="34" t="s">
        <v>102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2.2405840569599205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2016-05-20T13:15:25Z</dcterms:modified>
  <cp:category/>
  <cp:version/>
  <cp:contentType/>
  <cp:contentStatus/>
</cp:coreProperties>
</file>