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<sst xmlns="http://schemas.openxmlformats.org/spreadsheetml/2006/main" count="105" uniqueCount="103">
  <si>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</si>
  <si>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</si>
  <si>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</si>
  <si>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</si>
  <si>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</si>
  <si>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</si>
  <si>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</si>
  <si>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</si>
  <si>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</si>
  <si>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</si>
  <si>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</si>
  <si>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</si>
  <si>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</si>
  <si>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</si>
  <si>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</si>
  <si>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</si>
  <si>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</si>
  <si>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</si>
  <si>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</si>
  <si>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</si>
  <si>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</si>
  <si>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</si>
  <si>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</si>
  <si>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</si>
  <si>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</si>
  <si>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</si>
  <si>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</si>
  <si>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</si>
  <si>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</si>
  <si>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</si>
  <si>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</si>
  <si>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</si>
  <si>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</si>
  <si>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</si>
  <si>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</si>
  <si>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</si>
  <si>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</si>
  <si>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</si>
  <si>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</si>
  <si>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</si>
  <si>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</si>
  <si>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</si>
  <si>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</si>
  <si>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</si>
  <si>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</si>
  <si>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OPERAÇÃO 12/05/16 - VENCIMENTO 19/05/16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</si>
  <si>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</si>
  <si>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</si>
  <si>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</si>
  <si>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</si>
  <si>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</si>
  <si>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</si>
  <si>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</si>
  <si>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</si>
  <si>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</si>
  <si>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</si>
  <si>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</si>
  <si>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</si>
  <si>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</si>
  <si>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</si>
  <si>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</si>
  <si>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</si>
  <si>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</si>
  <si>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</si>
  <si>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</si>
  <si>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</si>
  <si>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</si>
  <si>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</si>
  <si>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</si>
  <si>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</si>
  <si>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</si>
  <si>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</si>
  <si>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</si>
  <si>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</si>
  <si>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</si>
  <si>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</si>
  <si>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</si>
  <si>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</si>
  <si>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</si>
  <si>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</si>
  <si>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</si>
  <si>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</si>
  <si>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</si>
  <si>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</si>
  <si>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</si>
  <si>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</si>
  <si>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</si>
  <si>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</si>
  <si>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</si>
  <si>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</si>
  <si>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</si>
  <si>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</si>
  <si>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</si>
  <si>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</si>
  <si>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</si>
  <si>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</si>
  <si>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</si>
  <si>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</si>
  <si>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</si>
  <si>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</si>
  <si>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5.3. Revisão de Remuneração pelo Transporte Coletivo (1)</t>
  </si>
  <si>
    <t>8. Tarifa de Remuneração por Passageiro (2)</t>
  </si>
  <si>
    <t>Nota: (1) Revisão da rede da madrugada (linhas noturnas), todas as áreas, períodos de março15 a julho15 e novembro15 a fevereiro/16; e revisão de passageiros transportados, período de 01/04 a 05/05/16, área 3.1, total de 84.723 passageiros.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</si>
</sst>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1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520757</v>
      </c>
      <c r="C7" s="10">
        <f>C8+C20+C24</f>
        <v>385095</v>
      </c>
      <c r="D7" s="10">
        <f>D8+D20+D24</f>
        <v>387221</v>
      </c>
      <c r="E7" s="10">
        <f>E8+E20+E24</f>
        <v>66951</v>
      </c>
      <c r="F7" s="10">
        <f aca="true" t="shared" si="0" ref="F7:M7">F8+F20+F24</f>
        <v>322782</v>
      </c>
      <c r="G7" s="10">
        <f t="shared" si="0"/>
        <v>532018</v>
      </c>
      <c r="H7" s="10">
        <f t="shared" si="0"/>
        <v>486583</v>
      </c>
      <c r="I7" s="10">
        <f t="shared" si="0"/>
        <v>435682</v>
      </c>
      <c r="J7" s="10">
        <f t="shared" si="0"/>
        <v>314798</v>
      </c>
      <c r="K7" s="10">
        <f t="shared" si="0"/>
        <v>380997</v>
      </c>
      <c r="L7" s="10">
        <f t="shared" si="0"/>
        <v>158112</v>
      </c>
      <c r="M7" s="10">
        <f t="shared" si="0"/>
        <v>90914</v>
      </c>
      <c r="N7" s="10">
        <f>+N8+N20+N24</f>
        <v>4081910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226514</v>
      </c>
      <c r="C8" s="12">
        <f>+C9+C12+C16</f>
        <v>180213</v>
      </c>
      <c r="D8" s="12">
        <f>+D9+D12+D16</f>
        <v>197982</v>
      </c>
      <c r="E8" s="12">
        <f>+E9+E12+E16</f>
        <v>31463</v>
      </c>
      <c r="F8" s="12">
        <f aca="true" t="shared" si="1" ref="F8:M8">+F9+F12+F16</f>
        <v>149545</v>
      </c>
      <c r="G8" s="12">
        <f t="shared" si="1"/>
        <v>257700</v>
      </c>
      <c r="H8" s="12">
        <f t="shared" si="1"/>
        <v>230626</v>
      </c>
      <c r="I8" s="12">
        <f t="shared" si="1"/>
        <v>209773</v>
      </c>
      <c r="J8" s="12">
        <f t="shared" si="1"/>
        <v>153409</v>
      </c>
      <c r="K8" s="12">
        <f t="shared" si="1"/>
        <v>173431</v>
      </c>
      <c r="L8" s="12">
        <f t="shared" si="1"/>
        <v>81984</v>
      </c>
      <c r="M8" s="12">
        <f t="shared" si="1"/>
        <v>49487</v>
      </c>
      <c r="N8" s="12">
        <f>SUM(B8:M8)</f>
        <v>1942127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18653</v>
      </c>
      <c r="C9" s="14">
        <v>19146</v>
      </c>
      <c r="D9" s="14">
        <v>12493</v>
      </c>
      <c r="E9" s="14">
        <v>2288</v>
      </c>
      <c r="F9" s="14">
        <v>10496</v>
      </c>
      <c r="G9" s="14">
        <v>20873</v>
      </c>
      <c r="H9" s="14">
        <v>25685</v>
      </c>
      <c r="I9" s="14">
        <v>11650</v>
      </c>
      <c r="J9" s="14">
        <v>15956</v>
      </c>
      <c r="K9" s="14">
        <v>12651</v>
      </c>
      <c r="L9" s="14">
        <v>8777</v>
      </c>
      <c r="M9" s="14">
        <v>5672</v>
      </c>
      <c r="N9" s="12">
        <f aca="true" t="shared" si="2" ref="N9:N19">SUM(B9:M9)</f>
        <v>164340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18653</v>
      </c>
      <c r="C10" s="14">
        <f>+C9-C11</f>
        <v>19146</v>
      </c>
      <c r="D10" s="14">
        <f>+D9-D11</f>
        <v>12493</v>
      </c>
      <c r="E10" s="14">
        <f>+E9-E11</f>
        <v>2288</v>
      </c>
      <c r="F10" s="14">
        <f aca="true" t="shared" si="3" ref="F10:M10">+F9-F11</f>
        <v>10496</v>
      </c>
      <c r="G10" s="14">
        <f t="shared" si="3"/>
        <v>20873</v>
      </c>
      <c r="H10" s="14">
        <f t="shared" si="3"/>
        <v>25685</v>
      </c>
      <c r="I10" s="14">
        <f t="shared" si="3"/>
        <v>11650</v>
      </c>
      <c r="J10" s="14">
        <f t="shared" si="3"/>
        <v>15956</v>
      </c>
      <c r="K10" s="14">
        <f t="shared" si="3"/>
        <v>12651</v>
      </c>
      <c r="L10" s="14">
        <f t="shared" si="3"/>
        <v>8777</v>
      </c>
      <c r="M10" s="14">
        <f t="shared" si="3"/>
        <v>5672</v>
      </c>
      <c r="N10" s="12">
        <f t="shared" si="2"/>
        <v>164340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184082</v>
      </c>
      <c r="C12" s="14">
        <f>C13+C14+C15</f>
        <v>144318</v>
      </c>
      <c r="D12" s="14">
        <f>D13+D14+D15</f>
        <v>167556</v>
      </c>
      <c r="E12" s="14">
        <f>E13+E14+E15</f>
        <v>26264</v>
      </c>
      <c r="F12" s="14">
        <f aca="true" t="shared" si="4" ref="F12:M12">F13+F14+F15</f>
        <v>123851</v>
      </c>
      <c r="G12" s="14">
        <f t="shared" si="4"/>
        <v>210669</v>
      </c>
      <c r="H12" s="14">
        <f t="shared" si="4"/>
        <v>183041</v>
      </c>
      <c r="I12" s="14">
        <f t="shared" si="4"/>
        <v>175902</v>
      </c>
      <c r="J12" s="14">
        <f t="shared" si="4"/>
        <v>122492</v>
      </c>
      <c r="K12" s="14">
        <f t="shared" si="4"/>
        <v>140865</v>
      </c>
      <c r="L12" s="14">
        <f t="shared" si="4"/>
        <v>66060</v>
      </c>
      <c r="M12" s="14">
        <f t="shared" si="4"/>
        <v>40227</v>
      </c>
      <c r="N12" s="12">
        <f t="shared" si="2"/>
        <v>1585327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87644</v>
      </c>
      <c r="C13" s="14">
        <v>70376</v>
      </c>
      <c r="D13" s="14">
        <v>79357</v>
      </c>
      <c r="E13" s="14">
        <v>12699</v>
      </c>
      <c r="F13" s="14">
        <v>58420</v>
      </c>
      <c r="G13" s="14">
        <v>101256</v>
      </c>
      <c r="H13" s="14">
        <v>92376</v>
      </c>
      <c r="I13" s="14">
        <v>87319</v>
      </c>
      <c r="J13" s="14">
        <v>58577</v>
      </c>
      <c r="K13" s="14">
        <v>67764</v>
      </c>
      <c r="L13" s="14">
        <v>31605</v>
      </c>
      <c r="M13" s="14">
        <v>18706</v>
      </c>
      <c r="N13" s="12">
        <f t="shared" si="2"/>
        <v>766099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90831</v>
      </c>
      <c r="C14" s="14">
        <v>66890</v>
      </c>
      <c r="D14" s="14">
        <v>84173</v>
      </c>
      <c r="E14" s="14">
        <v>12556</v>
      </c>
      <c r="F14" s="14">
        <v>60572</v>
      </c>
      <c r="G14" s="14">
        <v>99338</v>
      </c>
      <c r="H14" s="14">
        <v>83383</v>
      </c>
      <c r="I14" s="14">
        <v>84900</v>
      </c>
      <c r="J14" s="14">
        <v>59612</v>
      </c>
      <c r="K14" s="14">
        <v>69267</v>
      </c>
      <c r="L14" s="14">
        <v>32079</v>
      </c>
      <c r="M14" s="14">
        <v>20521</v>
      </c>
      <c r="N14" s="12">
        <f t="shared" si="2"/>
        <v>764122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5607</v>
      </c>
      <c r="C15" s="14">
        <v>7052</v>
      </c>
      <c r="D15" s="14">
        <v>4026</v>
      </c>
      <c r="E15" s="14">
        <v>1009</v>
      </c>
      <c r="F15" s="14">
        <v>4859</v>
      </c>
      <c r="G15" s="14">
        <v>10075</v>
      </c>
      <c r="H15" s="14">
        <v>7282</v>
      </c>
      <c r="I15" s="14">
        <v>3683</v>
      </c>
      <c r="J15" s="14">
        <v>4303</v>
      </c>
      <c r="K15" s="14">
        <v>3834</v>
      </c>
      <c r="L15" s="14">
        <v>2376</v>
      </c>
      <c r="M15" s="14">
        <v>1000</v>
      </c>
      <c r="N15" s="12">
        <f t="shared" si="2"/>
        <v>55106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23779</v>
      </c>
      <c r="C16" s="14">
        <f>C17+C18+C19</f>
        <v>16749</v>
      </c>
      <c r="D16" s="14">
        <f>D17+D18+D19</f>
        <v>17933</v>
      </c>
      <c r="E16" s="14">
        <f>E17+E18+E19</f>
        <v>2911</v>
      </c>
      <c r="F16" s="14">
        <f aca="true" t="shared" si="5" ref="F16:M16">F17+F18+F19</f>
        <v>15198</v>
      </c>
      <c r="G16" s="14">
        <f t="shared" si="5"/>
        <v>26158</v>
      </c>
      <c r="H16" s="14">
        <f t="shared" si="5"/>
        <v>21900</v>
      </c>
      <c r="I16" s="14">
        <f t="shared" si="5"/>
        <v>22221</v>
      </c>
      <c r="J16" s="14">
        <f t="shared" si="5"/>
        <v>14961</v>
      </c>
      <c r="K16" s="14">
        <f t="shared" si="5"/>
        <v>19915</v>
      </c>
      <c r="L16" s="14">
        <f t="shared" si="5"/>
        <v>7147</v>
      </c>
      <c r="M16" s="14">
        <f t="shared" si="5"/>
        <v>3588</v>
      </c>
      <c r="N16" s="12">
        <f t="shared" si="2"/>
        <v>192460</v>
      </c>
    </row>
    <row r="17" spans="1:25" ht="18.75" customHeight="1">
      <c r="A17" s="15" t="s">
        <v>16</v>
      </c>
      <c r="B17" s="14">
        <v>15237</v>
      </c>
      <c r="C17" s="14">
        <v>11348</v>
      </c>
      <c r="D17" s="14">
        <v>10752</v>
      </c>
      <c r="E17" s="14">
        <v>1934</v>
      </c>
      <c r="F17" s="14">
        <v>9743</v>
      </c>
      <c r="G17" s="14">
        <v>16978</v>
      </c>
      <c r="H17" s="14">
        <v>14359</v>
      </c>
      <c r="I17" s="14">
        <v>14364</v>
      </c>
      <c r="J17" s="14">
        <v>9489</v>
      </c>
      <c r="K17" s="14">
        <v>12545</v>
      </c>
      <c r="L17" s="14">
        <v>4563</v>
      </c>
      <c r="M17" s="14">
        <v>2287</v>
      </c>
      <c r="N17" s="12">
        <f t="shared" si="2"/>
        <v>123599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7126</v>
      </c>
      <c r="C18" s="14">
        <v>3706</v>
      </c>
      <c r="D18" s="14">
        <v>6237</v>
      </c>
      <c r="E18" s="14">
        <v>797</v>
      </c>
      <c r="F18" s="14">
        <v>4074</v>
      </c>
      <c r="G18" s="14">
        <v>6702</v>
      </c>
      <c r="H18" s="14">
        <v>5840</v>
      </c>
      <c r="I18" s="14">
        <v>7052</v>
      </c>
      <c r="J18" s="14">
        <v>4591</v>
      </c>
      <c r="K18" s="14">
        <v>6555</v>
      </c>
      <c r="L18" s="14">
        <v>2164</v>
      </c>
      <c r="M18" s="14">
        <v>1107</v>
      </c>
      <c r="N18" s="12">
        <f t="shared" si="2"/>
        <v>55951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1416</v>
      </c>
      <c r="C19" s="14">
        <v>1695</v>
      </c>
      <c r="D19" s="14">
        <v>944</v>
      </c>
      <c r="E19" s="14">
        <v>180</v>
      </c>
      <c r="F19" s="14">
        <v>1381</v>
      </c>
      <c r="G19" s="14">
        <v>2478</v>
      </c>
      <c r="H19" s="14">
        <v>1701</v>
      </c>
      <c r="I19" s="14">
        <v>805</v>
      </c>
      <c r="J19" s="14">
        <v>881</v>
      </c>
      <c r="K19" s="14">
        <v>815</v>
      </c>
      <c r="L19" s="14">
        <v>420</v>
      </c>
      <c r="M19" s="14">
        <v>194</v>
      </c>
      <c r="N19" s="12">
        <f t="shared" si="2"/>
        <v>12910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134571</v>
      </c>
      <c r="C20" s="18">
        <f>C21+C22+C23</f>
        <v>84773</v>
      </c>
      <c r="D20" s="18">
        <f>D21+D22+D23</f>
        <v>78404</v>
      </c>
      <c r="E20" s="18">
        <f>E21+E22+E23</f>
        <v>13409</v>
      </c>
      <c r="F20" s="18">
        <f aca="true" t="shared" si="6" ref="F20:M20">F21+F22+F23</f>
        <v>65114</v>
      </c>
      <c r="G20" s="18">
        <f t="shared" si="6"/>
        <v>110268</v>
      </c>
      <c r="H20" s="18">
        <f t="shared" si="6"/>
        <v>116311</v>
      </c>
      <c r="I20" s="18">
        <f t="shared" si="6"/>
        <v>110139</v>
      </c>
      <c r="J20" s="18">
        <f t="shared" si="6"/>
        <v>72482</v>
      </c>
      <c r="K20" s="18">
        <f t="shared" si="6"/>
        <v>110330</v>
      </c>
      <c r="L20" s="18">
        <f t="shared" si="6"/>
        <v>43490</v>
      </c>
      <c r="M20" s="18">
        <f t="shared" si="6"/>
        <v>24005</v>
      </c>
      <c r="N20" s="12">
        <f aca="true" t="shared" si="7" ref="N20:N26">SUM(B20:M20)</f>
        <v>963296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69418</v>
      </c>
      <c r="C21" s="14">
        <v>46764</v>
      </c>
      <c r="D21" s="14">
        <v>41607</v>
      </c>
      <c r="E21" s="14">
        <v>7234</v>
      </c>
      <c r="F21" s="14">
        <v>34259</v>
      </c>
      <c r="G21" s="14">
        <v>60596</v>
      </c>
      <c r="H21" s="14">
        <v>65987</v>
      </c>
      <c r="I21" s="14">
        <v>60592</v>
      </c>
      <c r="J21" s="14">
        <v>38863</v>
      </c>
      <c r="K21" s="14">
        <v>58152</v>
      </c>
      <c r="L21" s="14">
        <v>23182</v>
      </c>
      <c r="M21" s="14">
        <v>12509</v>
      </c>
      <c r="N21" s="12">
        <f t="shared" si="7"/>
        <v>519163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62204</v>
      </c>
      <c r="C22" s="14">
        <v>35428</v>
      </c>
      <c r="D22" s="14">
        <v>35285</v>
      </c>
      <c r="E22" s="14">
        <v>5809</v>
      </c>
      <c r="F22" s="14">
        <v>29095</v>
      </c>
      <c r="G22" s="14">
        <v>46124</v>
      </c>
      <c r="H22" s="14">
        <v>47627</v>
      </c>
      <c r="I22" s="14">
        <v>47564</v>
      </c>
      <c r="J22" s="14">
        <v>31879</v>
      </c>
      <c r="K22" s="14">
        <v>50082</v>
      </c>
      <c r="L22" s="14">
        <v>19292</v>
      </c>
      <c r="M22" s="14">
        <v>10999</v>
      </c>
      <c r="N22" s="12">
        <f t="shared" si="7"/>
        <v>421388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2949</v>
      </c>
      <c r="C23" s="14">
        <v>2581</v>
      </c>
      <c r="D23" s="14">
        <v>1512</v>
      </c>
      <c r="E23" s="14">
        <v>366</v>
      </c>
      <c r="F23" s="14">
        <v>1760</v>
      </c>
      <c r="G23" s="14">
        <v>3548</v>
      </c>
      <c r="H23" s="14">
        <v>2697</v>
      </c>
      <c r="I23" s="14">
        <v>1983</v>
      </c>
      <c r="J23" s="14">
        <v>1740</v>
      </c>
      <c r="K23" s="14">
        <v>2096</v>
      </c>
      <c r="L23" s="14">
        <v>1016</v>
      </c>
      <c r="M23" s="14">
        <v>497</v>
      </c>
      <c r="N23" s="12">
        <f t="shared" si="7"/>
        <v>22745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159672</v>
      </c>
      <c r="C24" s="14">
        <f>C25+C26</f>
        <v>120109</v>
      </c>
      <c r="D24" s="14">
        <f>D25+D26</f>
        <v>110835</v>
      </c>
      <c r="E24" s="14">
        <f>E25+E26</f>
        <v>22079</v>
      </c>
      <c r="F24" s="14">
        <f aca="true" t="shared" si="8" ref="F24:M24">F25+F26</f>
        <v>108123</v>
      </c>
      <c r="G24" s="14">
        <f t="shared" si="8"/>
        <v>164050</v>
      </c>
      <c r="H24" s="14">
        <f t="shared" si="8"/>
        <v>139646</v>
      </c>
      <c r="I24" s="14">
        <f t="shared" si="8"/>
        <v>115770</v>
      </c>
      <c r="J24" s="14">
        <f t="shared" si="8"/>
        <v>88907</v>
      </c>
      <c r="K24" s="14">
        <f t="shared" si="8"/>
        <v>97236</v>
      </c>
      <c r="L24" s="14">
        <f t="shared" si="8"/>
        <v>32638</v>
      </c>
      <c r="M24" s="14">
        <f t="shared" si="8"/>
        <v>17422</v>
      </c>
      <c r="N24" s="12">
        <f t="shared" si="7"/>
        <v>1176487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72887</v>
      </c>
      <c r="C25" s="14">
        <v>59949</v>
      </c>
      <c r="D25" s="14">
        <v>54475</v>
      </c>
      <c r="E25" s="14">
        <v>11895</v>
      </c>
      <c r="F25" s="14">
        <v>52695</v>
      </c>
      <c r="G25" s="14">
        <v>84711</v>
      </c>
      <c r="H25" s="14">
        <v>74702</v>
      </c>
      <c r="I25" s="14">
        <v>53103</v>
      </c>
      <c r="J25" s="14">
        <v>45688</v>
      </c>
      <c r="K25" s="14">
        <v>43878</v>
      </c>
      <c r="L25" s="14">
        <v>15265</v>
      </c>
      <c r="M25" s="14">
        <v>7326</v>
      </c>
      <c r="N25" s="12">
        <f t="shared" si="7"/>
        <v>576574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f>58895+27890</f>
        <v>86785</v>
      </c>
      <c r="C26" s="14">
        <f>42956+17204</f>
        <v>60160</v>
      </c>
      <c r="D26" s="14">
        <f>42076+14284</f>
        <v>56360</v>
      </c>
      <c r="E26" s="14">
        <f>7437+2747</f>
        <v>10184</v>
      </c>
      <c r="F26" s="14">
        <f>40985+14443</f>
        <v>55428</v>
      </c>
      <c r="G26" s="14">
        <f>57589+21750</f>
        <v>79339</v>
      </c>
      <c r="H26" s="14">
        <f>48811+16133</f>
        <v>64944</v>
      </c>
      <c r="I26" s="14">
        <f>44190+18477</f>
        <v>62667</v>
      </c>
      <c r="J26" s="14">
        <f>31472+11747</f>
        <v>43219</v>
      </c>
      <c r="K26" s="14">
        <f>37042+16316</f>
        <v>53358</v>
      </c>
      <c r="L26" s="14">
        <f>12114+5259</f>
        <v>17373</v>
      </c>
      <c r="M26" s="14">
        <f>7461+2635</f>
        <v>10096</v>
      </c>
      <c r="N26" s="12">
        <f t="shared" si="7"/>
        <v>599913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2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51</v>
      </c>
      <c r="B32" s="56">
        <v>3257.0800000000004</v>
      </c>
      <c r="C32" s="56">
        <v>2478.1200000000003</v>
      </c>
      <c r="D32" s="56">
        <v>2161.4</v>
      </c>
      <c r="E32" s="56">
        <v>646.2800000000001</v>
      </c>
      <c r="F32" s="56">
        <v>2161.4</v>
      </c>
      <c r="G32" s="56">
        <v>2662.1600000000003</v>
      </c>
      <c r="H32" s="56">
        <v>2897.56</v>
      </c>
      <c r="I32" s="56">
        <v>2546.6000000000004</v>
      </c>
      <c r="J32" s="56">
        <v>2118.6</v>
      </c>
      <c r="K32" s="56">
        <v>2602.2400000000002</v>
      </c>
      <c r="L32" s="56">
        <v>1271.16</v>
      </c>
      <c r="M32" s="56">
        <v>719.0400000000001</v>
      </c>
      <c r="N32" s="25">
        <f>SUM(B32:M32)</f>
        <v>25521.64</v>
      </c>
    </row>
    <row r="33" spans="1:25" ht="18.75" customHeight="1">
      <c r="A33" s="52" t="s">
        <v>52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53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54</v>
      </c>
      <c r="B36" s="60">
        <f>B37+B38+B39+B40</f>
        <v>978169.10303322</v>
      </c>
      <c r="C36" s="60">
        <f aca="true" t="shared" si="9" ref="C36:M36">C37+C38+C39+C40</f>
        <v>698960.937</v>
      </c>
      <c r="D36" s="60">
        <f t="shared" si="9"/>
        <v>660778.2538110501</v>
      </c>
      <c r="E36" s="60">
        <f t="shared" si="9"/>
        <v>156502.7447984</v>
      </c>
      <c r="F36" s="60">
        <f t="shared" si="9"/>
        <v>633278.3393831</v>
      </c>
      <c r="G36" s="60">
        <f t="shared" si="9"/>
        <v>826864.4456</v>
      </c>
      <c r="H36" s="60">
        <f t="shared" si="9"/>
        <v>885997.0467000001</v>
      </c>
      <c r="I36" s="60">
        <f t="shared" si="9"/>
        <v>774362.4040475999</v>
      </c>
      <c r="J36" s="60">
        <f t="shared" si="9"/>
        <v>630182.8873714</v>
      </c>
      <c r="K36" s="60">
        <f t="shared" si="9"/>
        <v>729334.8762107199</v>
      </c>
      <c r="L36" s="60">
        <f t="shared" si="9"/>
        <v>359478.86546015996</v>
      </c>
      <c r="M36" s="60">
        <f t="shared" si="9"/>
        <v>202391.61700384002</v>
      </c>
      <c r="N36" s="60">
        <f>N37+N38+N39+N40</f>
        <v>7536301.52041949</v>
      </c>
    </row>
    <row r="37" spans="1:14" ht="18.75" customHeight="1">
      <c r="A37" s="57" t="s">
        <v>55</v>
      </c>
      <c r="B37" s="54">
        <f>B29*B7</f>
        <v>978137.8731000001</v>
      </c>
      <c r="C37" s="54">
        <f>C29*C7</f>
        <v>698793.387</v>
      </c>
      <c r="D37" s="54">
        <f>D29*D7</f>
        <v>650918.501</v>
      </c>
      <c r="E37" s="54">
        <f>E29*E7</f>
        <v>156277.0242</v>
      </c>
      <c r="F37" s="54">
        <f>F29*F7</f>
        <v>633169.1712</v>
      </c>
      <c r="G37" s="54">
        <f>G29*G7</f>
        <v>826915.5774</v>
      </c>
      <c r="H37" s="54">
        <f>H29*H7</f>
        <v>885824.3515</v>
      </c>
      <c r="I37" s="54">
        <f>I29*I7</f>
        <v>774294.0504</v>
      </c>
      <c r="J37" s="54">
        <f>J29*J7</f>
        <v>630068.197</v>
      </c>
      <c r="K37" s="54">
        <f>K29*K7</f>
        <v>729113.9589</v>
      </c>
      <c r="L37" s="54">
        <f>L29*L7</f>
        <v>359372.7648</v>
      </c>
      <c r="M37" s="54">
        <f>M29*M7</f>
        <v>202338.1984</v>
      </c>
      <c r="N37" s="56">
        <f>SUM(B37:M37)</f>
        <v>7525223.0549</v>
      </c>
    </row>
    <row r="38" spans="1:14" ht="18.75" customHeight="1">
      <c r="A38" s="57" t="s">
        <v>56</v>
      </c>
      <c r="B38" s="54">
        <f>B30*B7</f>
        <v>-3225.85006678</v>
      </c>
      <c r="C38" s="54">
        <f>C30*C7</f>
        <v>-2310.57</v>
      </c>
      <c r="D38" s="54">
        <f>D30*D7</f>
        <v>-2149.0571889499997</v>
      </c>
      <c r="E38" s="54">
        <f>E30*E7</f>
        <v>-420.5594016</v>
      </c>
      <c r="F38" s="54">
        <f>F30*F7</f>
        <v>-2052.2318169</v>
      </c>
      <c r="G38" s="54">
        <f>G30*G7</f>
        <v>-2713.2918000000004</v>
      </c>
      <c r="H38" s="54">
        <f>H30*H7</f>
        <v>-2724.8648</v>
      </c>
      <c r="I38" s="54">
        <f>I30*I7</f>
        <v>-2478.2463524</v>
      </c>
      <c r="J38" s="54">
        <f>J30*J7</f>
        <v>-2003.9096286000001</v>
      </c>
      <c r="K38" s="54">
        <f>K30*K7</f>
        <v>-2381.32268928</v>
      </c>
      <c r="L38" s="54">
        <f>L30*L7</f>
        <v>-1165.05933984</v>
      </c>
      <c r="M38" s="54">
        <f>M30*M7</f>
        <v>-665.62139616</v>
      </c>
      <c r="N38" s="25">
        <f>SUM(B38:M38)</f>
        <v>-24290.584480510002</v>
      </c>
    </row>
    <row r="39" spans="1:14" ht="18.75" customHeight="1">
      <c r="A39" s="57" t="s">
        <v>57</v>
      </c>
      <c r="B39" s="54">
        <f aca="true" t="shared" si="10" ref="B39:M39">B32</f>
        <v>3257.0800000000004</v>
      </c>
      <c r="C39" s="54">
        <f t="shared" si="10"/>
        <v>2478.1200000000003</v>
      </c>
      <c r="D39" s="54">
        <f t="shared" si="10"/>
        <v>2161.4</v>
      </c>
      <c r="E39" s="54">
        <f t="shared" si="10"/>
        <v>646.2800000000001</v>
      </c>
      <c r="F39" s="54">
        <f t="shared" si="10"/>
        <v>2161.4</v>
      </c>
      <c r="G39" s="54">
        <f t="shared" si="10"/>
        <v>2662.1600000000003</v>
      </c>
      <c r="H39" s="54">
        <f t="shared" si="10"/>
        <v>2897.56</v>
      </c>
      <c r="I39" s="54">
        <f t="shared" si="10"/>
        <v>2546.6000000000004</v>
      </c>
      <c r="J39" s="54">
        <f t="shared" si="10"/>
        <v>2118.6</v>
      </c>
      <c r="K39" s="54">
        <f t="shared" si="10"/>
        <v>2602.2400000000002</v>
      </c>
      <c r="L39" s="54">
        <f t="shared" si="10"/>
        <v>1271.16</v>
      </c>
      <c r="M39" s="54">
        <f t="shared" si="10"/>
        <v>719.0400000000001</v>
      </c>
      <c r="N39" s="56">
        <f>SUM(B39:M39)</f>
        <v>25521.64</v>
      </c>
    </row>
    <row r="40" spans="1:25" ht="18.75" customHeight="1">
      <c r="A40" s="2" t="s">
        <v>58</v>
      </c>
      <c r="B40" s="54">
        <v>0</v>
      </c>
      <c r="C40" s="54">
        <v>0</v>
      </c>
      <c r="D40" s="54">
        <v>9847.41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59</v>
      </c>
      <c r="B42" s="25">
        <f>+B43+B46+B54+B55</f>
        <v>-75689.56</v>
      </c>
      <c r="C42" s="25">
        <f aca="true" t="shared" si="11" ref="C42:M42">+C43+C46+C54+C55</f>
        <v>30353.790000000008</v>
      </c>
      <c r="D42" s="25">
        <f t="shared" si="11"/>
        <v>-44890.32000000001</v>
      </c>
      <c r="E42" s="25">
        <f t="shared" si="11"/>
        <v>180533.11</v>
      </c>
      <c r="F42" s="25">
        <f t="shared" si="11"/>
        <v>-31088.280000000006</v>
      </c>
      <c r="G42" s="25">
        <f t="shared" si="11"/>
        <v>-56905.87999999999</v>
      </c>
      <c r="H42" s="25">
        <f t="shared" si="11"/>
        <v>-30146.479999999996</v>
      </c>
      <c r="I42" s="25">
        <f t="shared" si="11"/>
        <v>-12262.560000000001</v>
      </c>
      <c r="J42" s="25">
        <f t="shared" si="11"/>
        <v>-62305.030000000006</v>
      </c>
      <c r="K42" s="25">
        <f t="shared" si="11"/>
        <v>-29947.970000000005</v>
      </c>
      <c r="L42" s="25">
        <f t="shared" si="11"/>
        <v>-31677.519999999997</v>
      </c>
      <c r="M42" s="25">
        <f t="shared" si="11"/>
        <v>-19709.909999999996</v>
      </c>
      <c r="N42" s="25">
        <f>+N43+N46+N54+N55</f>
        <v>-183736.60999999987</v>
      </c>
    </row>
    <row r="43" spans="1:14" ht="18.75" customHeight="1">
      <c r="A43" s="17" t="s">
        <v>60</v>
      </c>
      <c r="B43" s="26">
        <f>B44+B45</f>
        <v>-70881.4</v>
      </c>
      <c r="C43" s="26">
        <f>C44+C45</f>
        <v>-72754.8</v>
      </c>
      <c r="D43" s="26">
        <f>D44+D45</f>
        <v>-47473.4</v>
      </c>
      <c r="E43" s="26">
        <f>E44+E45</f>
        <v>-8694.4</v>
      </c>
      <c r="F43" s="26">
        <f aca="true" t="shared" si="12" ref="F43:M43">F44+F45</f>
        <v>-39884.8</v>
      </c>
      <c r="G43" s="26">
        <f t="shared" si="12"/>
        <v>-79317.4</v>
      </c>
      <c r="H43" s="26">
        <f t="shared" si="12"/>
        <v>-97603</v>
      </c>
      <c r="I43" s="26">
        <f t="shared" si="12"/>
        <v>-44270</v>
      </c>
      <c r="J43" s="26">
        <f t="shared" si="12"/>
        <v>-60632.8</v>
      </c>
      <c r="K43" s="26">
        <f t="shared" si="12"/>
        <v>-48073.8</v>
      </c>
      <c r="L43" s="26">
        <f t="shared" si="12"/>
        <v>-33352.6</v>
      </c>
      <c r="M43" s="26">
        <f t="shared" si="12"/>
        <v>-21553.6</v>
      </c>
      <c r="N43" s="25">
        <f aca="true" t="shared" si="13" ref="N43:N55">SUM(B43:M43)</f>
        <v>-624491.9999999999</v>
      </c>
    </row>
    <row r="44" spans="1:25" ht="18.75" customHeight="1">
      <c r="A44" s="13" t="s">
        <v>61</v>
      </c>
      <c r="B44" s="20">
        <f>ROUND(-B9*$D$3,2)</f>
        <v>-70881.4</v>
      </c>
      <c r="C44" s="20">
        <f>ROUND(-C9*$D$3,2)</f>
        <v>-72754.8</v>
      </c>
      <c r="D44" s="20">
        <f>ROUND(-D9*$D$3,2)</f>
        <v>-47473.4</v>
      </c>
      <c r="E44" s="20">
        <f>ROUND(-E9*$D$3,2)</f>
        <v>-8694.4</v>
      </c>
      <c r="F44" s="20">
        <f aca="true" t="shared" si="14" ref="F44:M44">ROUND(-F9*$D$3,2)</f>
        <v>-39884.8</v>
      </c>
      <c r="G44" s="20">
        <f t="shared" si="14"/>
        <v>-79317.4</v>
      </c>
      <c r="H44" s="20">
        <f t="shared" si="14"/>
        <v>-97603</v>
      </c>
      <c r="I44" s="20">
        <f t="shared" si="14"/>
        <v>-44270</v>
      </c>
      <c r="J44" s="20">
        <f t="shared" si="14"/>
        <v>-60632.8</v>
      </c>
      <c r="K44" s="20">
        <f t="shared" si="14"/>
        <v>-48073.8</v>
      </c>
      <c r="L44" s="20">
        <f t="shared" si="14"/>
        <v>-33352.6</v>
      </c>
      <c r="M44" s="20">
        <f t="shared" si="14"/>
        <v>-21553.6</v>
      </c>
      <c r="N44" s="46">
        <f t="shared" si="13"/>
        <v>-624491.9999999999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f>-7609.19+3010.75</f>
        <v>-4598.44</v>
      </c>
      <c r="C54" s="27">
        <f>70948.77+32279.66</f>
        <v>103228.43000000001</v>
      </c>
      <c r="D54" s="27">
        <f>299.22+2382.3</f>
        <v>2681.5200000000004</v>
      </c>
      <c r="E54" s="27">
        <f>188216.78+1053.53</f>
        <v>189270.31</v>
      </c>
      <c r="F54" s="27">
        <f>7357.55+1460.37</f>
        <v>8817.92</v>
      </c>
      <c r="G54" s="27">
        <f>11238.43+11228.73</f>
        <v>22467.16</v>
      </c>
      <c r="H54" s="27">
        <f>64981.88+2474.64</f>
        <v>67456.52</v>
      </c>
      <c r="I54" s="27">
        <f>24183.41+7926.75</f>
        <v>32110.16</v>
      </c>
      <c r="J54" s="27">
        <f>472.08-1938.87</f>
        <v>-1466.79</v>
      </c>
      <c r="K54" s="27">
        <f>11694.07+6530.2</f>
        <v>18224.27</v>
      </c>
      <c r="L54" s="27">
        <f>642.08+1118.6</f>
        <v>1760.6799999999998</v>
      </c>
      <c r="M54" s="27">
        <f>-0.69+1887.18</f>
        <v>1886.49</v>
      </c>
      <c r="N54" s="24">
        <f t="shared" si="13"/>
        <v>441838.23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72</v>
      </c>
      <c r="B57" s="29">
        <f aca="true" t="shared" si="17" ref="B57:M57">+B36+B42</f>
        <v>902479.5430332201</v>
      </c>
      <c r="C57" s="29">
        <f t="shared" si="17"/>
        <v>729314.7270000001</v>
      </c>
      <c r="D57" s="29">
        <f t="shared" si="17"/>
        <v>615887.9338110501</v>
      </c>
      <c r="E57" s="29">
        <f t="shared" si="17"/>
        <v>337035.85479839996</v>
      </c>
      <c r="F57" s="29">
        <f t="shared" si="17"/>
        <v>602190.0593831</v>
      </c>
      <c r="G57" s="29">
        <f t="shared" si="17"/>
        <v>769958.5656</v>
      </c>
      <c r="H57" s="29">
        <f t="shared" si="17"/>
        <v>855850.5667000001</v>
      </c>
      <c r="I57" s="29">
        <f t="shared" si="17"/>
        <v>762099.8440475998</v>
      </c>
      <c r="J57" s="29">
        <f t="shared" si="17"/>
        <v>567877.8573714</v>
      </c>
      <c r="K57" s="29">
        <f t="shared" si="17"/>
        <v>699386.90621072</v>
      </c>
      <c r="L57" s="29">
        <f t="shared" si="17"/>
        <v>327801.34546015994</v>
      </c>
      <c r="M57" s="29">
        <f t="shared" si="17"/>
        <v>182681.70700384</v>
      </c>
      <c r="N57" s="29">
        <f>SUM(B57:M57)</f>
        <v>7352564.910419489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72"/>
    </row>
    <row r="60" spans="1:16" ht="18.75" customHeight="1">
      <c r="A60" s="2" t="s">
        <v>73</v>
      </c>
      <c r="B60" s="36">
        <f>SUM(B61:B74)</f>
        <v>902479.55</v>
      </c>
      <c r="C60" s="36">
        <f aca="true" t="shared" si="18" ref="C60:M60">SUM(C61:C74)</f>
        <v>729314.72</v>
      </c>
      <c r="D60" s="36">
        <f t="shared" si="18"/>
        <v>615887.93</v>
      </c>
      <c r="E60" s="36">
        <f t="shared" si="18"/>
        <v>337035.85</v>
      </c>
      <c r="F60" s="36">
        <f t="shared" si="18"/>
        <v>602190.06</v>
      </c>
      <c r="G60" s="36">
        <f t="shared" si="18"/>
        <v>769958.5700000001</v>
      </c>
      <c r="H60" s="36">
        <f t="shared" si="18"/>
        <v>855850.5800000001</v>
      </c>
      <c r="I60" s="36">
        <f t="shared" si="18"/>
        <v>762099.85</v>
      </c>
      <c r="J60" s="36">
        <f t="shared" si="18"/>
        <v>567877.86</v>
      </c>
      <c r="K60" s="36">
        <f t="shared" si="18"/>
        <v>699386.9099999999</v>
      </c>
      <c r="L60" s="36">
        <f t="shared" si="18"/>
        <v>327801.33999999997</v>
      </c>
      <c r="M60" s="36">
        <f t="shared" si="18"/>
        <v>182681.71</v>
      </c>
      <c r="N60" s="29">
        <f>SUM(N61:N74)</f>
        <v>7352564.930000001</v>
      </c>
      <c r="P60" s="73"/>
    </row>
    <row r="61" spans="1:16" ht="18.75" customHeight="1">
      <c r="A61" s="17" t="s">
        <v>74</v>
      </c>
      <c r="B61" s="36">
        <f>181684.45+3732.11</f>
        <v>185416.56</v>
      </c>
      <c r="C61" s="36">
        <f>182288.98+39461.58+25867.9</f>
        <v>247618.46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433035.02</v>
      </c>
      <c r="O61"/>
      <c r="P61" s="73"/>
    </row>
    <row r="62" spans="1:15" ht="18.75" customHeight="1">
      <c r="A62" s="17" t="s">
        <v>75</v>
      </c>
      <c r="B62" s="36">
        <f>717062.99</f>
        <v>717062.99</v>
      </c>
      <c r="C62" s="36">
        <f>443797.31+31487.19+6411.76</f>
        <v>481696.26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1198759.25</v>
      </c>
      <c r="O62"/>
    </row>
    <row r="63" spans="1:16" ht="18.75" customHeight="1">
      <c r="A63" s="17" t="s">
        <v>76</v>
      </c>
      <c r="B63" s="35">
        <v>0</v>
      </c>
      <c r="C63" s="35">
        <v>0</v>
      </c>
      <c r="D63" s="26">
        <f>613206.41+299.22+2382.3</f>
        <v>615887.93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615887.93</v>
      </c>
      <c r="P63"/>
    </row>
    <row r="64" spans="1:17" ht="18.75" customHeight="1">
      <c r="A64" s="17" t="s">
        <v>77</v>
      </c>
      <c r="B64" s="35">
        <v>0</v>
      </c>
      <c r="C64" s="35">
        <v>0</v>
      </c>
      <c r="D64" s="35">
        <v>0</v>
      </c>
      <c r="E64" s="26">
        <f>147765.54+1053.53+188216.78</f>
        <v>337035.85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337035.85</v>
      </c>
      <c r="Q64"/>
    </row>
    <row r="65" spans="1:18" ht="18.75" customHeight="1">
      <c r="A65" s="17" t="s">
        <v>78</v>
      </c>
      <c r="B65" s="35">
        <v>0</v>
      </c>
      <c r="C65" s="35">
        <v>0</v>
      </c>
      <c r="D65" s="35">
        <v>0</v>
      </c>
      <c r="E65" s="35">
        <v>0</v>
      </c>
      <c r="F65" s="26">
        <f>593372.14+7357.55+1460.37</f>
        <v>602190.06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602190.06</v>
      </c>
      <c r="R65"/>
    </row>
    <row r="66" spans="1:19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f>747491.41+11228.73+11238.43</f>
        <v>769958.5700000001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769958.5700000001</v>
      </c>
      <c r="S66"/>
    </row>
    <row r="67" spans="1:20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f>607621.88+64981.88+2474.64</f>
        <v>675078.4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675078.4</v>
      </c>
      <c r="T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180772.18</f>
        <v>180772.18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180772.18</v>
      </c>
      <c r="T68"/>
    </row>
    <row r="69" spans="1:21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f>729989.69+24183.41+7926.75</f>
        <v>762099.85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762099.85</v>
      </c>
      <c r="U69"/>
    </row>
    <row r="70" spans="1:22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567405.78+472.08</f>
        <v>567877.86</v>
      </c>
      <c r="K70" s="35">
        <v>0</v>
      </c>
      <c r="L70" s="35">
        <v>0</v>
      </c>
      <c r="M70" s="35">
        <v>0</v>
      </c>
      <c r="N70" s="29">
        <f t="shared" si="19"/>
        <v>567877.86</v>
      </c>
      <c r="V70"/>
    </row>
    <row r="71" spans="1:23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681162.64+11694.07+6530.2</f>
        <v>699386.9099999999</v>
      </c>
      <c r="L71" s="35">
        <v>0</v>
      </c>
      <c r="M71" s="61"/>
      <c r="N71" s="26">
        <f t="shared" si="19"/>
        <v>699386.9099999999</v>
      </c>
      <c r="W71"/>
    </row>
    <row r="72" spans="1:24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326040.66+642.08+1118.6</f>
        <v>327801.33999999997</v>
      </c>
      <c r="M72" s="35">
        <v>0</v>
      </c>
      <c r="N72" s="29">
        <f t="shared" si="19"/>
        <v>327801.33999999997</v>
      </c>
      <c r="X72"/>
    </row>
    <row r="73" spans="1:25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180794.53+1887.18</f>
        <v>182681.71</v>
      </c>
      <c r="N73" s="26">
        <f t="shared" si="19"/>
        <v>182681.71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87</v>
      </c>
      <c r="B78" s="44">
        <v>2.091018363866952</v>
      </c>
      <c r="C78" s="44">
        <v>2.071855943143233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88</v>
      </c>
      <c r="B79" s="44">
        <v>1.8316213090793252</v>
      </c>
      <c r="C79" s="44">
        <v>1.7272839651039633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89</v>
      </c>
      <c r="B80" s="44">
        <v>0</v>
      </c>
      <c r="C80" s="44">
        <v>0</v>
      </c>
      <c r="D80" s="22">
        <f>(D$37+D$38+D$39)/D$7</f>
        <v>1.6810318753658764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90</v>
      </c>
      <c r="B81" s="44">
        <v>0</v>
      </c>
      <c r="C81" s="44">
        <v>0</v>
      </c>
      <c r="D81" s="44">
        <v>0</v>
      </c>
      <c r="E81" s="22">
        <f>(E$37+E$38+E$39)/E$7</f>
        <v>2.3375714298277845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91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1.961938210256768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92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1.5542038908457985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93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1.8307077120850368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94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1.7893491726910404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95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1.7773568888492062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2.001864330051017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1.9142798400268766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2.2735710474863384</v>
      </c>
      <c r="M89" s="44">
        <v>0</v>
      </c>
      <c r="N89" s="62"/>
      <c r="X89"/>
    </row>
    <row r="90" spans="1:25" ht="18.75" customHeight="1">
      <c r="A90" s="34" t="s">
        <v>99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2.226187572913303</v>
      </c>
      <c r="N90" s="50"/>
      <c r="Y90"/>
    </row>
    <row r="91" spans="1:14" ht="55.5" customHeight="1">
      <c r="A91" s="74" t="s">
        <v>102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N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2016-05-19T19:46:30Z</dcterms:modified>
  <cp:category/>
  <cp:version/>
  <cp:contentType/>
  <cp:contentStatus/>
</cp:coreProperties>
</file>