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<sst xmlns="http://schemas.openxmlformats.org/spreadsheetml/2006/main" count="105" uniqueCount="103">
  <si>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</si>
  <si>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</si>
  <si>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</si>
  <si>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</si>
  <si>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</si>
  <si>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</si>
  <si>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</si>
  <si>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</si>
  <si>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</si>
  <si>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</si>
  <si>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</si>
  <si>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</si>
  <si>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</si>
  <si>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</si>
  <si>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</si>
  <si>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</si>
  <si>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</si>
  <si>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</si>
  <si>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</si>
  <si>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</si>
  <si>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</si>
  <si>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</si>
  <si>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</si>
  <si>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</si>
  <si>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</si>
  <si>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</si>
  <si>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</si>
  <si>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</si>
  <si>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</si>
  <si>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</si>
  <si>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</si>
  <si>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</si>
  <si>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</si>
  <si>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</si>
  <si>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</si>
  <si>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</si>
  <si>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</si>
  <si>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</si>
  <si>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</si>
  <si>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</si>
  <si>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</si>
  <si>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</si>
  <si>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</si>
  <si>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</si>
  <si>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</si>
  <si>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</si>
  <si>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OPERAÇÃO 10/05/16 - VENCIMENTO 17/05/16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</si>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</sst>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638175</xdr:colOff>
      <xdr:row>94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638175</xdr:colOff>
      <xdr:row>94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638175</xdr:colOff>
      <xdr:row>94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46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534097</v>
      </c>
      <c r="C7" s="10">
        <f>C8+C20+C24</f>
        <v>381130</v>
      </c>
      <c r="D7" s="10">
        <f>D8+D20+D24</f>
        <v>340364</v>
      </c>
      <c r="E7" s="10">
        <f>E8+E20+E24</f>
        <v>65008</v>
      </c>
      <c r="F7" s="10">
        <f aca="true" t="shared" si="0" ref="F7:M7">F8+F20+F24</f>
        <v>316155</v>
      </c>
      <c r="G7" s="10">
        <f t="shared" si="0"/>
        <v>518452</v>
      </c>
      <c r="H7" s="10">
        <f t="shared" si="0"/>
        <v>488782</v>
      </c>
      <c r="I7" s="10">
        <f t="shared" si="0"/>
        <v>444621</v>
      </c>
      <c r="J7" s="10">
        <f t="shared" si="0"/>
        <v>319834</v>
      </c>
      <c r="K7" s="10">
        <f t="shared" si="0"/>
        <v>381747</v>
      </c>
      <c r="L7" s="10">
        <f t="shared" si="0"/>
        <v>161604</v>
      </c>
      <c r="M7" s="10">
        <f t="shared" si="0"/>
        <v>90493</v>
      </c>
      <c r="N7" s="10">
        <f>+N8+N20+N24</f>
        <v>4042287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232431</v>
      </c>
      <c r="C8" s="12">
        <f>+C9+C12+C16</f>
        <v>178172</v>
      </c>
      <c r="D8" s="12">
        <f>+D9+D12+D16</f>
        <v>174379</v>
      </c>
      <c r="E8" s="12">
        <f>+E9+E12+E16</f>
        <v>30868</v>
      </c>
      <c r="F8" s="12">
        <f aca="true" t="shared" si="1" ref="F8:M8">+F9+F12+F16</f>
        <v>145890</v>
      </c>
      <c r="G8" s="12">
        <f t="shared" si="1"/>
        <v>250706</v>
      </c>
      <c r="H8" s="12">
        <f t="shared" si="1"/>
        <v>231200</v>
      </c>
      <c r="I8" s="12">
        <f t="shared" si="1"/>
        <v>213685</v>
      </c>
      <c r="J8" s="12">
        <f t="shared" si="1"/>
        <v>154600</v>
      </c>
      <c r="K8" s="12">
        <f t="shared" si="1"/>
        <v>173588</v>
      </c>
      <c r="L8" s="12">
        <f t="shared" si="1"/>
        <v>83733</v>
      </c>
      <c r="M8" s="12">
        <f t="shared" si="1"/>
        <v>49025</v>
      </c>
      <c r="N8" s="12">
        <f>SUM(B8:M8)</f>
        <v>1918277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21058</v>
      </c>
      <c r="C9" s="14">
        <v>20322</v>
      </c>
      <c r="D9" s="14">
        <v>12601</v>
      </c>
      <c r="E9" s="14">
        <v>2549</v>
      </c>
      <c r="F9" s="14">
        <v>11468</v>
      </c>
      <c r="G9" s="14">
        <v>22167</v>
      </c>
      <c r="H9" s="14">
        <v>27609</v>
      </c>
      <c r="I9" s="14">
        <v>13515</v>
      </c>
      <c r="J9" s="14">
        <v>17459</v>
      </c>
      <c r="K9" s="14">
        <v>14480</v>
      </c>
      <c r="L9" s="14">
        <v>9766</v>
      </c>
      <c r="M9" s="14">
        <v>6073</v>
      </c>
      <c r="N9" s="12">
        <f aca="true" t="shared" si="2" ref="N9:N19">SUM(B9:M9)</f>
        <v>179067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21058</v>
      </c>
      <c r="C10" s="14">
        <f>+C9-C11</f>
        <v>20322</v>
      </c>
      <c r="D10" s="14">
        <f>+D9-D11</f>
        <v>12601</v>
      </c>
      <c r="E10" s="14">
        <f>+E9-E11</f>
        <v>2549</v>
      </c>
      <c r="F10" s="14">
        <f aca="true" t="shared" si="3" ref="F10:M10">+F9-F11</f>
        <v>11468</v>
      </c>
      <c r="G10" s="14">
        <f t="shared" si="3"/>
        <v>22167</v>
      </c>
      <c r="H10" s="14">
        <f t="shared" si="3"/>
        <v>27609</v>
      </c>
      <c r="I10" s="14">
        <f t="shared" si="3"/>
        <v>13515</v>
      </c>
      <c r="J10" s="14">
        <f t="shared" si="3"/>
        <v>17459</v>
      </c>
      <c r="K10" s="14">
        <f t="shared" si="3"/>
        <v>14480</v>
      </c>
      <c r="L10" s="14">
        <f t="shared" si="3"/>
        <v>9766</v>
      </c>
      <c r="M10" s="14">
        <f t="shared" si="3"/>
        <v>6073</v>
      </c>
      <c r="N10" s="12">
        <f t="shared" si="2"/>
        <v>179067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187485</v>
      </c>
      <c r="C12" s="14">
        <f>C13+C14+C15</f>
        <v>141931</v>
      </c>
      <c r="D12" s="14">
        <f>D13+D14+D15</f>
        <v>146545</v>
      </c>
      <c r="E12" s="14">
        <f>E13+E14+E15</f>
        <v>25602</v>
      </c>
      <c r="F12" s="14">
        <f aca="true" t="shared" si="4" ref="F12:M12">F13+F14+F15</f>
        <v>120024</v>
      </c>
      <c r="G12" s="14">
        <f t="shared" si="4"/>
        <v>203723</v>
      </c>
      <c r="H12" s="14">
        <f t="shared" si="4"/>
        <v>182045</v>
      </c>
      <c r="I12" s="14">
        <f t="shared" si="4"/>
        <v>178068</v>
      </c>
      <c r="J12" s="14">
        <f t="shared" si="4"/>
        <v>122331</v>
      </c>
      <c r="K12" s="14">
        <f t="shared" si="4"/>
        <v>139728</v>
      </c>
      <c r="L12" s="14">
        <f t="shared" si="4"/>
        <v>66650</v>
      </c>
      <c r="M12" s="14">
        <f t="shared" si="4"/>
        <v>39496</v>
      </c>
      <c r="N12" s="12">
        <f t="shared" si="2"/>
        <v>1553628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89264</v>
      </c>
      <c r="C13" s="14">
        <v>68665</v>
      </c>
      <c r="D13" s="14">
        <v>69210</v>
      </c>
      <c r="E13" s="14">
        <v>12351</v>
      </c>
      <c r="F13" s="14">
        <v>56381</v>
      </c>
      <c r="G13" s="14">
        <v>97976</v>
      </c>
      <c r="H13" s="14">
        <v>92065</v>
      </c>
      <c r="I13" s="14">
        <v>88367</v>
      </c>
      <c r="J13" s="14">
        <v>57946</v>
      </c>
      <c r="K13" s="14">
        <v>66796</v>
      </c>
      <c r="L13" s="14">
        <v>31656</v>
      </c>
      <c r="M13" s="14">
        <v>18112</v>
      </c>
      <c r="N13" s="12">
        <f t="shared" si="2"/>
        <v>748789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92477</v>
      </c>
      <c r="C14" s="14">
        <v>66509</v>
      </c>
      <c r="D14" s="14">
        <v>73796</v>
      </c>
      <c r="E14" s="14">
        <v>12244</v>
      </c>
      <c r="F14" s="14">
        <v>58869</v>
      </c>
      <c r="G14" s="14">
        <v>96087</v>
      </c>
      <c r="H14" s="14">
        <v>82850</v>
      </c>
      <c r="I14" s="14">
        <v>86025</v>
      </c>
      <c r="J14" s="14">
        <v>60128</v>
      </c>
      <c r="K14" s="14">
        <v>69135</v>
      </c>
      <c r="L14" s="14">
        <v>32669</v>
      </c>
      <c r="M14" s="14">
        <v>20368</v>
      </c>
      <c r="N14" s="12">
        <f t="shared" si="2"/>
        <v>751157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5744</v>
      </c>
      <c r="C15" s="14">
        <v>6757</v>
      </c>
      <c r="D15" s="14">
        <v>3539</v>
      </c>
      <c r="E15" s="14">
        <v>1007</v>
      </c>
      <c r="F15" s="14">
        <v>4774</v>
      </c>
      <c r="G15" s="14">
        <v>9660</v>
      </c>
      <c r="H15" s="14">
        <v>7130</v>
      </c>
      <c r="I15" s="14">
        <v>3676</v>
      </c>
      <c r="J15" s="14">
        <v>4257</v>
      </c>
      <c r="K15" s="14">
        <v>3797</v>
      </c>
      <c r="L15" s="14">
        <v>2325</v>
      </c>
      <c r="M15" s="14">
        <v>1016</v>
      </c>
      <c r="N15" s="12">
        <f t="shared" si="2"/>
        <v>53682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23888</v>
      </c>
      <c r="C16" s="14">
        <f>C17+C18+C19</f>
        <v>15919</v>
      </c>
      <c r="D16" s="14">
        <f>D17+D18+D19</f>
        <v>15233</v>
      </c>
      <c r="E16" s="14">
        <f>E17+E18+E19</f>
        <v>2717</v>
      </c>
      <c r="F16" s="14">
        <f aca="true" t="shared" si="5" ref="F16:M16">F17+F18+F19</f>
        <v>14398</v>
      </c>
      <c r="G16" s="14">
        <f t="shared" si="5"/>
        <v>24816</v>
      </c>
      <c r="H16" s="14">
        <f t="shared" si="5"/>
        <v>21546</v>
      </c>
      <c r="I16" s="14">
        <f t="shared" si="5"/>
        <v>22102</v>
      </c>
      <c r="J16" s="14">
        <f t="shared" si="5"/>
        <v>14810</v>
      </c>
      <c r="K16" s="14">
        <f t="shared" si="5"/>
        <v>19380</v>
      </c>
      <c r="L16" s="14">
        <f t="shared" si="5"/>
        <v>7317</v>
      </c>
      <c r="M16" s="14">
        <f t="shared" si="5"/>
        <v>3456</v>
      </c>
      <c r="N16" s="12">
        <f t="shared" si="2"/>
        <v>185582</v>
      </c>
    </row>
    <row r="17" spans="1:25" ht="18.75" customHeight="1">
      <c r="A17" s="15" t="s">
        <v>16</v>
      </c>
      <c r="B17" s="14">
        <v>15328</v>
      </c>
      <c r="C17" s="14">
        <v>10781</v>
      </c>
      <c r="D17" s="14">
        <v>9120</v>
      </c>
      <c r="E17" s="14">
        <v>1793</v>
      </c>
      <c r="F17" s="14">
        <v>9232</v>
      </c>
      <c r="G17" s="14">
        <v>16272</v>
      </c>
      <c r="H17" s="14">
        <v>14214</v>
      </c>
      <c r="I17" s="14">
        <v>14212</v>
      </c>
      <c r="J17" s="14">
        <v>9313</v>
      </c>
      <c r="K17" s="14">
        <v>12221</v>
      </c>
      <c r="L17" s="14">
        <v>4694</v>
      </c>
      <c r="M17" s="14">
        <v>2198</v>
      </c>
      <c r="N17" s="12">
        <f t="shared" si="2"/>
        <v>119378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7132</v>
      </c>
      <c r="C18" s="14">
        <v>3545</v>
      </c>
      <c r="D18" s="14">
        <v>5286</v>
      </c>
      <c r="E18" s="14">
        <v>735</v>
      </c>
      <c r="F18" s="14">
        <v>3843</v>
      </c>
      <c r="G18" s="14">
        <v>6179</v>
      </c>
      <c r="H18" s="14">
        <v>5666</v>
      </c>
      <c r="I18" s="14">
        <v>7034</v>
      </c>
      <c r="J18" s="14">
        <v>4615</v>
      </c>
      <c r="K18" s="14">
        <v>6378</v>
      </c>
      <c r="L18" s="14">
        <v>2192</v>
      </c>
      <c r="M18" s="14">
        <v>1088</v>
      </c>
      <c r="N18" s="12">
        <f t="shared" si="2"/>
        <v>53693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1428</v>
      </c>
      <c r="C19" s="14">
        <v>1593</v>
      </c>
      <c r="D19" s="14">
        <v>827</v>
      </c>
      <c r="E19" s="14">
        <v>189</v>
      </c>
      <c r="F19" s="14">
        <v>1323</v>
      </c>
      <c r="G19" s="14">
        <v>2365</v>
      </c>
      <c r="H19" s="14">
        <v>1666</v>
      </c>
      <c r="I19" s="14">
        <v>856</v>
      </c>
      <c r="J19" s="14">
        <v>882</v>
      </c>
      <c r="K19" s="14">
        <v>781</v>
      </c>
      <c r="L19" s="14">
        <v>431</v>
      </c>
      <c r="M19" s="14">
        <v>170</v>
      </c>
      <c r="N19" s="12">
        <f t="shared" si="2"/>
        <v>12511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139306</v>
      </c>
      <c r="C20" s="18">
        <f>C21+C22+C23</f>
        <v>83463</v>
      </c>
      <c r="D20" s="18">
        <f>D21+D22+D23</f>
        <v>68818</v>
      </c>
      <c r="E20" s="18">
        <f>E21+E22+E23</f>
        <v>12818</v>
      </c>
      <c r="F20" s="18">
        <f aca="true" t="shared" si="6" ref="F20:M20">F21+F22+F23</f>
        <v>63814</v>
      </c>
      <c r="G20" s="18">
        <f t="shared" si="6"/>
        <v>107204</v>
      </c>
      <c r="H20" s="18">
        <f t="shared" si="6"/>
        <v>117196</v>
      </c>
      <c r="I20" s="18">
        <f t="shared" si="6"/>
        <v>112149</v>
      </c>
      <c r="J20" s="18">
        <f t="shared" si="6"/>
        <v>74404</v>
      </c>
      <c r="K20" s="18">
        <f t="shared" si="6"/>
        <v>110286</v>
      </c>
      <c r="L20" s="18">
        <f t="shared" si="6"/>
        <v>44443</v>
      </c>
      <c r="M20" s="18">
        <f t="shared" si="6"/>
        <v>23915</v>
      </c>
      <c r="N20" s="12">
        <f aca="true" t="shared" si="7" ref="N20:N26">SUM(B20:M20)</f>
        <v>957816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72012</v>
      </c>
      <c r="C21" s="14">
        <v>46035</v>
      </c>
      <c r="D21" s="14">
        <v>36909</v>
      </c>
      <c r="E21" s="14">
        <v>6913</v>
      </c>
      <c r="F21" s="14">
        <v>33984</v>
      </c>
      <c r="G21" s="14">
        <v>58765</v>
      </c>
      <c r="H21" s="14">
        <v>66562</v>
      </c>
      <c r="I21" s="14">
        <v>61493</v>
      </c>
      <c r="J21" s="14">
        <v>39804</v>
      </c>
      <c r="K21" s="14">
        <v>58447</v>
      </c>
      <c r="L21" s="14">
        <v>23533</v>
      </c>
      <c r="M21" s="14">
        <v>12398</v>
      </c>
      <c r="N21" s="12">
        <f t="shared" si="7"/>
        <v>516855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64298</v>
      </c>
      <c r="C22" s="14">
        <v>34881</v>
      </c>
      <c r="D22" s="14">
        <v>30587</v>
      </c>
      <c r="E22" s="14">
        <v>5577</v>
      </c>
      <c r="F22" s="14">
        <v>28138</v>
      </c>
      <c r="G22" s="14">
        <v>45051</v>
      </c>
      <c r="H22" s="14">
        <v>47943</v>
      </c>
      <c r="I22" s="14">
        <v>48632</v>
      </c>
      <c r="J22" s="14">
        <v>32860</v>
      </c>
      <c r="K22" s="14">
        <v>49686</v>
      </c>
      <c r="L22" s="14">
        <v>19875</v>
      </c>
      <c r="M22" s="14">
        <v>11079</v>
      </c>
      <c r="N22" s="12">
        <f t="shared" si="7"/>
        <v>418607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2996</v>
      </c>
      <c r="C23" s="14">
        <v>2547</v>
      </c>
      <c r="D23" s="14">
        <v>1322</v>
      </c>
      <c r="E23" s="14">
        <v>328</v>
      </c>
      <c r="F23" s="14">
        <v>1692</v>
      </c>
      <c r="G23" s="14">
        <v>3388</v>
      </c>
      <c r="H23" s="14">
        <v>2691</v>
      </c>
      <c r="I23" s="14">
        <v>2024</v>
      </c>
      <c r="J23" s="14">
        <v>1740</v>
      </c>
      <c r="K23" s="14">
        <v>2153</v>
      </c>
      <c r="L23" s="14">
        <v>1035</v>
      </c>
      <c r="M23" s="14">
        <v>438</v>
      </c>
      <c r="N23" s="12">
        <f t="shared" si="7"/>
        <v>22354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162360</v>
      </c>
      <c r="C24" s="14">
        <f>C25+C26</f>
        <v>119495</v>
      </c>
      <c r="D24" s="14">
        <f>D25+D26</f>
        <v>97167</v>
      </c>
      <c r="E24" s="14">
        <f>E25+E26</f>
        <v>21322</v>
      </c>
      <c r="F24" s="14">
        <f aca="true" t="shared" si="8" ref="F24:M24">F25+F26</f>
        <v>106451</v>
      </c>
      <c r="G24" s="14">
        <f t="shared" si="8"/>
        <v>160542</v>
      </c>
      <c r="H24" s="14">
        <f t="shared" si="8"/>
        <v>140386</v>
      </c>
      <c r="I24" s="14">
        <f t="shared" si="8"/>
        <v>118787</v>
      </c>
      <c r="J24" s="14">
        <f t="shared" si="8"/>
        <v>90830</v>
      </c>
      <c r="K24" s="14">
        <f t="shared" si="8"/>
        <v>97873</v>
      </c>
      <c r="L24" s="14">
        <f t="shared" si="8"/>
        <v>33428</v>
      </c>
      <c r="M24" s="14">
        <f t="shared" si="8"/>
        <v>17553</v>
      </c>
      <c r="N24" s="12">
        <f t="shared" si="7"/>
        <v>1166194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47</v>
      </c>
      <c r="B25" s="14">
        <v>75998</v>
      </c>
      <c r="C25" s="14">
        <v>61373</v>
      </c>
      <c r="D25" s="14">
        <v>49181</v>
      </c>
      <c r="E25" s="14">
        <v>11863</v>
      </c>
      <c r="F25" s="14">
        <v>53475</v>
      </c>
      <c r="G25" s="14">
        <v>85112</v>
      </c>
      <c r="H25" s="14">
        <v>77285</v>
      </c>
      <c r="I25" s="14">
        <v>56137</v>
      </c>
      <c r="J25" s="14">
        <v>47690</v>
      </c>
      <c r="K25" s="14">
        <v>45103</v>
      </c>
      <c r="L25" s="14">
        <v>15833</v>
      </c>
      <c r="M25" s="14">
        <v>7481</v>
      </c>
      <c r="N25" s="12">
        <f t="shared" si="7"/>
        <v>586531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48</v>
      </c>
      <c r="B26" s="14">
        <f>57624+28738</f>
        <v>86362</v>
      </c>
      <c r="C26" s="14">
        <f>41277+16845</f>
        <v>58122</v>
      </c>
      <c r="D26" s="14">
        <f>35307+12679</f>
        <v>47986</v>
      </c>
      <c r="E26" s="14">
        <f>6833+2626</f>
        <v>9459</v>
      </c>
      <c r="F26" s="14">
        <f>39212+13764</f>
        <v>52976</v>
      </c>
      <c r="G26" s="14">
        <f>55205+20225</f>
        <v>75430</v>
      </c>
      <c r="H26" s="14">
        <f>47365+15736</f>
        <v>63101</v>
      </c>
      <c r="I26" s="14">
        <f>43249+19401</f>
        <v>62650</v>
      </c>
      <c r="J26" s="14">
        <f>30824+12316</f>
        <v>43140</v>
      </c>
      <c r="K26" s="14">
        <f>36011+16759</f>
        <v>52770</v>
      </c>
      <c r="L26" s="14">
        <f>12125+5470</f>
        <v>17595</v>
      </c>
      <c r="M26" s="14">
        <f>7463+2609</f>
        <v>10072</v>
      </c>
      <c r="N26" s="12">
        <f t="shared" si="7"/>
        <v>579663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49</v>
      </c>
      <c r="B28" s="23">
        <v>1.87210546</v>
      </c>
      <c r="C28" s="23">
        <v>1.8086</v>
      </c>
      <c r="D28" s="23">
        <v>1.67545005</v>
      </c>
      <c r="E28" s="23">
        <v>2.3279184</v>
      </c>
      <c r="F28" s="23">
        <v>1.95524205</v>
      </c>
      <c r="G28" s="23">
        <v>1.5492</v>
      </c>
      <c r="H28" s="23">
        <v>1.8149</v>
      </c>
      <c r="I28" s="23">
        <v>1.7715117999999999</v>
      </c>
      <c r="J28" s="23">
        <v>1.9951343000000001</v>
      </c>
      <c r="K28" s="23">
        <v>1.90744976</v>
      </c>
      <c r="L28" s="23">
        <v>2.26553143</v>
      </c>
      <c r="M28" s="23">
        <v>2.21827856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50</v>
      </c>
      <c r="B29" s="23">
        <v>1.8783</v>
      </c>
      <c r="C29" s="23">
        <v>1.8146</v>
      </c>
      <c r="D29" s="23">
        <v>1.681</v>
      </c>
      <c r="E29" s="23">
        <v>2.3342</v>
      </c>
      <c r="F29" s="23">
        <v>1.9616</v>
      </c>
      <c r="G29" s="23">
        <v>1.5543</v>
      </c>
      <c r="H29" s="23">
        <v>1.8205</v>
      </c>
      <c r="I29" s="23">
        <v>1.7772</v>
      </c>
      <c r="J29" s="23">
        <v>2.0015</v>
      </c>
      <c r="K29" s="23">
        <v>1.9137</v>
      </c>
      <c r="L29" s="23">
        <v>2.2729</v>
      </c>
      <c r="M29" s="23">
        <v>2.2256</v>
      </c>
      <c r="N29" s="24"/>
    </row>
    <row r="30" spans="1:25" ht="18.75" customHeight="1">
      <c r="A30" s="53" t="s">
        <v>51</v>
      </c>
      <c r="B30" s="23">
        <v>-0.00619454</v>
      </c>
      <c r="C30" s="23">
        <v>-0.006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52</v>
      </c>
      <c r="B32" s="57">
        <v>3257.0800000000004</v>
      </c>
      <c r="C32" s="57">
        <v>2478.1200000000003</v>
      </c>
      <c r="D32" s="57">
        <v>2161.4</v>
      </c>
      <c r="E32" s="57">
        <v>646.2800000000001</v>
      </c>
      <c r="F32" s="57">
        <v>2161.4</v>
      </c>
      <c r="G32" s="57">
        <v>2662.1600000000003</v>
      </c>
      <c r="H32" s="57">
        <v>2897.56</v>
      </c>
      <c r="I32" s="57">
        <v>2546.6000000000004</v>
      </c>
      <c r="J32" s="57">
        <v>2118.6</v>
      </c>
      <c r="K32" s="57">
        <v>2602.2400000000002</v>
      </c>
      <c r="L32" s="57">
        <v>1271.16</v>
      </c>
      <c r="M32" s="57">
        <v>719.0400000000001</v>
      </c>
      <c r="N32" s="25">
        <f>SUM(B32:M32)</f>
        <v>25521.64</v>
      </c>
    </row>
    <row r="33" spans="1:25" ht="18.75" customHeight="1">
      <c r="A33" s="53" t="s">
        <v>53</v>
      </c>
      <c r="B33" s="59">
        <v>761</v>
      </c>
      <c r="C33" s="59">
        <v>579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5963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54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55</v>
      </c>
      <c r="B36" s="61">
        <f>B37+B38+B39+B40</f>
        <v>1003142.9898696201</v>
      </c>
      <c r="C36" s="61">
        <f aca="true" t="shared" si="9" ref="C36:M36">C37+C38+C39+C40</f>
        <v>691789.838</v>
      </c>
      <c r="D36" s="61">
        <f t="shared" si="9"/>
        <v>582271.6908182</v>
      </c>
      <c r="E36" s="61">
        <f t="shared" si="9"/>
        <v>151979.5993472</v>
      </c>
      <c r="F36" s="61">
        <f t="shared" si="9"/>
        <v>620320.9503177501</v>
      </c>
      <c r="G36" s="61">
        <f t="shared" si="9"/>
        <v>805847.9984</v>
      </c>
      <c r="H36" s="61">
        <f t="shared" si="9"/>
        <v>889988.0118000001</v>
      </c>
      <c r="I36" s="61">
        <f t="shared" si="9"/>
        <v>790197.9480278</v>
      </c>
      <c r="J36" s="61">
        <f t="shared" si="9"/>
        <v>640230.3837062</v>
      </c>
      <c r="K36" s="61">
        <f t="shared" si="9"/>
        <v>730765.46353072</v>
      </c>
      <c r="L36" s="61">
        <f t="shared" si="9"/>
        <v>367390.10121372</v>
      </c>
      <c r="M36" s="61">
        <f t="shared" si="9"/>
        <v>201457.72173008003</v>
      </c>
      <c r="N36" s="61">
        <f>N37+N38+N39+N40</f>
        <v>7475382.696761291</v>
      </c>
    </row>
    <row r="37" spans="1:14" ht="18.75" customHeight="1">
      <c r="A37" s="58" t="s">
        <v>56</v>
      </c>
      <c r="B37" s="55">
        <f>B29*B7</f>
        <v>1003194.3951000001</v>
      </c>
      <c r="C37" s="55">
        <f>C29*C7</f>
        <v>691598.498</v>
      </c>
      <c r="D37" s="55">
        <f>D29*D7</f>
        <v>572151.884</v>
      </c>
      <c r="E37" s="55">
        <f>E29*E7</f>
        <v>151741.6736</v>
      </c>
      <c r="F37" s="55">
        <f>F29*F7</f>
        <v>620169.648</v>
      </c>
      <c r="G37" s="55">
        <f>G29*G7</f>
        <v>805829.9436</v>
      </c>
      <c r="H37" s="55">
        <f>H29*H7</f>
        <v>889827.631</v>
      </c>
      <c r="I37" s="55">
        <f>I29*I7</f>
        <v>790180.4412</v>
      </c>
      <c r="J37" s="55">
        <f>J29*J7</f>
        <v>640147.751</v>
      </c>
      <c r="K37" s="55">
        <f>K29*K7</f>
        <v>730549.2339</v>
      </c>
      <c r="L37" s="55">
        <f>L29*L7</f>
        <v>367309.7316</v>
      </c>
      <c r="M37" s="55">
        <f>M29*M7</f>
        <v>201401.2208</v>
      </c>
      <c r="N37" s="57">
        <f>SUM(B37:M37)</f>
        <v>7464102.0518000005</v>
      </c>
    </row>
    <row r="38" spans="1:14" ht="18.75" customHeight="1">
      <c r="A38" s="58" t="s">
        <v>57</v>
      </c>
      <c r="B38" s="55">
        <f>B30*B7</f>
        <v>-3308.48523038</v>
      </c>
      <c r="C38" s="55">
        <f>C30*C7</f>
        <v>-2286.78</v>
      </c>
      <c r="D38" s="55">
        <f>D30*D7</f>
        <v>-1889.0031818</v>
      </c>
      <c r="E38" s="55">
        <f>E30*E7</f>
        <v>-408.3542528</v>
      </c>
      <c r="F38" s="55">
        <f>F30*F7</f>
        <v>-2010.0976822500002</v>
      </c>
      <c r="G38" s="55">
        <f>G30*G7</f>
        <v>-2644.1052</v>
      </c>
      <c r="H38" s="55">
        <f>H30*H7</f>
        <v>-2737.1792</v>
      </c>
      <c r="I38" s="55">
        <f>I30*I7</f>
        <v>-2529.0931722</v>
      </c>
      <c r="J38" s="55">
        <f>J30*J7</f>
        <v>-2035.9672938</v>
      </c>
      <c r="K38" s="55">
        <f>K30*K7</f>
        <v>-2386.01036928</v>
      </c>
      <c r="L38" s="55">
        <f>L30*L7</f>
        <v>-1190.79038628</v>
      </c>
      <c r="M38" s="55">
        <f>M30*M7</f>
        <v>-662.53906992</v>
      </c>
      <c r="N38" s="25">
        <f>SUM(B38:M38)</f>
        <v>-24088.405038710003</v>
      </c>
    </row>
    <row r="39" spans="1:14" ht="18.75" customHeight="1">
      <c r="A39" s="58" t="s">
        <v>58</v>
      </c>
      <c r="B39" s="55">
        <f aca="true" t="shared" si="10" ref="B39:M39">B32</f>
        <v>3257.0800000000004</v>
      </c>
      <c r="C39" s="55">
        <f t="shared" si="10"/>
        <v>2478.1200000000003</v>
      </c>
      <c r="D39" s="55">
        <f t="shared" si="10"/>
        <v>2161.4</v>
      </c>
      <c r="E39" s="55">
        <f t="shared" si="10"/>
        <v>646.2800000000001</v>
      </c>
      <c r="F39" s="55">
        <f t="shared" si="10"/>
        <v>2161.4</v>
      </c>
      <c r="G39" s="55">
        <f t="shared" si="10"/>
        <v>2662.1600000000003</v>
      </c>
      <c r="H39" s="55">
        <f t="shared" si="10"/>
        <v>2897.56</v>
      </c>
      <c r="I39" s="55">
        <f t="shared" si="10"/>
        <v>2546.6000000000004</v>
      </c>
      <c r="J39" s="55">
        <f t="shared" si="10"/>
        <v>2118.6</v>
      </c>
      <c r="K39" s="55">
        <f t="shared" si="10"/>
        <v>2602.2400000000002</v>
      </c>
      <c r="L39" s="55">
        <f t="shared" si="10"/>
        <v>1271.16</v>
      </c>
      <c r="M39" s="55">
        <f t="shared" si="10"/>
        <v>719.0400000000001</v>
      </c>
      <c r="N39" s="57">
        <f>SUM(B39:M39)</f>
        <v>25521.64</v>
      </c>
    </row>
    <row r="40" spans="1:25" ht="18.75" customHeight="1">
      <c r="A40" s="2" t="s">
        <v>59</v>
      </c>
      <c r="B40" s="55">
        <v>0</v>
      </c>
      <c r="C40" s="55">
        <v>0</v>
      </c>
      <c r="D40" s="55">
        <v>9847.41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9847.41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60</v>
      </c>
      <c r="B42" s="25">
        <f>+B43+B46+B54+B55</f>
        <v>-80230.12</v>
      </c>
      <c r="C42" s="25">
        <f aca="true" t="shared" si="11" ref="C42:M42">+C43+C46+C54+C55</f>
        <v>-77343.44</v>
      </c>
      <c r="D42" s="25">
        <f t="shared" si="11"/>
        <v>-47982.240000000005</v>
      </c>
      <c r="E42" s="25">
        <f t="shared" si="11"/>
        <v>-9729</v>
      </c>
      <c r="F42" s="25">
        <f t="shared" si="11"/>
        <v>-43599.8</v>
      </c>
      <c r="G42" s="25">
        <f t="shared" si="11"/>
        <v>-84290.24</v>
      </c>
      <c r="H42" s="25">
        <f t="shared" si="11"/>
        <v>-104914.2</v>
      </c>
      <c r="I42" s="25">
        <f t="shared" si="11"/>
        <v>-51459.72</v>
      </c>
      <c r="J42" s="25">
        <f t="shared" si="11"/>
        <v>-66549.64</v>
      </c>
      <c r="K42" s="25">
        <f t="shared" si="11"/>
        <v>-55122.44</v>
      </c>
      <c r="L42" s="25">
        <f t="shared" si="11"/>
        <v>-37196.4</v>
      </c>
      <c r="M42" s="25">
        <f t="shared" si="11"/>
        <v>-23120.2</v>
      </c>
      <c r="N42" s="25">
        <f>+N43+N46+N54+N55</f>
        <v>-681537.4400000001</v>
      </c>
    </row>
    <row r="43" spans="1:14" ht="18.75" customHeight="1">
      <c r="A43" s="17" t="s">
        <v>61</v>
      </c>
      <c r="B43" s="26">
        <f>B44+B45</f>
        <v>-80020.4</v>
      </c>
      <c r="C43" s="26">
        <f>C44+C45</f>
        <v>-77223.6</v>
      </c>
      <c r="D43" s="26">
        <f>D44+D45</f>
        <v>-47883.8</v>
      </c>
      <c r="E43" s="26">
        <f>E44+E45</f>
        <v>-9686.2</v>
      </c>
      <c r="F43" s="26">
        <f aca="true" t="shared" si="12" ref="F43:M43">F44+F45</f>
        <v>-43578.4</v>
      </c>
      <c r="G43" s="26">
        <f t="shared" si="12"/>
        <v>-84234.6</v>
      </c>
      <c r="H43" s="26">
        <f t="shared" si="12"/>
        <v>-104914.2</v>
      </c>
      <c r="I43" s="26">
        <f t="shared" si="12"/>
        <v>-51357</v>
      </c>
      <c r="J43" s="26">
        <f t="shared" si="12"/>
        <v>-66344.2</v>
      </c>
      <c r="K43" s="26">
        <f t="shared" si="12"/>
        <v>-55024</v>
      </c>
      <c r="L43" s="26">
        <f t="shared" si="12"/>
        <v>-37110.8</v>
      </c>
      <c r="M43" s="26">
        <f t="shared" si="12"/>
        <v>-23077.4</v>
      </c>
      <c r="N43" s="25">
        <f aca="true" t="shared" si="13" ref="N43:N55">SUM(B43:M43)</f>
        <v>-680454.6000000001</v>
      </c>
    </row>
    <row r="44" spans="1:25" ht="18.75" customHeight="1">
      <c r="A44" s="13" t="s">
        <v>62</v>
      </c>
      <c r="B44" s="20">
        <f>ROUND(-B9*$D$3,2)</f>
        <v>-80020.4</v>
      </c>
      <c r="C44" s="20">
        <f>ROUND(-C9*$D$3,2)</f>
        <v>-77223.6</v>
      </c>
      <c r="D44" s="20">
        <f>ROUND(-D9*$D$3,2)</f>
        <v>-47883.8</v>
      </c>
      <c r="E44" s="20">
        <f>ROUND(-E9*$D$3,2)</f>
        <v>-9686.2</v>
      </c>
      <c r="F44" s="20">
        <f aca="true" t="shared" si="14" ref="F44:M44">ROUND(-F9*$D$3,2)</f>
        <v>-43578.4</v>
      </c>
      <c r="G44" s="20">
        <f t="shared" si="14"/>
        <v>-84234.6</v>
      </c>
      <c r="H44" s="20">
        <f t="shared" si="14"/>
        <v>-104914.2</v>
      </c>
      <c r="I44" s="20">
        <f t="shared" si="14"/>
        <v>-51357</v>
      </c>
      <c r="J44" s="20">
        <f t="shared" si="14"/>
        <v>-66344.2</v>
      </c>
      <c r="K44" s="20">
        <f t="shared" si="14"/>
        <v>-55024</v>
      </c>
      <c r="L44" s="20">
        <f t="shared" si="14"/>
        <v>-37110.8</v>
      </c>
      <c r="M44" s="20">
        <f t="shared" si="14"/>
        <v>-23077.4</v>
      </c>
      <c r="N44" s="47">
        <f t="shared" si="13"/>
        <v>-680454.6000000001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63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5" ref="F45:M45">ROUND(F11*$D$3,2)</f>
        <v>0</v>
      </c>
      <c r="G45" s="20">
        <f t="shared" si="15"/>
        <v>0</v>
      </c>
      <c r="H45" s="20">
        <f t="shared" si="15"/>
        <v>0</v>
      </c>
      <c r="I45" s="20">
        <f t="shared" si="15"/>
        <v>0</v>
      </c>
      <c r="J45" s="20">
        <f t="shared" si="15"/>
        <v>0</v>
      </c>
      <c r="K45" s="20">
        <f t="shared" si="15"/>
        <v>0</v>
      </c>
      <c r="L45" s="20">
        <f t="shared" si="15"/>
        <v>0</v>
      </c>
      <c r="M45" s="20">
        <f t="shared" si="15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64</v>
      </c>
      <c r="B46" s="26">
        <f>SUM(B47:B53)</f>
        <v>-209.72</v>
      </c>
      <c r="C46" s="26">
        <f aca="true" t="shared" si="16" ref="C46:M46">SUM(C47:C53)</f>
        <v>-119.84</v>
      </c>
      <c r="D46" s="26">
        <f t="shared" si="16"/>
        <v>-98.44</v>
      </c>
      <c r="E46" s="26">
        <f t="shared" si="16"/>
        <v>-42.8</v>
      </c>
      <c r="F46" s="26">
        <f t="shared" si="16"/>
        <v>-21.4</v>
      </c>
      <c r="G46" s="26">
        <f t="shared" si="16"/>
        <v>-55.64</v>
      </c>
      <c r="H46" s="26">
        <f t="shared" si="16"/>
        <v>0</v>
      </c>
      <c r="I46" s="26">
        <f t="shared" si="16"/>
        <v>-102.72</v>
      </c>
      <c r="J46" s="26">
        <f t="shared" si="16"/>
        <v>-205.44</v>
      </c>
      <c r="K46" s="26">
        <f t="shared" si="16"/>
        <v>-98.44</v>
      </c>
      <c r="L46" s="26">
        <f t="shared" si="16"/>
        <v>-85.6</v>
      </c>
      <c r="M46" s="26">
        <f t="shared" si="16"/>
        <v>-42.8</v>
      </c>
      <c r="N46" s="26">
        <f>SUM(N47:N53)</f>
        <v>-1082.84</v>
      </c>
    </row>
    <row r="47" spans="1:25" ht="18.75" customHeight="1">
      <c r="A47" s="13" t="s">
        <v>65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3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66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3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67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3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68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3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69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3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70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3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71</v>
      </c>
      <c r="B53" s="24">
        <v>-209.72</v>
      </c>
      <c r="C53" s="24">
        <v>-119.84</v>
      </c>
      <c r="D53" s="24">
        <v>-98.44</v>
      </c>
      <c r="E53" s="24">
        <v>-42.8</v>
      </c>
      <c r="F53" s="24">
        <v>-21.4</v>
      </c>
      <c r="G53" s="24">
        <v>-55.64</v>
      </c>
      <c r="H53" s="24">
        <v>0</v>
      </c>
      <c r="I53" s="24">
        <v>-102.72</v>
      </c>
      <c r="J53" s="24">
        <v>-205.44</v>
      </c>
      <c r="K53" s="24">
        <v>-98.44</v>
      </c>
      <c r="L53" s="24">
        <v>-85.6</v>
      </c>
      <c r="M53" s="24">
        <v>-42.8</v>
      </c>
      <c r="N53" s="24">
        <f t="shared" si="13"/>
        <v>-1082.84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72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3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73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3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74</v>
      </c>
      <c r="B57" s="29">
        <f aca="true" t="shared" si="17" ref="B57:M57">+B36+B42</f>
        <v>922912.8698696201</v>
      </c>
      <c r="C57" s="29">
        <f t="shared" si="17"/>
        <v>614446.398</v>
      </c>
      <c r="D57" s="29">
        <f t="shared" si="17"/>
        <v>534289.4508182</v>
      </c>
      <c r="E57" s="29">
        <f t="shared" si="17"/>
        <v>142250.5993472</v>
      </c>
      <c r="F57" s="29">
        <f t="shared" si="17"/>
        <v>576721.15031775</v>
      </c>
      <c r="G57" s="29">
        <f t="shared" si="17"/>
        <v>721557.7584</v>
      </c>
      <c r="H57" s="29">
        <f t="shared" si="17"/>
        <v>785073.8118000001</v>
      </c>
      <c r="I57" s="29">
        <f t="shared" si="17"/>
        <v>738738.2280278</v>
      </c>
      <c r="J57" s="29">
        <f t="shared" si="17"/>
        <v>573680.7437062</v>
      </c>
      <c r="K57" s="29">
        <f t="shared" si="17"/>
        <v>675643.02353072</v>
      </c>
      <c r="L57" s="29">
        <f t="shared" si="17"/>
        <v>330193.70121371996</v>
      </c>
      <c r="M57" s="29">
        <f t="shared" si="17"/>
        <v>178337.52173008</v>
      </c>
      <c r="N57" s="29">
        <f>SUM(B57:M57)</f>
        <v>6793845.256761291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75</v>
      </c>
      <c r="B60" s="36">
        <f>SUM(B61:B74)</f>
        <v>922912.87</v>
      </c>
      <c r="C60" s="36">
        <f aca="true" t="shared" si="18" ref="C60:M60">SUM(C61:C74)</f>
        <v>614446.4</v>
      </c>
      <c r="D60" s="36">
        <f t="shared" si="18"/>
        <v>534289.45</v>
      </c>
      <c r="E60" s="36">
        <f t="shared" si="18"/>
        <v>142250.6</v>
      </c>
      <c r="F60" s="36">
        <f t="shared" si="18"/>
        <v>576721.15</v>
      </c>
      <c r="G60" s="36">
        <f t="shared" si="18"/>
        <v>721557.75</v>
      </c>
      <c r="H60" s="36">
        <f t="shared" si="18"/>
        <v>785073.81</v>
      </c>
      <c r="I60" s="36">
        <f t="shared" si="18"/>
        <v>738738.24</v>
      </c>
      <c r="J60" s="36">
        <f t="shared" si="18"/>
        <v>573680.74</v>
      </c>
      <c r="K60" s="36">
        <f t="shared" si="18"/>
        <v>675643.02</v>
      </c>
      <c r="L60" s="36">
        <f t="shared" si="18"/>
        <v>330193.7</v>
      </c>
      <c r="M60" s="36">
        <f t="shared" si="18"/>
        <v>178337.52</v>
      </c>
      <c r="N60" s="29">
        <f>SUM(N61:N74)</f>
        <v>6793845.249999999</v>
      </c>
    </row>
    <row r="61" spans="1:15" ht="18.75" customHeight="1">
      <c r="A61" s="17" t="s">
        <v>76</v>
      </c>
      <c r="B61" s="36">
        <v>189563.92</v>
      </c>
      <c r="C61" s="36">
        <v>176762.01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366325.93000000005</v>
      </c>
      <c r="O61"/>
    </row>
    <row r="62" spans="1:15" ht="18.75" customHeight="1">
      <c r="A62" s="17" t="s">
        <v>77</v>
      </c>
      <c r="B62" s="36">
        <v>733348.95</v>
      </c>
      <c r="C62" s="36">
        <v>437684.39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19" ref="N62:N73">SUM(B62:M62)</f>
        <v>1171033.3399999999</v>
      </c>
      <c r="O62"/>
    </row>
    <row r="63" spans="1:16" ht="18.75" customHeight="1">
      <c r="A63" s="17" t="s">
        <v>78</v>
      </c>
      <c r="B63" s="35">
        <v>0</v>
      </c>
      <c r="C63" s="35">
        <v>0</v>
      </c>
      <c r="D63" s="26">
        <v>534289.45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19"/>
        <v>534289.45</v>
      </c>
      <c r="P63"/>
    </row>
    <row r="64" spans="1:17" ht="18.75" customHeight="1">
      <c r="A64" s="17" t="s">
        <v>79</v>
      </c>
      <c r="B64" s="35">
        <v>0</v>
      </c>
      <c r="C64" s="35">
        <v>0</v>
      </c>
      <c r="D64" s="35">
        <v>0</v>
      </c>
      <c r="E64" s="26">
        <v>142250.6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19"/>
        <v>142250.6</v>
      </c>
      <c r="Q64"/>
    </row>
    <row r="65" spans="1:18" ht="18.75" customHeight="1">
      <c r="A65" s="17" t="s">
        <v>80</v>
      </c>
      <c r="B65" s="35">
        <v>0</v>
      </c>
      <c r="C65" s="35">
        <v>0</v>
      </c>
      <c r="D65" s="35">
        <v>0</v>
      </c>
      <c r="E65" s="35">
        <v>0</v>
      </c>
      <c r="F65" s="26">
        <v>576721.15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19"/>
        <v>576721.15</v>
      </c>
      <c r="R65"/>
    </row>
    <row r="66" spans="1:19" ht="18.75" customHeight="1">
      <c r="A66" s="17" t="s">
        <v>81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721557.75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19"/>
        <v>721557.75</v>
      </c>
      <c r="S66"/>
    </row>
    <row r="67" spans="1:20" ht="18.75" customHeight="1">
      <c r="A67" s="17" t="s">
        <v>82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602306.81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19"/>
        <v>602306.81</v>
      </c>
      <c r="T67"/>
    </row>
    <row r="68" spans="1:20" ht="18.75" customHeight="1">
      <c r="A68" s="17" t="s">
        <v>83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182767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19"/>
        <v>182767</v>
      </c>
      <c r="T68"/>
    </row>
    <row r="69" spans="1:21" ht="18.75" customHeight="1">
      <c r="A69" s="17" t="s">
        <v>84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738738.24</v>
      </c>
      <c r="J69" s="35">
        <v>0</v>
      </c>
      <c r="K69" s="35">
        <v>0</v>
      </c>
      <c r="L69" s="35">
        <v>0</v>
      </c>
      <c r="M69" s="35">
        <v>0</v>
      </c>
      <c r="N69" s="26">
        <f t="shared" si="19"/>
        <v>738738.24</v>
      </c>
      <c r="U69"/>
    </row>
    <row r="70" spans="1:22" ht="18.75" customHeight="1">
      <c r="A70" s="17" t="s">
        <v>85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573680.74</v>
      </c>
      <c r="K70" s="35">
        <v>0</v>
      </c>
      <c r="L70" s="35">
        <v>0</v>
      </c>
      <c r="M70" s="35">
        <v>0</v>
      </c>
      <c r="N70" s="29">
        <f t="shared" si="19"/>
        <v>573680.74</v>
      </c>
      <c r="V70"/>
    </row>
    <row r="71" spans="1:23" ht="18.75" customHeight="1">
      <c r="A71" s="17" t="s">
        <v>86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675643.02</v>
      </c>
      <c r="L71" s="35">
        <v>0</v>
      </c>
      <c r="M71" s="62"/>
      <c r="N71" s="26">
        <f t="shared" si="19"/>
        <v>675643.02</v>
      </c>
      <c r="W71"/>
    </row>
    <row r="72" spans="1:24" ht="18.75" customHeight="1">
      <c r="A72" s="17" t="s">
        <v>87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330193.7</v>
      </c>
      <c r="M72" s="35">
        <v>0</v>
      </c>
      <c r="N72" s="29">
        <f t="shared" si="19"/>
        <v>330193.7</v>
      </c>
      <c r="X72"/>
    </row>
    <row r="73" spans="1:25" ht="18.75" customHeight="1">
      <c r="A73" s="17" t="s">
        <v>88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178337.52</v>
      </c>
      <c r="N73" s="26">
        <f t="shared" si="19"/>
        <v>178337.52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89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90</v>
      </c>
      <c r="B78" s="45">
        <v>2.0859629010872442</v>
      </c>
      <c r="C78" s="45">
        <v>2.07677762249449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91</v>
      </c>
      <c r="B79" s="45">
        <v>1.8314891297118914</v>
      </c>
      <c r="C79" s="45">
        <v>1.7273187493649065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92</v>
      </c>
      <c r="B80" s="45">
        <v>0</v>
      </c>
      <c r="C80" s="45">
        <v>0</v>
      </c>
      <c r="D80" s="22">
        <f>(D$37+D$38+D$39)/D$7</f>
        <v>1.681800310309551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93</v>
      </c>
      <c r="B81" s="45">
        <v>0</v>
      </c>
      <c r="C81" s="45">
        <v>0</v>
      </c>
      <c r="D81" s="45">
        <v>0</v>
      </c>
      <c r="E81" s="22">
        <f>(E$37+E$38+E$39)/E$7</f>
        <v>2.3378599456559193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94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1.9620785700613625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95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1.5543348244389066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96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1.8308813364620844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97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1.7892482321841612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98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1.777239374720942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99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2.001758361231764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100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1.9142664212966178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101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2.2733973244085544</v>
      </c>
      <c r="M89" s="45">
        <v>0</v>
      </c>
      <c r="N89" s="63"/>
      <c r="X89"/>
    </row>
    <row r="90" spans="1:25" ht="18.75" customHeight="1">
      <c r="A90" s="34" t="s">
        <v>102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2.2262243679630473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2016-05-17T15:14:26Z</dcterms:modified>
  <cp:category/>
  <cp:version/>
  <cp:contentType/>
  <cp:contentStatus/>
</cp:coreProperties>
</file>