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840" windowHeight="9990"/>
  </bookViews>
  <sheets>
    <sheet name="gestao" sheetId="1" r:id="rId1"/>
  </sheets>
  <definedNames>
    <definedName name="_xlnm.Print_Area" localSheetId="0">gestao!$D$2:$AK$80</definedName>
  </definedNames>
  <calcPr calcId="125725"/>
</workbook>
</file>

<file path=xl/calcChain.xml><?xml version="1.0" encoding="utf-8"?>
<calcChain xmlns="http://schemas.openxmlformats.org/spreadsheetml/2006/main">
  <c r="G91" i="1"/>
  <c r="P90"/>
  <c r="O90"/>
  <c r="L90"/>
  <c r="G90"/>
  <c r="G87"/>
  <c r="AG86"/>
  <c r="AF86"/>
  <c r="AA86"/>
  <c r="Z86"/>
  <c r="W86"/>
  <c r="T86"/>
  <c r="Q80"/>
  <c r="P80"/>
  <c r="P91" s="1"/>
  <c r="L80"/>
  <c r="R79"/>
  <c r="M79"/>
  <c r="F79"/>
  <c r="R78"/>
  <c r="M78"/>
  <c r="F78"/>
  <c r="R77"/>
  <c r="M77"/>
  <c r="F77"/>
  <c r="O76"/>
  <c r="R76" s="1"/>
  <c r="M76"/>
  <c r="F76"/>
  <c r="R75"/>
  <c r="M75"/>
  <c r="F75"/>
  <c r="R74"/>
  <c r="M74"/>
  <c r="F74"/>
  <c r="R73"/>
  <c r="M73"/>
  <c r="F73"/>
  <c r="R72"/>
  <c r="M72"/>
  <c r="F72"/>
  <c r="R71"/>
  <c r="M71"/>
  <c r="F71"/>
  <c r="R70"/>
  <c r="M70"/>
  <c r="F70"/>
  <c r="R69"/>
  <c r="M69"/>
  <c r="F69"/>
  <c r="R68"/>
  <c r="M68"/>
  <c r="F68"/>
  <c r="R67"/>
  <c r="O67"/>
  <c r="O80" s="1"/>
  <c r="O91" s="1"/>
  <c r="M67"/>
  <c r="F67"/>
  <c r="BI66"/>
  <c r="AE86" s="1"/>
  <c r="R66"/>
  <c r="M66"/>
  <c r="F66"/>
  <c r="R65"/>
  <c r="M65"/>
  <c r="F65"/>
  <c r="R64"/>
  <c r="M64"/>
  <c r="F64"/>
  <c r="BI63"/>
  <c r="R63"/>
  <c r="M63"/>
  <c r="F63"/>
  <c r="R62"/>
  <c r="M62"/>
  <c r="F62"/>
  <c r="R61"/>
  <c r="M61"/>
  <c r="F61"/>
  <c r="BI60"/>
  <c r="X86" s="1"/>
  <c r="R60"/>
  <c r="M60"/>
  <c r="F60"/>
  <c r="R59"/>
  <c r="M59"/>
  <c r="F59"/>
  <c r="R58"/>
  <c r="M58"/>
  <c r="F58"/>
  <c r="R57"/>
  <c r="K57"/>
  <c r="F57"/>
  <c r="R56"/>
  <c r="M56"/>
  <c r="F56"/>
  <c r="R55"/>
  <c r="M55"/>
  <c r="F55"/>
  <c r="BI54"/>
  <c r="U86" s="1"/>
  <c r="R54"/>
  <c r="M54"/>
  <c r="F54"/>
  <c r="R53"/>
  <c r="M53"/>
  <c r="K53"/>
  <c r="F53"/>
  <c r="R52"/>
  <c r="M52"/>
  <c r="F52"/>
  <c r="R51"/>
  <c r="M51"/>
  <c r="F51"/>
  <c r="R50"/>
  <c r="M50"/>
  <c r="F50"/>
  <c r="R49"/>
  <c r="M49"/>
  <c r="G49"/>
  <c r="G80" s="1"/>
  <c r="F49"/>
  <c r="R48"/>
  <c r="M48"/>
  <c r="BI43"/>
  <c r="S86" s="1"/>
  <c r="BI40"/>
  <c r="BD39"/>
  <c r="BD87" s="1"/>
  <c r="BC39"/>
  <c r="BB39"/>
  <c r="BA39"/>
  <c r="AZ39"/>
  <c r="AY39"/>
  <c r="AX39"/>
  <c r="AV39"/>
  <c r="AU39"/>
  <c r="AU87" s="1"/>
  <c r="AS39"/>
  <c r="AR39"/>
  <c r="AP39"/>
  <c r="AO39"/>
  <c r="AM39"/>
  <c r="AI39"/>
  <c r="AH39"/>
  <c r="AC39"/>
  <c r="AC87" s="1"/>
  <c r="X39"/>
  <c r="X87" s="1"/>
  <c r="O39"/>
  <c r="O87" s="1"/>
  <c r="AK38"/>
  <c r="N38"/>
  <c r="Q38"/>
  <c r="E79"/>
  <c r="D79"/>
  <c r="AK37"/>
  <c r="N37"/>
  <c r="E78"/>
  <c r="D78"/>
  <c r="AF36"/>
  <c r="AA36"/>
  <c r="Z36"/>
  <c r="W36"/>
  <c r="T36"/>
  <c r="N36"/>
  <c r="E77"/>
  <c r="D77"/>
  <c r="AG35"/>
  <c r="T35"/>
  <c r="T39" s="1"/>
  <c r="T87" s="1"/>
  <c r="S35"/>
  <c r="N35"/>
  <c r="E76"/>
  <c r="D76"/>
  <c r="AK34"/>
  <c r="S34"/>
  <c r="N34"/>
  <c r="E75"/>
  <c r="D75"/>
  <c r="AG33"/>
  <c r="AK33" s="1"/>
  <c r="S33"/>
  <c r="N33"/>
  <c r="E74"/>
  <c r="D74"/>
  <c r="AK32"/>
  <c r="N32"/>
  <c r="E73"/>
  <c r="D73"/>
  <c r="AK31"/>
  <c r="N31"/>
  <c r="E72"/>
  <c r="D72"/>
  <c r="BN30"/>
  <c r="AF30"/>
  <c r="AK30" s="1"/>
  <c r="N30"/>
  <c r="Q30"/>
  <c r="E71"/>
  <c r="D71"/>
  <c r="BN29"/>
  <c r="AN29"/>
  <c r="N29" s="1"/>
  <c r="AK29"/>
  <c r="E70"/>
  <c r="D70"/>
  <c r="BN28"/>
  <c r="AN28"/>
  <c r="N28" s="1"/>
  <c r="AA28"/>
  <c r="AK28" s="1"/>
  <c r="E69"/>
  <c r="D69"/>
  <c r="BN27"/>
  <c r="AE27"/>
  <c r="AB27"/>
  <c r="AB39" s="1"/>
  <c r="AB87" s="1"/>
  <c r="U27"/>
  <c r="AK27" s="1"/>
  <c r="N27"/>
  <c r="Q27"/>
  <c r="E68"/>
  <c r="D68"/>
  <c r="BN26"/>
  <c r="AN26"/>
  <c r="N26" s="1"/>
  <c r="AG26"/>
  <c r="AE26"/>
  <c r="AA26"/>
  <c r="S26"/>
  <c r="AK26" s="1"/>
  <c r="E67"/>
  <c r="D67"/>
  <c r="BN25"/>
  <c r="AK25"/>
  <c r="N25"/>
  <c r="E66"/>
  <c r="D66"/>
  <c r="BN24"/>
  <c r="AK24"/>
  <c r="N24"/>
  <c r="E65"/>
  <c r="D65"/>
  <c r="BN23"/>
  <c r="Z23"/>
  <c r="AK23" s="1"/>
  <c r="N23"/>
  <c r="Q23"/>
  <c r="E64"/>
  <c r="D64"/>
  <c r="BN22"/>
  <c r="AN22"/>
  <c r="N22" s="1"/>
  <c r="W22"/>
  <c r="AK22" s="1"/>
  <c r="E63"/>
  <c r="D63"/>
  <c r="BN21"/>
  <c r="AN21"/>
  <c r="AF21"/>
  <c r="AK21" s="1"/>
  <c r="S21"/>
  <c r="N21"/>
  <c r="E62"/>
  <c r="D62"/>
  <c r="AQ20"/>
  <c r="AQ39" s="1"/>
  <c r="AQ87" s="1"/>
  <c r="AN20"/>
  <c r="AK20"/>
  <c r="W20"/>
  <c r="P20"/>
  <c r="P39" s="1"/>
  <c r="P87" s="1"/>
  <c r="E61"/>
  <c r="D61"/>
  <c r="AN19"/>
  <c r="N19" s="1"/>
  <c r="AG19"/>
  <c r="AA19"/>
  <c r="AK19" s="1"/>
  <c r="E60"/>
  <c r="D60"/>
  <c r="AK18"/>
  <c r="N18"/>
  <c r="E59"/>
  <c r="D59"/>
  <c r="AK17"/>
  <c r="N17"/>
  <c r="Q17"/>
  <c r="E58"/>
  <c r="D58"/>
  <c r="AW16"/>
  <c r="AA16"/>
  <c r="AK16" s="1"/>
  <c r="W16"/>
  <c r="N16"/>
  <c r="E57"/>
  <c r="D57"/>
  <c r="BN15"/>
  <c r="AW15"/>
  <c r="AW39" s="1"/>
  <c r="AW87" s="1"/>
  <c r="AF15"/>
  <c r="AF39" s="1"/>
  <c r="AF87" s="1"/>
  <c r="AA15"/>
  <c r="W15"/>
  <c r="AK15" s="1"/>
  <c r="E56"/>
  <c r="D56"/>
  <c r="AT14"/>
  <c r="AT39" s="1"/>
  <c r="AN14"/>
  <c r="AK14"/>
  <c r="AE14"/>
  <c r="AE39" s="1"/>
  <c r="AA14"/>
  <c r="W14"/>
  <c r="E55"/>
  <c r="D55"/>
  <c r="AN13"/>
  <c r="N13" s="1"/>
  <c r="W13"/>
  <c r="AK13" s="1"/>
  <c r="E54"/>
  <c r="D54"/>
  <c r="BN12"/>
  <c r="AN12"/>
  <c r="AG12"/>
  <c r="Z12"/>
  <c r="Z39" s="1"/>
  <c r="S12"/>
  <c r="N12"/>
  <c r="E53"/>
  <c r="D53"/>
  <c r="AK11"/>
  <c r="N11"/>
  <c r="Q11"/>
  <c r="E52"/>
  <c r="D52"/>
  <c r="AK10"/>
  <c r="N10"/>
  <c r="E51"/>
  <c r="D51"/>
  <c r="BN9"/>
  <c r="AN9"/>
  <c r="AK9"/>
  <c r="S9"/>
  <c r="S39" s="1"/>
  <c r="N9"/>
  <c r="E50"/>
  <c r="D50"/>
  <c r="BN8"/>
  <c r="AN8"/>
  <c r="AN39" s="1"/>
  <c r="W8"/>
  <c r="W39" s="1"/>
  <c r="U8"/>
  <c r="N8"/>
  <c r="M39"/>
  <c r="M87" s="1"/>
  <c r="G8"/>
  <c r="G39" s="1"/>
  <c r="E49"/>
  <c r="D49"/>
  <c r="BN7"/>
  <c r="BI7"/>
  <c r="AK7"/>
  <c r="N7"/>
  <c r="Q7" s="1"/>
  <c r="F48"/>
  <c r="E48"/>
  <c r="D48"/>
  <c r="BN6"/>
  <c r="BN10" s="1"/>
  <c r="F47"/>
  <c r="E47"/>
  <c r="D47"/>
  <c r="BN5"/>
  <c r="BI5"/>
  <c r="BI6" s="1"/>
  <c r="BN4"/>
  <c r="L43"/>
  <c r="Q13" l="1"/>
  <c r="AA39"/>
  <c r="AA87" s="1"/>
  <c r="Q19"/>
  <c r="Q28"/>
  <c r="K80"/>
  <c r="L39"/>
  <c r="L87" s="1"/>
  <c r="BI8"/>
  <c r="K39"/>
  <c r="U39"/>
  <c r="U87" s="1"/>
  <c r="Q10"/>
  <c r="AG39"/>
  <c r="AG87" s="1"/>
  <c r="N14"/>
  <c r="Q14" s="1"/>
  <c r="N20"/>
  <c r="Q21"/>
  <c r="Q24"/>
  <c r="Q25"/>
  <c r="Q31"/>
  <c r="AK35"/>
  <c r="AK36"/>
  <c r="Q32"/>
  <c r="Q36"/>
  <c r="Q9"/>
  <c r="Q12"/>
  <c r="Q16"/>
  <c r="Q18"/>
  <c r="Q22"/>
  <c r="Q33"/>
  <c r="Q34"/>
  <c r="Q35"/>
  <c r="Q37"/>
  <c r="L91"/>
  <c r="X5"/>
  <c r="W87"/>
  <c r="Q29"/>
  <c r="BN11"/>
  <c r="Z87"/>
  <c r="AC5"/>
  <c r="K87"/>
  <c r="Q26"/>
  <c r="R80"/>
  <c r="S87"/>
  <c r="U5"/>
  <c r="AI5"/>
  <c r="AE87"/>
  <c r="Q20"/>
  <c r="AK8"/>
  <c r="N15"/>
  <c r="Q15" s="1"/>
  <c r="N39"/>
  <c r="N87" s="1"/>
  <c r="I49"/>
  <c r="G50" s="1"/>
  <c r="I50" s="1"/>
  <c r="G51" s="1"/>
  <c r="I51" s="1"/>
  <c r="G52" s="1"/>
  <c r="I52" s="1"/>
  <c r="G53" s="1"/>
  <c r="I53" s="1"/>
  <c r="G54" s="1"/>
  <c r="I54" s="1"/>
  <c r="G55" s="1"/>
  <c r="I55" s="1"/>
  <c r="G56" s="1"/>
  <c r="I56" s="1"/>
  <c r="G57" s="1"/>
  <c r="M57"/>
  <c r="M80" s="1"/>
  <c r="BI3"/>
  <c r="AK12"/>
  <c r="Q8"/>
  <c r="I8" s="1"/>
  <c r="G9" s="1"/>
  <c r="I9" s="1"/>
  <c r="G10" s="1"/>
  <c r="I10" s="1"/>
  <c r="G11" s="1"/>
  <c r="I11" s="1"/>
  <c r="G12" s="1"/>
  <c r="I12" s="1"/>
  <c r="G13" s="1"/>
  <c r="I13" s="1"/>
  <c r="G14" s="1"/>
  <c r="N5" l="1"/>
  <c r="I14"/>
  <c r="G15" s="1"/>
  <c r="I15" s="1"/>
  <c r="G16" s="1"/>
  <c r="I16" s="1"/>
  <c r="G17" s="1"/>
  <c r="I17" s="1"/>
  <c r="G18" s="1"/>
  <c r="I18" s="1"/>
  <c r="G19" s="1"/>
  <c r="I19" s="1"/>
  <c r="G20" s="1"/>
  <c r="I20" s="1"/>
  <c r="G21" s="1"/>
  <c r="I21" s="1"/>
  <c r="G22" s="1"/>
  <c r="I22" s="1"/>
  <c r="G23" s="1"/>
  <c r="I23" s="1"/>
  <c r="G24" s="1"/>
  <c r="I24" s="1"/>
  <c r="G25" s="1"/>
  <c r="I25" s="1"/>
  <c r="G26" s="1"/>
  <c r="I26" s="1"/>
  <c r="G27" s="1"/>
  <c r="I27" s="1"/>
  <c r="G28" s="1"/>
  <c r="I28" s="1"/>
  <c r="G29" s="1"/>
  <c r="I29" s="1"/>
  <c r="G30" s="1"/>
  <c r="I30" s="1"/>
  <c r="G31" s="1"/>
  <c r="I31" s="1"/>
  <c r="G32" s="1"/>
  <c r="I32" s="1"/>
  <c r="G33" s="1"/>
  <c r="I33" s="1"/>
  <c r="G34" s="1"/>
  <c r="I34" s="1"/>
  <c r="G35" s="1"/>
  <c r="I35" s="1"/>
  <c r="G36" s="1"/>
  <c r="I36" s="1"/>
  <c r="C1" s="1"/>
  <c r="I80"/>
  <c r="AK39"/>
  <c r="Q39"/>
  <c r="I39" s="1"/>
  <c r="I57"/>
  <c r="G58" s="1"/>
  <c r="I58" s="1"/>
  <c r="G59" s="1"/>
  <c r="I59" s="1"/>
  <c r="G60" s="1"/>
  <c r="I60" s="1"/>
  <c r="G61" s="1"/>
  <c r="I61" s="1"/>
  <c r="G62" s="1"/>
  <c r="I62" s="1"/>
  <c r="G63" s="1"/>
  <c r="I63" s="1"/>
  <c r="G64" s="1"/>
  <c r="I64" s="1"/>
  <c r="G65" s="1"/>
  <c r="I65" s="1"/>
  <c r="G66" s="1"/>
  <c r="I66" s="1"/>
  <c r="G67" s="1"/>
  <c r="I67" s="1"/>
  <c r="G68" s="1"/>
  <c r="I68" s="1"/>
  <c r="G69" s="1"/>
  <c r="I69" s="1"/>
  <c r="G70" s="1"/>
  <c r="I70" s="1"/>
  <c r="G71" s="1"/>
  <c r="I71" s="1"/>
  <c r="G72" s="1"/>
  <c r="I72" s="1"/>
  <c r="G73" s="1"/>
  <c r="I73" s="1"/>
  <c r="G74" s="1"/>
  <c r="I74" s="1"/>
  <c r="G75" s="1"/>
  <c r="I75" s="1"/>
  <c r="G76" s="1"/>
  <c r="I76" s="1"/>
  <c r="G77" s="1"/>
  <c r="I77" s="1"/>
  <c r="G78" s="1"/>
  <c r="I78" s="1"/>
  <c r="G79" s="1"/>
  <c r="I79" s="1"/>
  <c r="G37" l="1"/>
  <c r="I37" s="1"/>
  <c r="G38" s="1"/>
  <c r="I38" s="1"/>
</calcChain>
</file>

<file path=xl/comments1.xml><?xml version="1.0" encoding="utf-8"?>
<comments xmlns="http://schemas.openxmlformats.org/spreadsheetml/2006/main">
  <authors>
    <author>Sptrans</author>
  </authors>
  <commentList>
    <comment ref="AQ20" authorId="0">
      <text>
        <r>
          <rPr>
            <b/>
            <sz val="24"/>
            <color indexed="81"/>
            <rFont val="Arial"/>
            <family val="2"/>
          </rPr>
          <t xml:space="preserve">metro/cptm/Via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<sst xmlns="http://schemas.openxmlformats.org/spreadsheetml/2006/main" count="238" uniqueCount="163">
  <si>
    <t>FLUXO DE CAIXA GESTÃO TRANSPORTE</t>
  </si>
  <si>
    <t>FOLHA</t>
  </si>
  <si>
    <t>DESPESA</t>
  </si>
  <si>
    <t>DATA</t>
  </si>
  <si>
    <t>CÓDIGO</t>
  </si>
  <si>
    <t>VALOR</t>
  </si>
  <si>
    <t xml:space="preserve">E N T R A D A S </t>
  </si>
  <si>
    <t>S A Í D A S</t>
  </si>
  <si>
    <t>ABERTURA DAS ENTRADAS - DIVERSOS E FINANCEIRAS</t>
  </si>
  <si>
    <t>CONFERÊNCIA GERENCIAMENTO</t>
  </si>
  <si>
    <t>PLANO DE SAÚDE</t>
  </si>
  <si>
    <t>100.000 dia 14/12</t>
  </si>
  <si>
    <t>SALDO INICIAL</t>
  </si>
  <si>
    <t>SALDO FINAL</t>
  </si>
  <si>
    <t>RECEITAS      =</t>
  </si>
  <si>
    <t xml:space="preserve">R E C U R S O S </t>
  </si>
  <si>
    <t>TOTAL</t>
  </si>
  <si>
    <t>PESSOAL ATIVO =</t>
  </si>
  <si>
    <t>INDENIZAÇÕES =</t>
  </si>
  <si>
    <t>FORNECEDOR    =</t>
  </si>
  <si>
    <t>DIVERSOS              =</t>
  </si>
  <si>
    <t>CONFERÊNCIA RECLAMAÇOES/ACORDOS</t>
  </si>
  <si>
    <t>CONSIGNAÇÃO</t>
  </si>
  <si>
    <t>300.000 dia 07/12 e o saldo dia 12/12</t>
  </si>
  <si>
    <t>FROTA PÚBLICA</t>
  </si>
  <si>
    <t>CREDITO ELETRÔNICO</t>
  </si>
  <si>
    <t>BILHETE ÚNICO</t>
  </si>
  <si>
    <t>DIVERSAS FINANCEIRAS</t>
  </si>
  <si>
    <t>AUMENTO CAPITAL</t>
  </si>
  <si>
    <t>OPERAÇÃO MANT.TERM.</t>
  </si>
  <si>
    <t>ENTRADAS</t>
  </si>
  <si>
    <t>FOLHA PAGTO/ BENEFICIOS</t>
  </si>
  <si>
    <t>RESCISÕES CONTRATUAIS</t>
  </si>
  <si>
    <t>ENCARGOS PL.SAÚDE CONSIGNAÇÃO</t>
  </si>
  <si>
    <t>ACORDOS TRABALHISTAS</t>
  </si>
  <si>
    <t>BLOQUEIO JUDICIAL CIVEL</t>
  </si>
  <si>
    <t>PEQUENO</t>
  </si>
  <si>
    <t>GRANDE</t>
  </si>
  <si>
    <t>RETENÇÕES</t>
  </si>
  <si>
    <t>CADIM</t>
  </si>
  <si>
    <t>ALUGUEIS ÁGUA/LUZ TELEFONE</t>
  </si>
  <si>
    <t>IMPOSTOS TAXAS</t>
  </si>
  <si>
    <t>FUNDO FIXO ALUGUEL IMÓVEIS</t>
  </si>
  <si>
    <t>ACORDO TADF</t>
  </si>
  <si>
    <t>ENCARGOS FINANCEIROS</t>
  </si>
  <si>
    <t>SAÍDAS</t>
  </si>
  <si>
    <t>FINANCEIRAS</t>
  </si>
  <si>
    <t>DESCONHECIDAS</t>
  </si>
  <si>
    <t>NDS. TERMINAIS</t>
  </si>
  <si>
    <t>USP</t>
  </si>
  <si>
    <t>METRÔ CPTM VIA</t>
  </si>
  <si>
    <t>GATUSA</t>
  </si>
  <si>
    <t>EMPREGADOS A DISPOSIÇÃO</t>
  </si>
  <si>
    <t>AUTO INTERDIÇÃO</t>
  </si>
  <si>
    <t>DEPÓSITOS JUDICIAIS</t>
  </si>
  <si>
    <t>CAUÇÃO ALVARÁS</t>
  </si>
  <si>
    <t>CARTEIRA ESCOLAR</t>
  </si>
  <si>
    <t>FUNDO FIXO</t>
  </si>
  <si>
    <t>REEMBOLSO TELEFONE</t>
  </si>
  <si>
    <t>PLANO SAÚDE</t>
  </si>
  <si>
    <t>CÓPIAS XEROX</t>
  </si>
  <si>
    <t>MULTAS CONTRATUAIS</t>
  </si>
  <si>
    <t>DEVOLUÇÃO FUNCIONÁRIOS</t>
  </si>
  <si>
    <t>OUTRAS</t>
  </si>
  <si>
    <t>TOTAL TEM QUE SER IGUAL A PESSOAL ATIVO</t>
  </si>
  <si>
    <t>FGTS</t>
  </si>
  <si>
    <t>Soma Pessoal Ativo</t>
  </si>
  <si>
    <t>RECLAMAÇÕES TRABALHISTAS</t>
  </si>
  <si>
    <t>REAL</t>
  </si>
  <si>
    <t>Tem que zerar</t>
  </si>
  <si>
    <t>VALE</t>
  </si>
  <si>
    <t>ENCARGOS SOCIAS</t>
  </si>
  <si>
    <t>C/ 1.6 dia 21/12 = 500.000</t>
  </si>
  <si>
    <t>( - ) FGTS</t>
  </si>
  <si>
    <t>TOTAL ENCARGOS SOCIAIS</t>
  </si>
  <si>
    <t>ACORDO COFINS (CLAUDIO)</t>
  </si>
  <si>
    <t>352 - FL 13</t>
  </si>
  <si>
    <t>Frota Pública</t>
  </si>
  <si>
    <t>remuneração</t>
  </si>
  <si>
    <t>FOLHA PAGTO</t>
  </si>
  <si>
    <t>Gerenciamento Créditos Eletrônicos/Paese</t>
  </si>
  <si>
    <t>8/gerenc. Credito eletronico</t>
  </si>
  <si>
    <t>PARTICIPAÇÃO RESULTADOS</t>
  </si>
  <si>
    <t>Bilhete Único sem Cadastro</t>
  </si>
  <si>
    <t>DMLP</t>
  </si>
  <si>
    <t>Diversas e Financeiras</t>
  </si>
  <si>
    <t>COD. 800 (VIDE ABERTURA NA PREVISÃO)</t>
  </si>
  <si>
    <t>vale</t>
  </si>
  <si>
    <t>Gerenc. e Operação Bilhet. Eletrôn. (SBE)</t>
  </si>
  <si>
    <t>FÉRIAS</t>
  </si>
  <si>
    <t>HORAS EXTRAS</t>
  </si>
  <si>
    <t>13º SALÁRIO</t>
  </si>
  <si>
    <t>SEGURO</t>
  </si>
  <si>
    <t>Acordo Depósito Judicial</t>
  </si>
  <si>
    <t>INSTRUÇÃO</t>
  </si>
  <si>
    <t>INDENIZAÇÃO</t>
  </si>
  <si>
    <t/>
  </si>
  <si>
    <t>BLOQUEIOS</t>
  </si>
  <si>
    <t>VALE REFEIÇÃO</t>
  </si>
  <si>
    <t>PASEP</t>
  </si>
  <si>
    <t>Outros</t>
  </si>
  <si>
    <t>Recursos Aumento de Capital</t>
  </si>
  <si>
    <t>REC</t>
  </si>
  <si>
    <t>Recurso PMSP - Operação Man. Sist. Mun.Tran. Col.</t>
  </si>
  <si>
    <t>FERIADO</t>
  </si>
  <si>
    <t>FLUXO DE CAIXA APOSENTADORIA</t>
  </si>
  <si>
    <t>Folha Pagamento/Benefícios</t>
  </si>
  <si>
    <t>Folha Pagamento</t>
  </si>
  <si>
    <t>abertura</t>
  </si>
  <si>
    <t>Férias</t>
  </si>
  <si>
    <t>13º salário</t>
  </si>
  <si>
    <t>RECEITAS</t>
  </si>
  <si>
    <t xml:space="preserve">RECURSOS </t>
  </si>
  <si>
    <t>COMPL APOSENT</t>
  </si>
  <si>
    <t>ENCARGOS SOCIAIS</t>
  </si>
  <si>
    <t>BLOQUEIO JUDICIAL</t>
  </si>
  <si>
    <t>Horas Extras</t>
  </si>
  <si>
    <t>Vale Refeição / Alimentação</t>
  </si>
  <si>
    <t>Seguro Vida</t>
  </si>
  <si>
    <t>Instrução</t>
  </si>
  <si>
    <t>Rescisões Contratuais</t>
  </si>
  <si>
    <t>Enc.Sociais/Plano Saúde/Consignação</t>
  </si>
  <si>
    <t>Consignação</t>
  </si>
  <si>
    <t>Plano Saúde</t>
  </si>
  <si>
    <t>Encargos Sociais</t>
  </si>
  <si>
    <t>Reclamações / Acordos Trabalhistas</t>
  </si>
  <si>
    <t>Acordo Cofins</t>
  </si>
  <si>
    <t>Indeniz.Terc./Penhora/Bloqueio Judicial</t>
  </si>
  <si>
    <t>Indenizações Terceiros</t>
  </si>
  <si>
    <t>Penhora/Bloqueio Judicial</t>
  </si>
  <si>
    <t xml:space="preserve">FORNECEDOR       </t>
  </si>
  <si>
    <t>Pequeno (até 16.000)</t>
  </si>
  <si>
    <t>Grandes (acima 16.000)</t>
  </si>
  <si>
    <t>Alugueis-Equipamentos/Água/Luz/Telef.</t>
  </si>
  <si>
    <t>Alugueis-Equipamentos</t>
  </si>
  <si>
    <t>Água/Luz/Telef.</t>
  </si>
  <si>
    <t>Gerais e Administrativas</t>
  </si>
  <si>
    <t>abertura (-) INDENIZAÇÃO 3ºS</t>
  </si>
  <si>
    <t>Pasep/Cofins (Claudio)</t>
  </si>
  <si>
    <t>Diversas / Fundo Fixo / Aluguel Imóveis</t>
  </si>
  <si>
    <t>Recursos Comp. Aposentadoria</t>
  </si>
  <si>
    <t>Complementação  Aposentadoria</t>
  </si>
  <si>
    <t>FER</t>
  </si>
  <si>
    <t>PREVISÃO ORÇAMENTÁRIA GESTÃO</t>
  </si>
  <si>
    <t>DIFERENÇA FLUXO x ORÇADO - GESTÃO</t>
  </si>
  <si>
    <t>PREVISÃO ORÇAMENT. APOSENTADORIA</t>
  </si>
  <si>
    <t>DIFER. FLUXO x ORÇADO APOSENTADORIA</t>
  </si>
  <si>
    <t>abertura fornecedores</t>
  </si>
  <si>
    <t>pequenos</t>
  </si>
  <si>
    <t>grandes</t>
  </si>
  <si>
    <t>repasse</t>
  </si>
  <si>
    <t>DEZEMBRO - 2016</t>
  </si>
  <si>
    <t>DIA</t>
  </si>
  <si>
    <t>SEM</t>
  </si>
  <si>
    <t>SIT</t>
  </si>
  <si>
    <t>mês anterior</t>
  </si>
  <si>
    <t>qui</t>
  </si>
  <si>
    <t>sex</t>
  </si>
  <si>
    <t>sáb</t>
  </si>
  <si>
    <t>dom</t>
  </si>
  <si>
    <t>seg</t>
  </si>
  <si>
    <t>ter</t>
  </si>
  <si>
    <t>qua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</si>
</sst>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_);[Red]_(* \(#,##0\);_(* &quot;-&quot;??_);_(@_)"/>
    <numFmt numFmtId="165" formatCode="[$-416]mmmm\-yyyy;@"/>
    <numFmt numFmtId="166" formatCode="[$-416]mmmm\-yy;@"/>
    <numFmt numFmtId="167" formatCode="_-* #,##0_-;\-* #,##0_-;_-* &quot;-&quot;??_-;_-@_-"/>
    <numFmt numFmtId="168" formatCode="#,##0_ ;[Red]\-#,##0\ "/>
    <numFmt numFmtId="169" formatCode="#,##0_ ;\-#,##0\ "/>
    <numFmt numFmtId="170" formatCode="_(* #,##0_);_(* \(#,##0\);_(* &quot;&quot;??_);_(@_)"/>
  </numFmts>
  <fonts count="24">
    <font>
      <sz val="10"/>
      <name val="Arial"/>
    </font>
    <font>
      <sz val="2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28"/>
      <color rgb="FFFF0000"/>
      <name val="Arial"/>
      <family val="2"/>
    </font>
    <font>
      <b/>
      <sz val="20"/>
      <name val="Arial"/>
      <family val="2"/>
    </font>
    <font>
      <b/>
      <sz val="22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22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24"/>
      <color indexed="81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170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9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3" fillId="2" borderId="0" xfId="0" applyNumberFormat="1" applyFont="1" applyFill="1" applyAlignment="1">
      <alignment vertical="center"/>
    </xf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/>
    <xf numFmtId="0" fontId="6" fillId="3" borderId="0" xfId="2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8" fillId="2" borderId="0" xfId="0" applyFont="1" applyFill="1"/>
    <xf numFmtId="164" fontId="8" fillId="0" borderId="0" xfId="0" applyNumberFormat="1" applyFont="1"/>
    <xf numFmtId="165" fontId="3" fillId="0" borderId="0" xfId="0" quotePrefix="1" applyNumberFormat="1" applyFont="1" applyAlignment="1">
      <alignment vertical="center"/>
    </xf>
    <xf numFmtId="0" fontId="8" fillId="0" borderId="0" xfId="0" applyFont="1" applyAlignment="1"/>
    <xf numFmtId="0" fontId="8" fillId="4" borderId="0" xfId="0" applyFont="1" applyFill="1" applyAlignment="1"/>
    <xf numFmtId="0" fontId="8" fillId="5" borderId="0" xfId="0" applyFont="1" applyFill="1" applyAlignment="1"/>
    <xf numFmtId="0" fontId="3" fillId="0" borderId="0" xfId="0" applyFont="1"/>
    <xf numFmtId="0" fontId="9" fillId="0" borderId="0" xfId="0" applyFont="1" applyAlignment="1">
      <alignment horizontal="left" vertical="center"/>
    </xf>
    <xf numFmtId="0" fontId="4" fillId="2" borderId="0" xfId="0" applyFont="1" applyFill="1"/>
    <xf numFmtId="164" fontId="4" fillId="0" borderId="0" xfId="0" applyNumberFormat="1" applyFont="1"/>
    <xf numFmtId="165" fontId="9" fillId="0" borderId="0" xfId="0" quotePrefix="1" applyNumberFormat="1" applyFont="1" applyAlignment="1">
      <alignment vertical="center"/>
    </xf>
    <xf numFmtId="0" fontId="2" fillId="4" borderId="0" xfId="0" applyFont="1" applyFill="1" applyAlignment="1"/>
    <xf numFmtId="0" fontId="2" fillId="5" borderId="0" xfId="0" applyFont="1" applyFill="1" applyAlignment="1"/>
    <xf numFmtId="0" fontId="10" fillId="5" borderId="0" xfId="0" applyFont="1" applyFill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right"/>
    </xf>
    <xf numFmtId="165" fontId="11" fillId="0" borderId="0" xfId="0" applyNumberFormat="1" applyFont="1"/>
    <xf numFmtId="0" fontId="11" fillId="6" borderId="0" xfId="3" applyFont="1" applyFill="1" applyBorder="1" applyProtection="1"/>
    <xf numFmtId="0" fontId="11" fillId="6" borderId="0" xfId="3" applyFont="1" applyFill="1" applyBorder="1" applyAlignment="1" applyProtection="1">
      <alignment horizontal="center"/>
    </xf>
    <xf numFmtId="0" fontId="11" fillId="6" borderId="0" xfId="3" applyFont="1" applyFill="1" applyBorder="1" applyAlignment="1" applyProtection="1">
      <alignment horizontal="right"/>
    </xf>
    <xf numFmtId="0" fontId="4" fillId="0" borderId="0" xfId="0" applyFont="1" applyAlignment="1"/>
    <xf numFmtId="0" fontId="12" fillId="2" borderId="1" xfId="3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4" fillId="4" borderId="0" xfId="0" applyFont="1" applyFill="1" applyAlignment="1"/>
    <xf numFmtId="166" fontId="13" fillId="8" borderId="2" xfId="3" applyNumberFormat="1" applyFont="1" applyFill="1" applyBorder="1" applyAlignment="1" applyProtection="1">
      <alignment horizontal="left" vertical="center"/>
    </xf>
    <xf numFmtId="3" fontId="13" fillId="8" borderId="3" xfId="3" quotePrefix="1" applyNumberFormat="1" applyFont="1" applyFill="1" applyBorder="1" applyAlignment="1" applyProtection="1">
      <alignment horizontal="right" vertical="center"/>
    </xf>
    <xf numFmtId="166" fontId="13" fillId="8" borderId="3" xfId="3" quotePrefix="1" applyNumberFormat="1" applyFont="1" applyFill="1" applyBorder="1" applyAlignment="1" applyProtection="1">
      <alignment horizontal="center" vertical="center"/>
    </xf>
    <xf numFmtId="167" fontId="11" fillId="8" borderId="4" xfId="1" applyNumberFormat="1" applyFont="1" applyFill="1" applyBorder="1"/>
    <xf numFmtId="0" fontId="11" fillId="9" borderId="5" xfId="3" applyFont="1" applyFill="1" applyBorder="1" applyProtection="1"/>
    <xf numFmtId="14" fontId="11" fillId="9" borderId="5" xfId="3" applyNumberFormat="1" applyFont="1" applyFill="1" applyBorder="1" applyAlignment="1" applyProtection="1">
      <alignment horizontal="center"/>
    </xf>
    <xf numFmtId="0" fontId="11" fillId="9" borderId="5" xfId="3" applyFont="1" applyFill="1" applyBorder="1" applyAlignment="1" applyProtection="1">
      <alignment horizontal="center"/>
    </xf>
    <xf numFmtId="167" fontId="11" fillId="9" borderId="5" xfId="1" applyNumberFormat="1" applyFont="1" applyFill="1" applyBorder="1" applyProtection="1"/>
    <xf numFmtId="0" fontId="11" fillId="9" borderId="0" xfId="0" quotePrefix="1" applyFont="1" applyFill="1"/>
    <xf numFmtId="16" fontId="11" fillId="9" borderId="0" xfId="0" applyNumberFormat="1" applyFont="1" applyFill="1"/>
    <xf numFmtId="0" fontId="11" fillId="9" borderId="0" xfId="3" applyFont="1" applyFill="1" applyBorder="1" applyProtection="1"/>
    <xf numFmtId="0" fontId="9" fillId="0" borderId="0" xfId="0" applyFont="1" applyAlignment="1">
      <alignment horizontal="center" vertical="center"/>
    </xf>
    <xf numFmtId="0" fontId="12" fillId="2" borderId="6" xfId="3" applyFont="1" applyFill="1" applyBorder="1" applyAlignment="1" applyProtection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12" fillId="2" borderId="1" xfId="3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12" fillId="2" borderId="6" xfId="3" applyNumberFormat="1" applyFont="1" applyFill="1" applyBorder="1" applyAlignment="1" applyProtection="1">
      <alignment horizontal="center" vertical="center"/>
    </xf>
    <xf numFmtId="0" fontId="12" fillId="2" borderId="7" xfId="3" applyFont="1" applyFill="1" applyBorder="1" applyAlignment="1" applyProtection="1">
      <alignment horizontal="center" vertical="center"/>
    </xf>
    <xf numFmtId="0" fontId="12" fillId="2" borderId="8" xfId="3" applyFont="1" applyFill="1" applyBorder="1" applyAlignment="1" applyProtection="1">
      <alignment horizontal="center" vertical="center"/>
    </xf>
    <xf numFmtId="0" fontId="12" fillId="2" borderId="9" xfId="3" applyFont="1" applyFill="1" applyBorder="1" applyAlignment="1" applyProtection="1">
      <alignment horizontal="center" vertical="center"/>
    </xf>
    <xf numFmtId="168" fontId="11" fillId="8" borderId="4" xfId="0" applyNumberFormat="1" applyFont="1" applyFill="1" applyBorder="1"/>
    <xf numFmtId="0" fontId="11" fillId="6" borderId="5" xfId="3" applyFont="1" applyFill="1" applyBorder="1" applyProtection="1"/>
    <xf numFmtId="14" fontId="11" fillId="6" borderId="5" xfId="3" applyNumberFormat="1" applyFont="1" applyFill="1" applyBorder="1" applyAlignment="1" applyProtection="1">
      <alignment horizontal="center"/>
    </xf>
    <xf numFmtId="0" fontId="11" fillId="6" borderId="5" xfId="3" applyFont="1" applyFill="1" applyBorder="1" applyAlignment="1" applyProtection="1">
      <alignment horizontal="center"/>
    </xf>
    <xf numFmtId="167" fontId="11" fillId="6" borderId="5" xfId="1" applyNumberFormat="1" applyFont="1" applyFill="1" applyBorder="1" applyProtection="1"/>
    <xf numFmtId="0" fontId="11" fillId="6" borderId="0" xfId="3" quotePrefix="1" applyFont="1" applyFill="1" applyProtection="1"/>
    <xf numFmtId="16" fontId="11" fillId="6" borderId="0" xfId="3" applyNumberFormat="1" applyFont="1" applyFill="1" applyProtection="1"/>
    <xf numFmtId="0" fontId="11" fillId="6" borderId="0" xfId="3" applyFont="1" applyFill="1" applyProtection="1"/>
    <xf numFmtId="0" fontId="12" fillId="2" borderId="12" xfId="3" applyFont="1" applyFill="1" applyBorder="1" applyAlignment="1" applyProtection="1">
      <alignment horizontal="center" vertical="center"/>
    </xf>
    <xf numFmtId="0" fontId="14" fillId="2" borderId="13" xfId="3" applyFont="1" applyFill="1" applyBorder="1" applyAlignment="1" applyProtection="1">
      <alignment horizontal="center" vertical="center" wrapText="1"/>
    </xf>
    <xf numFmtId="0" fontId="14" fillId="2" borderId="14" xfId="3" applyFont="1" applyFill="1" applyBorder="1" applyAlignment="1" applyProtection="1">
      <alignment horizontal="center" vertical="center" wrapText="1"/>
    </xf>
    <xf numFmtId="0" fontId="14" fillId="2" borderId="12" xfId="3" applyFont="1" applyFill="1" applyBorder="1" applyAlignment="1" applyProtection="1">
      <alignment horizontal="center" vertical="center" wrapText="1"/>
    </xf>
    <xf numFmtId="0" fontId="15" fillId="0" borderId="0" xfId="0" applyFont="1" applyAlignment="1"/>
    <xf numFmtId="0" fontId="14" fillId="2" borderId="15" xfId="3" applyFont="1" applyFill="1" applyBorder="1" applyAlignment="1" applyProtection="1">
      <alignment horizontal="center" vertical="center" wrapText="1"/>
    </xf>
    <xf numFmtId="0" fontId="14" fillId="2" borderId="6" xfId="3" applyFont="1" applyFill="1" applyBorder="1" applyAlignment="1" applyProtection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8" fillId="2" borderId="1" xfId="3" applyNumberFormat="1" applyFont="1" applyFill="1" applyBorder="1" applyAlignment="1" applyProtection="1">
      <alignment horizontal="center" vertical="center"/>
    </xf>
    <xf numFmtId="164" fontId="8" fillId="2" borderId="7" xfId="3" applyNumberFormat="1" applyFont="1" applyFill="1" applyBorder="1" applyAlignment="1" applyProtection="1">
      <alignment horizontal="center" vertical="center"/>
    </xf>
    <xf numFmtId="164" fontId="8" fillId="2" borderId="8" xfId="3" applyNumberFormat="1" applyFont="1" applyFill="1" applyBorder="1" applyAlignment="1" applyProtection="1">
      <alignment horizontal="center" vertical="center"/>
    </xf>
    <xf numFmtId="164" fontId="8" fillId="2" borderId="9" xfId="3" applyNumberFormat="1" applyFont="1" applyFill="1" applyBorder="1" applyAlignment="1" applyProtection="1">
      <alignment horizontal="center" vertical="center"/>
    </xf>
    <xf numFmtId="164" fontId="8" fillId="2" borderId="0" xfId="3" applyNumberFormat="1" applyFont="1" applyFill="1" applyBorder="1" applyAlignment="1" applyProtection="1">
      <alignment horizontal="center" vertical="center"/>
    </xf>
    <xf numFmtId="1" fontId="12" fillId="2" borderId="10" xfId="3" applyNumberFormat="1" applyFont="1" applyFill="1" applyBorder="1" applyAlignment="1" applyProtection="1">
      <alignment horizontal="center" vertical="center"/>
    </xf>
    <xf numFmtId="1" fontId="12" fillId="2" borderId="0" xfId="3" applyNumberFormat="1" applyFont="1" applyFill="1" applyBorder="1" applyAlignment="1" applyProtection="1">
      <alignment horizontal="center" vertical="center"/>
    </xf>
    <xf numFmtId="164" fontId="8" fillId="2" borderId="6" xfId="3" applyNumberFormat="1" applyFont="1" applyFill="1" applyBorder="1" applyAlignment="1" applyProtection="1">
      <alignment horizontal="center" vertical="center"/>
    </xf>
    <xf numFmtId="164" fontId="8" fillId="2" borderId="10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/>
    <xf numFmtId="164" fontId="8" fillId="2" borderId="11" xfId="3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/>
    <xf numFmtId="0" fontId="1" fillId="2" borderId="3" xfId="0" applyFont="1" applyFill="1" applyBorder="1"/>
    <xf numFmtId="169" fontId="11" fillId="2" borderId="4" xfId="0" applyNumberFormat="1" applyFont="1" applyFill="1" applyBorder="1"/>
    <xf numFmtId="0" fontId="1" fillId="2" borderId="0" xfId="0" applyFont="1" applyFill="1"/>
    <xf numFmtId="0" fontId="11" fillId="2" borderId="5" xfId="3" applyFont="1" applyFill="1" applyBorder="1" applyProtection="1"/>
    <xf numFmtId="14" fontId="11" fillId="2" borderId="5" xfId="3" applyNumberFormat="1" applyFont="1" applyFill="1" applyBorder="1" applyAlignment="1" applyProtection="1">
      <alignment horizontal="center"/>
    </xf>
    <xf numFmtId="0" fontId="11" fillId="2" borderId="5" xfId="3" applyFont="1" applyFill="1" applyBorder="1" applyAlignment="1" applyProtection="1">
      <alignment horizontal="center"/>
    </xf>
    <xf numFmtId="167" fontId="11" fillId="2" borderId="5" xfId="1" applyNumberFormat="1" applyFont="1" applyFill="1" applyBorder="1" applyProtection="1"/>
    <xf numFmtId="0" fontId="11" fillId="2" borderId="0" xfId="0" applyFont="1" applyFill="1"/>
    <xf numFmtId="1" fontId="12" fillId="10" borderId="10" xfId="3" applyNumberFormat="1" applyFont="1" applyFill="1" applyBorder="1" applyAlignment="1" applyProtection="1">
      <alignment horizontal="center" vertical="center"/>
    </xf>
    <xf numFmtId="1" fontId="12" fillId="10" borderId="0" xfId="3" applyNumberFormat="1" applyFont="1" applyFill="1" applyBorder="1" applyAlignment="1" applyProtection="1">
      <alignment horizontal="center" vertical="center"/>
    </xf>
    <xf numFmtId="164" fontId="8" fillId="10" borderId="6" xfId="3" applyNumberFormat="1" applyFont="1" applyFill="1" applyBorder="1" applyAlignment="1" applyProtection="1">
      <alignment horizontal="center" vertical="center"/>
    </xf>
    <xf numFmtId="0" fontId="8" fillId="10" borderId="0" xfId="0" applyFont="1" applyFill="1"/>
    <xf numFmtId="164" fontId="8" fillId="10" borderId="10" xfId="3" applyNumberFormat="1" applyFont="1" applyFill="1" applyBorder="1" applyAlignment="1" applyProtection="1">
      <alignment horizontal="center" vertical="center"/>
    </xf>
    <xf numFmtId="164" fontId="8" fillId="10" borderId="0" xfId="3" applyNumberFormat="1" applyFont="1" applyFill="1" applyBorder="1" applyAlignment="1" applyProtection="1">
      <alignment horizontal="center" vertical="center"/>
    </xf>
    <xf numFmtId="0" fontId="8" fillId="10" borderId="0" xfId="0" applyFont="1" applyFill="1" applyAlignment="1"/>
    <xf numFmtId="164" fontId="8" fillId="10" borderId="11" xfId="3" applyNumberFormat="1" applyFont="1" applyFill="1" applyBorder="1" applyAlignment="1" applyProtection="1">
      <alignment horizontal="center" vertical="center"/>
    </xf>
    <xf numFmtId="0" fontId="11" fillId="9" borderId="16" xfId="3" applyFont="1" applyFill="1" applyBorder="1" applyAlignment="1" applyProtection="1">
      <alignment horizontal="center"/>
    </xf>
    <xf numFmtId="14" fontId="11" fillId="9" borderId="0" xfId="3" applyNumberFormat="1" applyFont="1" applyFill="1" applyBorder="1" applyAlignment="1" applyProtection="1">
      <alignment horizontal="center"/>
    </xf>
    <xf numFmtId="0" fontId="11" fillId="9" borderId="0" xfId="3" applyFont="1" applyFill="1" applyBorder="1" applyAlignment="1" applyProtection="1">
      <alignment horizontal="center"/>
    </xf>
    <xf numFmtId="167" fontId="11" fillId="9" borderId="17" xfId="1" applyNumberFormat="1" applyFont="1" applyFill="1" applyBorder="1" applyProtection="1"/>
    <xf numFmtId="0" fontId="11" fillId="9" borderId="0" xfId="3" applyFont="1" applyFill="1" applyProtection="1"/>
    <xf numFmtId="0" fontId="11" fillId="6" borderId="18" xfId="3" applyFont="1" applyFill="1" applyBorder="1" applyAlignment="1" applyProtection="1">
      <alignment horizontal="left"/>
    </xf>
    <xf numFmtId="14" fontId="11" fillId="6" borderId="19" xfId="3" applyNumberFormat="1" applyFont="1" applyFill="1" applyBorder="1" applyAlignment="1" applyProtection="1">
      <alignment horizontal="center"/>
    </xf>
    <xf numFmtId="0" fontId="11" fillId="6" borderId="19" xfId="3" applyFont="1" applyFill="1" applyBorder="1" applyAlignment="1" applyProtection="1">
      <alignment horizontal="center"/>
    </xf>
    <xf numFmtId="167" fontId="11" fillId="6" borderId="20" xfId="1" applyNumberFormat="1" applyFont="1" applyFill="1" applyBorder="1" applyProtection="1"/>
    <xf numFmtId="0" fontId="11" fillId="9" borderId="0" xfId="0" applyFont="1" applyFill="1"/>
    <xf numFmtId="168" fontId="11" fillId="9" borderId="0" xfId="3" applyNumberFormat="1" applyFont="1" applyFill="1" applyProtection="1"/>
    <xf numFmtId="0" fontId="11" fillId="6" borderId="0" xfId="0" applyFont="1" applyFill="1"/>
    <xf numFmtId="168" fontId="11" fillId="6" borderId="0" xfId="3" applyNumberFormat="1" applyFont="1" applyFill="1" applyProtection="1"/>
    <xf numFmtId="167" fontId="11" fillId="9" borderId="0" xfId="3" applyNumberFormat="1" applyFont="1" applyFill="1" applyProtection="1"/>
    <xf numFmtId="0" fontId="2" fillId="0" borderId="0" xfId="0" applyFont="1" applyBorder="1"/>
    <xf numFmtId="0" fontId="16" fillId="0" borderId="0" xfId="0" applyFont="1"/>
    <xf numFmtId="168" fontId="11" fillId="9" borderId="0" xfId="3" applyNumberFormat="1" applyFont="1" applyFill="1" applyAlignment="1" applyProtection="1">
      <alignment horizontal="center"/>
    </xf>
    <xf numFmtId="164" fontId="3" fillId="2" borderId="21" xfId="3" applyNumberFormat="1" applyFont="1" applyFill="1" applyBorder="1" applyAlignment="1" applyProtection="1">
      <alignment horizontal="center" vertical="center"/>
    </xf>
    <xf numFmtId="164" fontId="3" fillId="2" borderId="2" xfId="3" applyNumberFormat="1" applyFont="1" applyFill="1" applyBorder="1" applyAlignment="1" applyProtection="1">
      <alignment horizontal="center" vertical="center"/>
    </xf>
    <xf numFmtId="164" fontId="3" fillId="2" borderId="3" xfId="3" applyNumberFormat="1" applyFont="1" applyFill="1" applyBorder="1" applyAlignment="1" applyProtection="1">
      <alignment horizontal="center" vertical="center"/>
    </xf>
    <xf numFmtId="164" fontId="3" fillId="2" borderId="4" xfId="3" applyNumberFormat="1" applyFont="1" applyFill="1" applyBorder="1" applyAlignment="1" applyProtection="1">
      <alignment horizontal="center" vertical="center"/>
    </xf>
    <xf numFmtId="164" fontId="3" fillId="2" borderId="6" xfId="3" applyNumberFormat="1" applyFont="1" applyFill="1" applyBorder="1" applyAlignment="1" applyProtection="1">
      <alignment horizontal="center" vertical="center"/>
    </xf>
    <xf numFmtId="168" fontId="11" fillId="2" borderId="0" xfId="3" applyNumberFormat="1" applyFont="1" applyFill="1" applyBorder="1" applyProtection="1"/>
    <xf numFmtId="0" fontId="7" fillId="2" borderId="0" xfId="0" applyFont="1" applyFill="1"/>
    <xf numFmtId="168" fontId="11" fillId="6" borderId="0" xfId="3" applyNumberFormat="1" applyFont="1" applyFill="1" applyBorder="1" applyProtection="1"/>
    <xf numFmtId="0" fontId="2" fillId="11" borderId="0" xfId="0" applyFont="1" applyFill="1"/>
    <xf numFmtId="0" fontId="4" fillId="11" borderId="0" xfId="0" applyFont="1" applyFill="1"/>
    <xf numFmtId="0" fontId="2" fillId="11" borderId="0" xfId="0" applyFont="1" applyFill="1" applyAlignment="1"/>
    <xf numFmtId="0" fontId="0" fillId="11" borderId="0" xfId="0" applyFill="1"/>
    <xf numFmtId="168" fontId="11" fillId="9" borderId="0" xfId="3" applyNumberFormat="1" applyFont="1" applyFill="1" applyBorder="1" applyProtection="1"/>
    <xf numFmtId="0" fontId="18" fillId="2" borderId="0" xfId="0" applyFont="1" applyFill="1"/>
    <xf numFmtId="0" fontId="18" fillId="0" borderId="0" xfId="0" applyFont="1"/>
    <xf numFmtId="0" fontId="18" fillId="0" borderId="0" xfId="0" applyFont="1" applyAlignment="1"/>
    <xf numFmtId="0" fontId="18" fillId="4" borderId="0" xfId="0" applyFont="1" applyFill="1" applyAlignment="1"/>
    <xf numFmtId="0" fontId="18" fillId="5" borderId="0" xfId="0" applyFont="1" applyFill="1" applyAlignment="1"/>
    <xf numFmtId="0" fontId="11" fillId="9" borderId="2" xfId="0" applyFont="1" applyFill="1" applyBorder="1"/>
    <xf numFmtId="0" fontId="11" fillId="9" borderId="3" xfId="0" applyFont="1" applyFill="1" applyBorder="1"/>
    <xf numFmtId="168" fontId="11" fillId="9" borderId="4" xfId="3" applyNumberFormat="1" applyFont="1" applyFill="1" applyBorder="1" applyProtection="1"/>
    <xf numFmtId="0" fontId="11" fillId="6" borderId="10" xfId="0" applyFont="1" applyFill="1" applyBorder="1"/>
    <xf numFmtId="0" fontId="11" fillId="6" borderId="0" xfId="0" applyFont="1" applyFill="1" applyBorder="1"/>
    <xf numFmtId="168" fontId="11" fillId="6" borderId="11" xfId="3" applyNumberFormat="1" applyFont="1" applyFill="1" applyBorder="1" applyProtection="1"/>
    <xf numFmtId="0" fontId="11" fillId="9" borderId="10" xfId="0" applyFont="1" applyFill="1" applyBorder="1"/>
    <xf numFmtId="0" fontId="11" fillId="9" borderId="0" xfId="0" applyFont="1" applyFill="1" applyBorder="1"/>
    <xf numFmtId="168" fontId="11" fillId="9" borderId="11" xfId="3" applyNumberFormat="1" applyFont="1" applyFill="1" applyBorder="1" applyProtection="1"/>
    <xf numFmtId="0" fontId="4" fillId="0" borderId="7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19" fillId="2" borderId="13" xfId="3" applyFont="1" applyFill="1" applyBorder="1" applyAlignment="1" applyProtection="1">
      <alignment horizontal="center" vertical="center"/>
    </xf>
    <xf numFmtId="0" fontId="19" fillId="2" borderId="14" xfId="3" applyFont="1" applyFill="1" applyBorder="1" applyAlignment="1" applyProtection="1">
      <alignment horizontal="center" vertical="center"/>
    </xf>
    <xf numFmtId="0" fontId="19" fillId="2" borderId="12" xfId="3" applyFont="1" applyFill="1" applyBorder="1" applyAlignment="1" applyProtection="1">
      <alignment horizontal="center" vertical="center"/>
    </xf>
    <xf numFmtId="0" fontId="19" fillId="2" borderId="13" xfId="3" applyFont="1" applyFill="1" applyBorder="1" applyAlignment="1" applyProtection="1">
      <alignment horizontal="center" vertical="center" wrapText="1"/>
    </xf>
    <xf numFmtId="0" fontId="19" fillId="2" borderId="14" xfId="3" applyFont="1" applyFill="1" applyBorder="1" applyAlignment="1" applyProtection="1">
      <alignment horizontal="center" vertical="center" wrapText="1"/>
    </xf>
    <xf numFmtId="0" fontId="18" fillId="2" borderId="0" xfId="0" applyFont="1" applyFill="1" applyAlignment="1"/>
    <xf numFmtId="0" fontId="2" fillId="2" borderId="0" xfId="0" applyFont="1" applyFill="1" applyAlignment="1"/>
    <xf numFmtId="0" fontId="11" fillId="2" borderId="10" xfId="0" applyFont="1" applyFill="1" applyBorder="1"/>
    <xf numFmtId="0" fontId="11" fillId="2" borderId="0" xfId="0" applyFont="1" applyFill="1" applyBorder="1"/>
    <xf numFmtId="168" fontId="11" fillId="2" borderId="11" xfId="3" applyNumberFormat="1" applyFont="1" applyFill="1" applyBorder="1" applyProtection="1"/>
    <xf numFmtId="168" fontId="11" fillId="9" borderId="8" xfId="3" applyNumberFormat="1" applyFont="1" applyFill="1" applyBorder="1" applyProtection="1"/>
    <xf numFmtId="0" fontId="11" fillId="9" borderId="13" xfId="0" applyFont="1" applyFill="1" applyBorder="1"/>
    <xf numFmtId="0" fontId="11" fillId="9" borderId="14" xfId="0" applyFont="1" applyFill="1" applyBorder="1"/>
    <xf numFmtId="168" fontId="11" fillId="9" borderId="15" xfId="3" applyNumberFormat="1" applyFont="1" applyFill="1" applyBorder="1" applyProtection="1"/>
    <xf numFmtId="0" fontId="11" fillId="6" borderId="2" xfId="0" applyFont="1" applyFill="1" applyBorder="1"/>
    <xf numFmtId="0" fontId="11" fillId="6" borderId="3" xfId="0" applyFont="1" applyFill="1" applyBorder="1"/>
    <xf numFmtId="168" fontId="11" fillId="6" borderId="4" xfId="3" applyNumberFormat="1" applyFont="1" applyFill="1" applyBorder="1" applyProtection="1"/>
    <xf numFmtId="168" fontId="11" fillId="9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18" fillId="0" borderId="0" xfId="0" applyNumberFormat="1" applyFont="1"/>
    <xf numFmtId="166" fontId="20" fillId="8" borderId="2" xfId="3" applyNumberFormat="1" applyFont="1" applyFill="1" applyBorder="1" applyAlignment="1" applyProtection="1">
      <alignment horizontal="left" vertical="center"/>
    </xf>
    <xf numFmtId="166" fontId="20" fillId="8" borderId="3" xfId="3" quotePrefix="1" applyNumberFormat="1" applyFont="1" applyFill="1" applyBorder="1" applyAlignment="1" applyProtection="1">
      <alignment horizontal="left" vertical="center"/>
    </xf>
    <xf numFmtId="166" fontId="13" fillId="2" borderId="3" xfId="3" quotePrefix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/>
    <xf numFmtId="0" fontId="2" fillId="0" borderId="3" xfId="0" applyFont="1" applyBorder="1"/>
    <xf numFmtId="168" fontId="16" fillId="2" borderId="3" xfId="1" applyNumberFormat="1" applyFont="1" applyFill="1" applyBorder="1" applyAlignment="1">
      <alignment vertical="center"/>
    </xf>
    <xf numFmtId="168" fontId="16" fillId="2" borderId="4" xfId="1" applyNumberFormat="1" applyFont="1" applyFill="1" applyBorder="1" applyAlignment="1">
      <alignment vertical="center"/>
    </xf>
    <xf numFmtId="0" fontId="1" fillId="0" borderId="0" xfId="0" applyFont="1" applyAlignment="1"/>
    <xf numFmtId="0" fontId="11" fillId="0" borderId="0" xfId="0" applyFont="1"/>
    <xf numFmtId="167" fontId="11" fillId="0" borderId="0" xfId="1" applyNumberFormat="1" applyFont="1" applyAlignment="1"/>
    <xf numFmtId="14" fontId="8" fillId="2" borderId="0" xfId="0" applyNumberFormat="1" applyFont="1" applyFill="1"/>
    <xf numFmtId="14" fontId="8" fillId="0" borderId="0" xfId="0" applyNumberFormat="1" applyFont="1"/>
    <xf numFmtId="14" fontId="8" fillId="0" borderId="0" xfId="0" applyNumberFormat="1" applyFont="1" applyAlignment="1"/>
    <xf numFmtId="14" fontId="3" fillId="0" borderId="0" xfId="0" applyNumberFormat="1" applyFont="1"/>
    <xf numFmtId="43" fontId="8" fillId="0" borderId="0" xfId="1" applyFont="1"/>
    <xf numFmtId="43" fontId="8" fillId="0" borderId="0" xfId="0" applyNumberFormat="1" applyFont="1"/>
    <xf numFmtId="1" fontId="17" fillId="2" borderId="2" xfId="3" applyNumberFormat="1" applyFont="1" applyFill="1" applyBorder="1" applyAlignment="1" applyProtection="1">
      <alignment horizontal="center" vertical="center"/>
    </xf>
    <xf numFmtId="1" fontId="17" fillId="2" borderId="3" xfId="3" applyNumberFormat="1" applyFont="1" applyFill="1" applyBorder="1" applyAlignment="1" applyProtection="1">
      <alignment horizontal="center" vertical="center"/>
    </xf>
    <xf numFmtId="1" fontId="17" fillId="2" borderId="4" xfId="3" applyNumberFormat="1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2" fillId="2" borderId="7" xfId="3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2" borderId="7" xfId="3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2" fillId="2" borderId="8" xfId="3" applyNumberFormat="1" applyFont="1" applyFill="1" applyBorder="1" applyAlignment="1" applyProtection="1">
      <alignment horizontal="center" vertical="center"/>
    </xf>
    <xf numFmtId="1" fontId="12" fillId="2" borderId="9" xfId="3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3">
    <cellStyle name="Normal" xfId="0" builtinId="0"/>
    <cellStyle name="Normal 2" xfId="3"/>
    <cellStyle name="Normal 3" xfId="2"/>
    <cellStyle name="Normal 3 2" xfId="4"/>
    <cellStyle name="Separador de milhares" xfId="1" builtinId="3"/>
    <cellStyle name="Separador de milhares 15" xfId="5"/>
    <cellStyle name="Separador de milhares 2" xfId="6"/>
    <cellStyle name="Separador de milhares 2 2" xfId="7"/>
    <cellStyle name="Separador de milhares 2 2 2" xfId="8"/>
    <cellStyle name="Separador de milhares 2 2 2 2" xfId="9"/>
    <cellStyle name="Separador de milhares 2 2 3" xfId="10"/>
    <cellStyle name="Separador de milhares 3" xfId="11"/>
    <cellStyle name="Separador de milhares 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301"/>
  <sheetViews>
    <sheetView showGridLines="0" tabSelected="1" topLeftCell="C1" zoomScale="40" zoomScaleNormal="40" workbookViewId="0">
      <pane xSplit="8" ySplit="6" topLeftCell="K7" activePane="bottomRight" state="frozen"/>
      <selection activeCell="C1" sqref="C1"/>
      <selection pane="topRight" activeCell="K1" sqref="K1"/>
      <selection pane="bottomLeft" activeCell="C7" sqref="C7"/>
      <selection pane="bottomRight" activeCell="K19" sqref="K19"/>
    </sheetView>
  </sheetViews>
  <sheetFormatPr defaultRowHeight="27"/>
  <cols>
    <col min="1" max="1" width="18.42578125" style="2" hidden="1" customWidth="1"/>
    <col min="2" max="2" width="0" style="2" hidden="1" customWidth="1"/>
    <col min="3" max="3" width="32.42578125" style="2" customWidth="1"/>
    <col min="4" max="5" width="10.7109375" style="4" customWidth="1"/>
    <col min="6" max="6" width="21" style="4" customWidth="1"/>
    <col min="7" max="7" width="33" style="5" customWidth="1"/>
    <col min="8" max="8" width="3.28515625" style="5" customWidth="1"/>
    <col min="9" max="9" width="30.7109375" style="6" customWidth="1"/>
    <col min="10" max="10" width="5.5703125" style="2" customWidth="1"/>
    <col min="11" max="11" width="26.42578125" style="2" customWidth="1"/>
    <col min="12" max="12" width="36.85546875" style="2" customWidth="1"/>
    <col min="13" max="16" width="30.7109375" style="2" customWidth="1"/>
    <col min="17" max="17" width="30.7109375" style="7" customWidth="1"/>
    <col min="18" max="18" width="26.7109375" style="7" customWidth="1"/>
    <col min="19" max="19" width="30.7109375" style="7" customWidth="1"/>
    <col min="20" max="20" width="33.5703125" style="7" customWidth="1"/>
    <col min="21" max="21" width="33.28515625" style="7" customWidth="1"/>
    <col min="22" max="22" width="1.7109375" style="7" customWidth="1"/>
    <col min="23" max="23" width="35.42578125" customWidth="1"/>
    <col min="24" max="24" width="30.7109375" customWidth="1"/>
    <col min="25" max="25" width="1.7109375" style="7" customWidth="1"/>
    <col min="26" max="28" width="30.7109375" customWidth="1"/>
    <col min="29" max="29" width="30.7109375" style="7" customWidth="1"/>
    <col min="30" max="30" width="1.7109375" style="7" customWidth="1"/>
    <col min="31" max="34" width="30.7109375" style="7" customWidth="1"/>
    <col min="35" max="35" width="37.140625" style="7" customWidth="1"/>
    <col min="36" max="36" width="1.7109375" style="7" customWidth="1"/>
    <col min="37" max="37" width="30.7109375" style="7" customWidth="1"/>
    <col min="38" max="38" width="15.7109375" style="7" customWidth="1"/>
    <col min="39" max="39" width="34.7109375" style="7" customWidth="1"/>
    <col min="40" max="40" width="39.7109375" style="7" customWidth="1"/>
    <col min="41" max="56" width="34.7109375" style="7" customWidth="1"/>
    <col min="57" max="57" width="34.7109375" customWidth="1"/>
    <col min="58" max="58" width="92.42578125" style="7" hidden="1" customWidth="1"/>
    <col min="59" max="59" width="18" style="2" hidden="1" customWidth="1"/>
    <col min="60" max="60" width="59.85546875" style="2" hidden="1" customWidth="1"/>
    <col min="61" max="61" width="33.140625" style="2" hidden="1" customWidth="1"/>
    <col min="62" max="62" width="15.7109375" style="2" hidden="1" customWidth="1"/>
    <col min="63" max="63" width="67.28515625" style="9" hidden="1" customWidth="1"/>
    <col min="64" max="64" width="26.28515625" style="9" hidden="1" customWidth="1"/>
    <col min="65" max="65" width="23.140625" style="9" hidden="1" customWidth="1"/>
    <col min="66" max="66" width="25.7109375" style="9" hidden="1" customWidth="1"/>
    <col min="67" max="71" width="15.7109375" style="9" hidden="1" customWidth="1"/>
    <col min="72" max="86" width="15.7109375" style="2" hidden="1" customWidth="1"/>
    <col min="87" max="87" width="26.85546875" style="2" hidden="1" customWidth="1"/>
    <col min="88" max="92" width="15.7109375" style="2" customWidth="1"/>
    <col min="93" max="93" width="27.42578125" style="7" bestFit="1" customWidth="1"/>
    <col min="94" max="94" width="29.28515625" style="7" bestFit="1" customWidth="1"/>
    <col min="95" max="121" width="15.7109375" style="2" customWidth="1"/>
    <col min="122" max="16384" width="9.140625" style="2"/>
  </cols>
  <sheetData>
    <row r="1" spans="1:94" ht="63" customHeight="1">
      <c r="A1" s="1"/>
      <c r="C1" s="3">
        <f>+I36-11429876</f>
        <v>0.49200007133185863</v>
      </c>
      <c r="S1" s="8">
        <v>311</v>
      </c>
      <c r="T1" s="8">
        <v>313</v>
      </c>
      <c r="U1" s="8">
        <v>314</v>
      </c>
      <c r="V1" s="8"/>
      <c r="W1" s="8">
        <v>321</v>
      </c>
      <c r="X1" s="8">
        <v>322</v>
      </c>
      <c r="Y1" s="8"/>
      <c r="Z1" s="8">
        <v>331</v>
      </c>
      <c r="AA1" s="8">
        <v>332</v>
      </c>
      <c r="AB1" s="8">
        <v>333</v>
      </c>
      <c r="AC1" s="8">
        <v>333</v>
      </c>
      <c r="AD1" s="8"/>
      <c r="AE1" s="8">
        <v>351</v>
      </c>
      <c r="AF1" s="8">
        <v>352</v>
      </c>
      <c r="AG1" s="8">
        <v>353</v>
      </c>
      <c r="AH1" s="8">
        <v>360</v>
      </c>
      <c r="AI1" s="8">
        <v>370</v>
      </c>
    </row>
    <row r="2" spans="1:94" s="10" customFormat="1" ht="24.75" customHeight="1">
      <c r="D2" s="11" t="s">
        <v>0</v>
      </c>
      <c r="G2" s="12"/>
      <c r="H2" s="12"/>
      <c r="I2" s="12"/>
      <c r="K2" s="13"/>
      <c r="L2" s="14" t="s">
        <v>151</v>
      </c>
      <c r="Q2" s="15"/>
      <c r="R2" s="15"/>
      <c r="S2" s="15"/>
      <c r="T2" s="15"/>
      <c r="U2" s="15"/>
      <c r="V2" s="15"/>
      <c r="Y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/>
      <c r="BF2" s="15"/>
      <c r="BK2" s="18"/>
      <c r="BL2" s="18"/>
      <c r="BM2" s="18"/>
      <c r="BN2" s="18"/>
      <c r="BO2" s="18"/>
      <c r="BP2" s="18"/>
      <c r="BQ2" s="18"/>
      <c r="BR2" s="18"/>
      <c r="BS2" s="18"/>
      <c r="CO2" s="15"/>
      <c r="CP2" s="15"/>
    </row>
    <row r="3" spans="1:94" ht="36" customHeight="1" thickBot="1">
      <c r="D3" s="19"/>
      <c r="H3" s="20"/>
      <c r="J3" s="4"/>
      <c r="K3" s="21"/>
      <c r="L3" s="22"/>
      <c r="M3"/>
      <c r="N3"/>
      <c r="O3"/>
      <c r="P3"/>
      <c r="AL3" s="23"/>
      <c r="AM3" s="24"/>
      <c r="AN3" s="24"/>
      <c r="AO3" s="24"/>
      <c r="AP3" s="24"/>
      <c r="AQ3" s="25"/>
      <c r="AR3" s="25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F3" s="26"/>
      <c r="BG3" s="27" t="s">
        <v>1</v>
      </c>
      <c r="BH3" s="26"/>
      <c r="BI3" s="28" t="str">
        <f>+L2</f>
        <v>DEZEMBRO - 2016</v>
      </c>
      <c r="BJ3" s="26"/>
      <c r="BK3" s="29" t="s">
        <v>2</v>
      </c>
      <c r="BL3" s="30" t="s">
        <v>3</v>
      </c>
      <c r="BM3" s="30" t="s">
        <v>4</v>
      </c>
      <c r="BN3" s="31" t="s">
        <v>5</v>
      </c>
      <c r="BO3" s="29"/>
      <c r="BP3" s="29"/>
      <c r="BQ3" s="29"/>
      <c r="BR3" s="29"/>
      <c r="BS3" s="29"/>
    </row>
    <row r="4" spans="1:94" s="7" customFormat="1" ht="62.25" customHeight="1" thickBot="1">
      <c r="D4" s="32"/>
      <c r="E4" s="32"/>
      <c r="F4" s="32"/>
      <c r="G4" s="33"/>
      <c r="H4" s="34"/>
      <c r="I4" s="33"/>
      <c r="K4" s="190" t="s">
        <v>6</v>
      </c>
      <c r="L4" s="191"/>
      <c r="M4" s="191"/>
      <c r="N4" s="191"/>
      <c r="O4" s="191"/>
      <c r="P4" s="191"/>
      <c r="Q4" s="192"/>
      <c r="R4" s="32"/>
      <c r="S4" s="193" t="s">
        <v>7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5"/>
      <c r="AL4" s="35"/>
      <c r="AM4" s="190" t="s">
        <v>8</v>
      </c>
      <c r="AN4" s="191"/>
      <c r="AO4" s="191"/>
      <c r="AP4" s="191"/>
      <c r="AQ4" s="191"/>
      <c r="AR4" s="191"/>
      <c r="AS4" s="191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7"/>
      <c r="BE4"/>
      <c r="BF4" s="36" t="s">
        <v>9</v>
      </c>
      <c r="BG4" s="37">
        <v>9</v>
      </c>
      <c r="BH4" s="38"/>
      <c r="BI4" s="39">
        <v>31600387</v>
      </c>
      <c r="BJ4" s="26"/>
      <c r="BK4" s="40" t="s">
        <v>10</v>
      </c>
      <c r="BL4" s="41">
        <v>42705</v>
      </c>
      <c r="BM4" s="42">
        <v>314</v>
      </c>
      <c r="BN4" s="43">
        <f>+BI56</f>
        <v>2044943</v>
      </c>
      <c r="BO4" s="44" t="s">
        <v>11</v>
      </c>
      <c r="BP4" s="45"/>
      <c r="BQ4" s="46"/>
      <c r="BR4" s="46"/>
      <c r="BS4" s="46"/>
    </row>
    <row r="5" spans="1:94" ht="54.95" customHeight="1" thickBot="1">
      <c r="D5" s="47"/>
      <c r="E5" s="47"/>
      <c r="F5" s="47"/>
      <c r="G5" s="48" t="s">
        <v>12</v>
      </c>
      <c r="H5" s="20"/>
      <c r="I5" s="48" t="s">
        <v>13</v>
      </c>
      <c r="K5" s="198" t="s">
        <v>14</v>
      </c>
      <c r="L5" s="199"/>
      <c r="M5" s="199"/>
      <c r="N5" s="49">
        <f>SUM(K39:N39)</f>
        <v>5609983.1600000001</v>
      </c>
      <c r="O5" s="200" t="s">
        <v>15</v>
      </c>
      <c r="P5" s="201"/>
      <c r="Q5" s="50" t="s">
        <v>16</v>
      </c>
      <c r="R5" s="32"/>
      <c r="S5" s="51" t="s">
        <v>17</v>
      </c>
      <c r="T5" s="52"/>
      <c r="U5" s="53">
        <f>SUM(S39:U39)</f>
        <v>27818280.770000003</v>
      </c>
      <c r="V5" s="54"/>
      <c r="W5" s="51" t="s">
        <v>18</v>
      </c>
      <c r="X5" s="53">
        <f>SUM(W39:X39)</f>
        <v>1903739.3</v>
      </c>
      <c r="Y5" s="54"/>
      <c r="Z5" s="202" t="s">
        <v>19</v>
      </c>
      <c r="AA5" s="203"/>
      <c r="AB5" s="203"/>
      <c r="AC5" s="53">
        <f>SUM(Z39:AC39)</f>
        <v>5621302.0099999998</v>
      </c>
      <c r="AD5" s="54"/>
      <c r="AE5" s="202" t="s">
        <v>20</v>
      </c>
      <c r="AF5" s="203"/>
      <c r="AG5" s="203"/>
      <c r="AH5" s="203"/>
      <c r="AI5" s="53">
        <f>SUM(AE39:AI39)</f>
        <v>3464893.41</v>
      </c>
      <c r="AJ5" s="54"/>
      <c r="AK5" s="55" t="s">
        <v>16</v>
      </c>
      <c r="AL5" s="35"/>
      <c r="AM5" s="56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8"/>
      <c r="BF5" s="36" t="s">
        <v>21</v>
      </c>
      <c r="BG5" s="37">
        <v>9</v>
      </c>
      <c r="BH5" s="38"/>
      <c r="BI5" s="59">
        <f>-BI58</f>
        <v>-150000</v>
      </c>
      <c r="BJ5" s="26"/>
      <c r="BK5" s="60" t="s">
        <v>22</v>
      </c>
      <c r="BL5" s="61">
        <v>42711</v>
      </c>
      <c r="BM5" s="62">
        <v>314</v>
      </c>
      <c r="BN5" s="63">
        <f>+BI55</f>
        <v>863376</v>
      </c>
      <c r="BO5" s="64" t="s">
        <v>23</v>
      </c>
      <c r="BP5" s="65"/>
      <c r="BQ5" s="66"/>
      <c r="BR5" s="66"/>
      <c r="BS5" s="66"/>
      <c r="CO5"/>
      <c r="CP5"/>
    </row>
    <row r="6" spans="1:94" ht="81" customHeight="1" thickBot="1">
      <c r="D6" s="47" t="s">
        <v>152</v>
      </c>
      <c r="E6" s="47" t="s">
        <v>153</v>
      </c>
      <c r="F6" s="47" t="s">
        <v>154</v>
      </c>
      <c r="G6" s="67"/>
      <c r="H6" s="20"/>
      <c r="I6" s="67"/>
      <c r="K6" s="68" t="s">
        <v>24</v>
      </c>
      <c r="L6" s="69" t="s">
        <v>25</v>
      </c>
      <c r="M6" s="69" t="s">
        <v>26</v>
      </c>
      <c r="N6" s="69" t="s">
        <v>27</v>
      </c>
      <c r="O6" s="68" t="s">
        <v>28</v>
      </c>
      <c r="P6" s="69" t="s">
        <v>29</v>
      </c>
      <c r="Q6" s="70" t="s">
        <v>30</v>
      </c>
      <c r="R6" s="71"/>
      <c r="S6" s="68" t="s">
        <v>31</v>
      </c>
      <c r="T6" s="69" t="s">
        <v>32</v>
      </c>
      <c r="U6" s="72" t="s">
        <v>33</v>
      </c>
      <c r="V6" s="73"/>
      <c r="W6" s="68" t="s">
        <v>34</v>
      </c>
      <c r="X6" s="72" t="s">
        <v>35</v>
      </c>
      <c r="Y6" s="73"/>
      <c r="Z6" s="68" t="s">
        <v>36</v>
      </c>
      <c r="AA6" s="69" t="s">
        <v>37</v>
      </c>
      <c r="AB6" s="69" t="s">
        <v>38</v>
      </c>
      <c r="AC6" s="72" t="s">
        <v>39</v>
      </c>
      <c r="AD6" s="73"/>
      <c r="AE6" s="68" t="s">
        <v>40</v>
      </c>
      <c r="AF6" s="69" t="s">
        <v>41</v>
      </c>
      <c r="AG6" s="69" t="s">
        <v>42</v>
      </c>
      <c r="AH6" s="69" t="s">
        <v>43</v>
      </c>
      <c r="AI6" s="72" t="s">
        <v>44</v>
      </c>
      <c r="AJ6" s="73"/>
      <c r="AK6" s="70" t="s">
        <v>45</v>
      </c>
      <c r="AL6" s="74"/>
      <c r="AM6" s="68" t="s">
        <v>46</v>
      </c>
      <c r="AN6" s="69" t="s">
        <v>47</v>
      </c>
      <c r="AO6" s="69" t="s">
        <v>48</v>
      </c>
      <c r="AP6" s="69" t="s">
        <v>49</v>
      </c>
      <c r="AQ6" s="69" t="s">
        <v>50</v>
      </c>
      <c r="AR6" s="69" t="s">
        <v>51</v>
      </c>
      <c r="AS6" s="69" t="s">
        <v>52</v>
      </c>
      <c r="AT6" s="69" t="s">
        <v>53</v>
      </c>
      <c r="AU6" s="69" t="s">
        <v>54</v>
      </c>
      <c r="AV6" s="69" t="s">
        <v>55</v>
      </c>
      <c r="AW6" s="69" t="s">
        <v>56</v>
      </c>
      <c r="AX6" s="69" t="s">
        <v>57</v>
      </c>
      <c r="AY6" s="69" t="s">
        <v>58</v>
      </c>
      <c r="AZ6" s="69" t="s">
        <v>59</v>
      </c>
      <c r="BA6" s="69" t="s">
        <v>60</v>
      </c>
      <c r="BB6" s="69" t="s">
        <v>61</v>
      </c>
      <c r="BC6" s="69" t="s">
        <v>62</v>
      </c>
      <c r="BD6" s="72" t="s">
        <v>63</v>
      </c>
      <c r="BF6" s="36" t="s">
        <v>64</v>
      </c>
      <c r="BG6" s="37"/>
      <c r="BH6" s="38"/>
      <c r="BI6" s="39">
        <f>SUM(BI4:BI5)</f>
        <v>31450387</v>
      </c>
      <c r="BJ6" s="26"/>
      <c r="BK6" s="40" t="s">
        <v>65</v>
      </c>
      <c r="BL6" s="41">
        <v>42711</v>
      </c>
      <c r="BM6" s="42">
        <v>314</v>
      </c>
      <c r="BN6" s="43">
        <f>+BI51</f>
        <v>1698760</v>
      </c>
      <c r="BO6" s="46"/>
      <c r="BP6" s="46"/>
      <c r="BQ6" s="46"/>
      <c r="BR6" s="46"/>
      <c r="BS6" s="46"/>
      <c r="CO6"/>
      <c r="CP6"/>
    </row>
    <row r="7" spans="1:94" ht="54.95" customHeight="1" thickBot="1">
      <c r="D7" s="198" t="s">
        <v>155</v>
      </c>
      <c r="E7" s="204">
        <v>0</v>
      </c>
      <c r="F7" s="205">
        <v>0</v>
      </c>
      <c r="G7" s="75">
        <v>0</v>
      </c>
      <c r="H7" s="12"/>
      <c r="I7" s="75">
        <v>2745452.8220000723</v>
      </c>
      <c r="J7" s="10"/>
      <c r="K7" s="76">
        <v>0</v>
      </c>
      <c r="L7" s="77">
        <v>0</v>
      </c>
      <c r="M7" s="77">
        <v>0</v>
      </c>
      <c r="N7" s="77">
        <f>SUM(AM7:BD7)</f>
        <v>0</v>
      </c>
      <c r="O7" s="76">
        <v>0</v>
      </c>
      <c r="P7" s="77">
        <v>0</v>
      </c>
      <c r="Q7" s="75">
        <f>SUM(K7:P7)</f>
        <v>0</v>
      </c>
      <c r="R7" s="15"/>
      <c r="S7" s="76">
        <v>0</v>
      </c>
      <c r="T7" s="77">
        <v>0</v>
      </c>
      <c r="U7" s="78">
        <v>0</v>
      </c>
      <c r="V7" s="79"/>
      <c r="W7" s="76">
        <v>0</v>
      </c>
      <c r="X7" s="78">
        <v>0</v>
      </c>
      <c r="Y7" s="79"/>
      <c r="Z7" s="76">
        <v>0</v>
      </c>
      <c r="AA7" s="77">
        <v>0</v>
      </c>
      <c r="AB7" s="77">
        <v>0</v>
      </c>
      <c r="AC7" s="78">
        <v>0</v>
      </c>
      <c r="AD7" s="79"/>
      <c r="AE7" s="76">
        <v>0</v>
      </c>
      <c r="AF7" s="77">
        <v>0</v>
      </c>
      <c r="AG7" s="77">
        <v>0</v>
      </c>
      <c r="AH7" s="77">
        <v>0</v>
      </c>
      <c r="AI7" s="78">
        <v>0</v>
      </c>
      <c r="AJ7" s="79"/>
      <c r="AK7" s="75">
        <f>SUM(S7:AI7)</f>
        <v>0</v>
      </c>
      <c r="AL7" s="16"/>
      <c r="AM7" s="76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8">
        <v>0</v>
      </c>
      <c r="BF7" s="36" t="s">
        <v>66</v>
      </c>
      <c r="BG7" s="37"/>
      <c r="BH7" s="38"/>
      <c r="BI7" s="39">
        <f>SUM(BI44:BI54)-BI51</f>
        <v>31450387</v>
      </c>
      <c r="BJ7" s="26"/>
      <c r="BK7" s="60" t="s">
        <v>67</v>
      </c>
      <c r="BL7" s="61">
        <v>42716</v>
      </c>
      <c r="BM7" s="62">
        <v>321</v>
      </c>
      <c r="BN7" s="63">
        <f>+BI58</f>
        <v>150000</v>
      </c>
      <c r="BO7" s="29"/>
      <c r="BP7" s="29"/>
      <c r="BQ7" s="29"/>
      <c r="BR7" s="29"/>
      <c r="BS7" s="29"/>
      <c r="CO7"/>
      <c r="CP7"/>
    </row>
    <row r="8" spans="1:94" s="5" customFormat="1" ht="54.95" customHeight="1" thickBot="1">
      <c r="D8" s="80">
        <v>1</v>
      </c>
      <c r="E8" s="81" t="s">
        <v>156</v>
      </c>
      <c r="F8" s="81" t="s">
        <v>68</v>
      </c>
      <c r="G8" s="82">
        <f t="shared" ref="G8:G38" si="0">+I7</f>
        <v>2745452.8220000723</v>
      </c>
      <c r="H8" s="12"/>
      <c r="I8" s="82">
        <f t="shared" ref="I8:I39" si="1">+G8+Q8-AK8</f>
        <v>7772221.7620000727</v>
      </c>
      <c r="J8" s="12"/>
      <c r="K8" s="83">
        <v>4752.25</v>
      </c>
      <c r="L8" s="79">
        <v>0</v>
      </c>
      <c r="M8" s="79">
        <v>9639.7800000000007</v>
      </c>
      <c r="N8" s="79">
        <f t="shared" ref="N8:N38" si="2">SUM(AM8:BD8)</f>
        <v>15525.59</v>
      </c>
      <c r="O8" s="83">
        <v>0</v>
      </c>
      <c r="P8" s="79">
        <v>8026415.9800000004</v>
      </c>
      <c r="Q8" s="82">
        <f t="shared" ref="Q8:Q38" si="3">SUM(K8:P8)</f>
        <v>8056333.6000000006</v>
      </c>
      <c r="R8" s="84"/>
      <c r="S8" s="83">
        <v>26078.99</v>
      </c>
      <c r="T8" s="79">
        <v>0</v>
      </c>
      <c r="U8" s="85">
        <f>2111735.52-2888.41</f>
        <v>2108847.11</v>
      </c>
      <c r="V8" s="79"/>
      <c r="W8" s="83">
        <f>10179.63+27473.79+168.65</f>
        <v>37822.07</v>
      </c>
      <c r="X8" s="85">
        <v>196110.35</v>
      </c>
      <c r="Y8" s="79"/>
      <c r="Z8" s="83">
        <v>0</v>
      </c>
      <c r="AA8" s="79">
        <v>643453.81999999995</v>
      </c>
      <c r="AB8" s="79">
        <v>0</v>
      </c>
      <c r="AC8" s="85">
        <v>0</v>
      </c>
      <c r="AD8" s="79"/>
      <c r="AE8" s="83">
        <v>15111.87</v>
      </c>
      <c r="AF8" s="79">
        <v>26.48</v>
      </c>
      <c r="AG8" s="79">
        <v>2113.9699999999998</v>
      </c>
      <c r="AH8" s="79">
        <v>0</v>
      </c>
      <c r="AI8" s="85">
        <v>0</v>
      </c>
      <c r="AJ8" s="79"/>
      <c r="AK8" s="82">
        <f t="shared" ref="AK8" si="4">SUM(S8:AI8)</f>
        <v>3029564.66</v>
      </c>
      <c r="AL8" s="16"/>
      <c r="AM8" s="83">
        <v>420.99</v>
      </c>
      <c r="AN8" s="79">
        <f>8980.73-1915.38-50</f>
        <v>7015.3499999999995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50</v>
      </c>
      <c r="AU8" s="79">
        <v>1915.38</v>
      </c>
      <c r="AV8" s="79">
        <v>6123.87</v>
      </c>
      <c r="AW8" s="79">
        <v>0</v>
      </c>
      <c r="AX8" s="79">
        <v>0</v>
      </c>
      <c r="AY8" s="79">
        <v>0</v>
      </c>
      <c r="AZ8" s="79">
        <v>0</v>
      </c>
      <c r="BA8" s="79">
        <v>0</v>
      </c>
      <c r="BB8" s="79">
        <v>0</v>
      </c>
      <c r="BC8" s="79">
        <v>0</v>
      </c>
      <c r="BD8" s="85">
        <v>0</v>
      </c>
      <c r="BE8" s="6"/>
      <c r="BF8" s="86" t="s">
        <v>69</v>
      </c>
      <c r="BG8" s="87"/>
      <c r="BH8" s="87"/>
      <c r="BI8" s="88">
        <f>+BI6-BI7</f>
        <v>0</v>
      </c>
      <c r="BJ8" s="89"/>
      <c r="BK8" s="90" t="s">
        <v>70</v>
      </c>
      <c r="BL8" s="91">
        <v>42718</v>
      </c>
      <c r="BM8" s="92">
        <v>311</v>
      </c>
      <c r="BN8" s="93">
        <f>+BN19</f>
        <v>3689957.25</v>
      </c>
      <c r="BO8" s="94"/>
      <c r="BP8" s="94"/>
      <c r="BQ8" s="94"/>
      <c r="BR8" s="94"/>
      <c r="BS8" s="94"/>
      <c r="CO8" s="6"/>
      <c r="CP8" s="6"/>
    </row>
    <row r="9" spans="1:94" s="5" customFormat="1" ht="54.95" customHeight="1" thickBot="1">
      <c r="D9" s="80">
        <v>2</v>
      </c>
      <c r="E9" s="81" t="s">
        <v>157</v>
      </c>
      <c r="F9" s="81" t="s">
        <v>68</v>
      </c>
      <c r="G9" s="82">
        <f t="shared" si="0"/>
        <v>7772221.7620000727</v>
      </c>
      <c r="H9" s="12"/>
      <c r="I9" s="82">
        <f t="shared" si="1"/>
        <v>7765260.3520000726</v>
      </c>
      <c r="J9" s="12"/>
      <c r="K9" s="83">
        <v>1847.03</v>
      </c>
      <c r="L9" s="79">
        <v>0</v>
      </c>
      <c r="M9" s="79">
        <v>5920.31</v>
      </c>
      <c r="N9" s="79">
        <f t="shared" si="2"/>
        <v>50882.93</v>
      </c>
      <c r="O9" s="83">
        <v>0</v>
      </c>
      <c r="P9" s="79">
        <v>0</v>
      </c>
      <c r="Q9" s="82">
        <f t="shared" si="3"/>
        <v>58650.270000000004</v>
      </c>
      <c r="R9" s="84"/>
      <c r="S9" s="83">
        <f>14046.43-4800</f>
        <v>9246.43</v>
      </c>
      <c r="T9" s="79">
        <v>0</v>
      </c>
      <c r="U9" s="85">
        <v>0</v>
      </c>
      <c r="V9" s="79"/>
      <c r="W9" s="83">
        <v>19563.52</v>
      </c>
      <c r="X9" s="85">
        <v>23000</v>
      </c>
      <c r="Y9" s="79"/>
      <c r="Z9" s="83">
        <v>0</v>
      </c>
      <c r="AA9" s="79">
        <v>13149.17</v>
      </c>
      <c r="AB9" s="79">
        <v>0</v>
      </c>
      <c r="AC9" s="85">
        <v>0</v>
      </c>
      <c r="AD9" s="79"/>
      <c r="AE9" s="83">
        <v>201.1</v>
      </c>
      <c r="AF9" s="79">
        <v>44.46</v>
      </c>
      <c r="AG9" s="79">
        <v>407</v>
      </c>
      <c r="AH9" s="79">
        <v>0</v>
      </c>
      <c r="AI9" s="85">
        <v>0</v>
      </c>
      <c r="AJ9" s="79"/>
      <c r="AK9" s="82">
        <f t="shared" ref="AK9:AK38" si="5">SUM(S9:AI9)</f>
        <v>65611.679999999993</v>
      </c>
      <c r="AL9" s="16"/>
      <c r="AM9" s="83">
        <v>219.97</v>
      </c>
      <c r="AN9" s="79">
        <f>50662.96-50000-646</f>
        <v>16.959999999999127</v>
      </c>
      <c r="AO9" s="79">
        <v>0</v>
      </c>
      <c r="AP9" s="79">
        <v>0</v>
      </c>
      <c r="AQ9" s="79">
        <v>0</v>
      </c>
      <c r="AR9" s="79">
        <v>0</v>
      </c>
      <c r="AS9" s="79">
        <v>0</v>
      </c>
      <c r="AT9" s="79">
        <v>646</v>
      </c>
      <c r="AU9" s="79">
        <v>0</v>
      </c>
      <c r="AV9" s="79">
        <v>50000</v>
      </c>
      <c r="AW9" s="79">
        <v>0</v>
      </c>
      <c r="AX9" s="79">
        <v>0</v>
      </c>
      <c r="AY9" s="79">
        <v>0</v>
      </c>
      <c r="AZ9" s="79">
        <v>0</v>
      </c>
      <c r="BA9" s="79">
        <v>0</v>
      </c>
      <c r="BB9" s="79">
        <v>0</v>
      </c>
      <c r="BC9" s="79">
        <v>0</v>
      </c>
      <c r="BD9" s="85">
        <v>0</v>
      </c>
      <c r="BE9" s="6"/>
      <c r="BF9" s="86"/>
      <c r="BG9" s="87"/>
      <c r="BH9" s="87"/>
      <c r="BI9" s="88"/>
      <c r="BJ9" s="89"/>
      <c r="BK9" s="90" t="s">
        <v>71</v>
      </c>
      <c r="BL9" s="91">
        <v>42725</v>
      </c>
      <c r="BM9" s="92">
        <v>314</v>
      </c>
      <c r="BN9" s="93">
        <f>+BI57</f>
        <v>9139717</v>
      </c>
      <c r="BO9" s="94" t="s">
        <v>72</v>
      </c>
      <c r="BP9" s="94"/>
      <c r="BQ9" s="94"/>
      <c r="BR9" s="94"/>
      <c r="BS9" s="94"/>
      <c r="CO9" s="6"/>
      <c r="CP9" s="6"/>
    </row>
    <row r="10" spans="1:94" ht="54.95" hidden="1" customHeight="1">
      <c r="D10" s="95">
        <v>3</v>
      </c>
      <c r="E10" s="96" t="s">
        <v>158</v>
      </c>
      <c r="F10" s="96"/>
      <c r="G10" s="97">
        <f t="shared" si="0"/>
        <v>7765260.3520000726</v>
      </c>
      <c r="H10" s="98"/>
      <c r="I10" s="97">
        <f t="shared" si="1"/>
        <v>7765260.3520000726</v>
      </c>
      <c r="J10" s="98"/>
      <c r="K10" s="99">
        <v>0</v>
      </c>
      <c r="L10" s="100">
        <v>0</v>
      </c>
      <c r="M10" s="100">
        <v>0</v>
      </c>
      <c r="N10" s="100">
        <f t="shared" si="2"/>
        <v>0</v>
      </c>
      <c r="O10" s="99">
        <v>0</v>
      </c>
      <c r="P10" s="100">
        <v>0</v>
      </c>
      <c r="Q10" s="97">
        <f t="shared" si="3"/>
        <v>0</v>
      </c>
      <c r="R10" s="101"/>
      <c r="S10" s="99">
        <v>0</v>
      </c>
      <c r="T10" s="100">
        <v>0</v>
      </c>
      <c r="U10" s="102">
        <v>0</v>
      </c>
      <c r="V10" s="100"/>
      <c r="W10" s="99">
        <v>0</v>
      </c>
      <c r="X10" s="102">
        <v>0</v>
      </c>
      <c r="Y10" s="100"/>
      <c r="Z10" s="99">
        <v>0</v>
      </c>
      <c r="AA10" s="100">
        <v>0</v>
      </c>
      <c r="AB10" s="100">
        <v>0</v>
      </c>
      <c r="AC10" s="102">
        <v>0</v>
      </c>
      <c r="AD10" s="100"/>
      <c r="AE10" s="99">
        <v>0</v>
      </c>
      <c r="AF10" s="100">
        <v>0</v>
      </c>
      <c r="AG10" s="100">
        <v>0</v>
      </c>
      <c r="AH10" s="100">
        <v>0</v>
      </c>
      <c r="AI10" s="102">
        <v>0</v>
      </c>
      <c r="AJ10" s="100"/>
      <c r="AK10" s="97">
        <f t="shared" si="5"/>
        <v>0</v>
      </c>
      <c r="AL10" s="16"/>
      <c r="AM10" s="99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2">
        <v>0</v>
      </c>
      <c r="BF10" s="2"/>
      <c r="BK10" s="103" t="s">
        <v>73</v>
      </c>
      <c r="BL10" s="104"/>
      <c r="BM10" s="105"/>
      <c r="BN10" s="106">
        <f>-BN6</f>
        <v>-1698760</v>
      </c>
      <c r="BO10" s="107"/>
      <c r="BP10" s="107"/>
      <c r="BQ10" s="107"/>
      <c r="BR10" s="107"/>
      <c r="BS10" s="107"/>
      <c r="CO10"/>
      <c r="CP10"/>
    </row>
    <row r="11" spans="1:94" ht="54.95" hidden="1" customHeight="1">
      <c r="D11" s="95">
        <v>4</v>
      </c>
      <c r="E11" s="96" t="s">
        <v>159</v>
      </c>
      <c r="F11" s="96"/>
      <c r="G11" s="97">
        <f t="shared" si="0"/>
        <v>7765260.3520000726</v>
      </c>
      <c r="H11" s="98"/>
      <c r="I11" s="97">
        <f t="shared" si="1"/>
        <v>7765260.3520000726</v>
      </c>
      <c r="J11" s="98"/>
      <c r="K11" s="99">
        <v>0</v>
      </c>
      <c r="L11" s="100">
        <v>0</v>
      </c>
      <c r="M11" s="100">
        <v>0</v>
      </c>
      <c r="N11" s="100">
        <f t="shared" si="2"/>
        <v>0</v>
      </c>
      <c r="O11" s="99">
        <v>0</v>
      </c>
      <c r="P11" s="100">
        <v>0</v>
      </c>
      <c r="Q11" s="97">
        <f t="shared" si="3"/>
        <v>0</v>
      </c>
      <c r="R11" s="101"/>
      <c r="S11" s="99">
        <v>0</v>
      </c>
      <c r="T11" s="100">
        <v>0</v>
      </c>
      <c r="U11" s="102">
        <v>0</v>
      </c>
      <c r="V11" s="100"/>
      <c r="W11" s="99">
        <v>0</v>
      </c>
      <c r="X11" s="102">
        <v>0</v>
      </c>
      <c r="Y11" s="100"/>
      <c r="Z11" s="99">
        <v>0</v>
      </c>
      <c r="AA11" s="100">
        <v>0</v>
      </c>
      <c r="AB11" s="100">
        <v>0</v>
      </c>
      <c r="AC11" s="102">
        <v>0</v>
      </c>
      <c r="AD11" s="100"/>
      <c r="AE11" s="99">
        <v>0</v>
      </c>
      <c r="AF11" s="100">
        <v>0</v>
      </c>
      <c r="AG11" s="100">
        <v>0</v>
      </c>
      <c r="AH11" s="100">
        <v>0</v>
      </c>
      <c r="AI11" s="102">
        <v>0</v>
      </c>
      <c r="AJ11" s="100"/>
      <c r="AK11" s="97">
        <f t="shared" si="5"/>
        <v>0</v>
      </c>
      <c r="AL11" s="16"/>
      <c r="AM11" s="99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2">
        <v>0</v>
      </c>
      <c r="BF11"/>
      <c r="BG11"/>
      <c r="BH11"/>
      <c r="BI11"/>
      <c r="BK11" s="108" t="s">
        <v>74</v>
      </c>
      <c r="BL11" s="109"/>
      <c r="BM11" s="110"/>
      <c r="BN11" s="111">
        <f>+BN9+BN10</f>
        <v>7440957</v>
      </c>
      <c r="BO11" s="66"/>
      <c r="BP11" s="66"/>
      <c r="BQ11" s="66"/>
      <c r="BR11" s="66"/>
      <c r="BS11" s="66"/>
      <c r="CO11"/>
      <c r="CP11"/>
    </row>
    <row r="12" spans="1:94" s="5" customFormat="1" ht="54.95" customHeight="1" thickBot="1">
      <c r="D12" s="80">
        <v>5</v>
      </c>
      <c r="E12" s="81" t="s">
        <v>160</v>
      </c>
      <c r="F12" s="81" t="s">
        <v>68</v>
      </c>
      <c r="G12" s="82">
        <f t="shared" si="0"/>
        <v>7765260.3520000726</v>
      </c>
      <c r="H12" s="12"/>
      <c r="I12" s="82">
        <f t="shared" si="1"/>
        <v>13919189.792000072</v>
      </c>
      <c r="J12" s="12"/>
      <c r="K12" s="83">
        <v>1144.77</v>
      </c>
      <c r="L12" s="79">
        <v>0</v>
      </c>
      <c r="M12" s="79">
        <v>1462.86</v>
      </c>
      <c r="N12" s="79">
        <f t="shared" si="2"/>
        <v>463721.6</v>
      </c>
      <c r="O12" s="83">
        <v>0</v>
      </c>
      <c r="P12" s="79">
        <v>6505373.3499999996</v>
      </c>
      <c r="Q12" s="82">
        <f t="shared" si="3"/>
        <v>6971702.5800000001</v>
      </c>
      <c r="R12" s="84"/>
      <c r="S12" s="83">
        <f>9043.13+2273.37+4800</f>
        <v>16116.5</v>
      </c>
      <c r="T12" s="79">
        <v>0</v>
      </c>
      <c r="U12" s="85">
        <v>19995.7</v>
      </c>
      <c r="V12" s="79"/>
      <c r="W12" s="83">
        <v>181.34</v>
      </c>
      <c r="X12" s="85">
        <v>0</v>
      </c>
      <c r="Y12" s="79"/>
      <c r="Z12" s="83">
        <f>672325.69-670032</f>
        <v>2293.6899999999441</v>
      </c>
      <c r="AA12" s="79">
        <v>670032.42000000004</v>
      </c>
      <c r="AB12" s="79">
        <v>0</v>
      </c>
      <c r="AC12" s="85">
        <v>0</v>
      </c>
      <c r="AD12" s="79"/>
      <c r="AE12" s="83">
        <v>108177.82</v>
      </c>
      <c r="AF12" s="79">
        <v>31.07</v>
      </c>
      <c r="AG12" s="79">
        <f>335.6+609</f>
        <v>944.6</v>
      </c>
      <c r="AH12" s="79">
        <v>0</v>
      </c>
      <c r="AI12" s="85">
        <v>0</v>
      </c>
      <c r="AJ12" s="79"/>
      <c r="AK12" s="82">
        <f t="shared" si="5"/>
        <v>817773.1399999999</v>
      </c>
      <c r="AL12" s="16"/>
      <c r="AM12" s="83">
        <v>858.3</v>
      </c>
      <c r="AN12" s="79">
        <f>819.18-552</f>
        <v>267.17999999999995</v>
      </c>
      <c r="AO12" s="79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552</v>
      </c>
      <c r="AU12" s="79">
        <v>0</v>
      </c>
      <c r="AV12" s="79">
        <v>459678.19</v>
      </c>
      <c r="AW12" s="79">
        <v>0</v>
      </c>
      <c r="AX12" s="79">
        <v>0</v>
      </c>
      <c r="AY12" s="79">
        <v>0</v>
      </c>
      <c r="AZ12" s="79">
        <v>0</v>
      </c>
      <c r="BA12" s="79">
        <v>0</v>
      </c>
      <c r="BB12" s="79">
        <v>0</v>
      </c>
      <c r="BC12" s="79">
        <v>2365.9299999999998</v>
      </c>
      <c r="BD12" s="85">
        <v>0</v>
      </c>
      <c r="BE12" s="6"/>
      <c r="BF12" s="86"/>
      <c r="BG12" s="87"/>
      <c r="BH12" s="87"/>
      <c r="BI12" s="88"/>
      <c r="BJ12" s="89"/>
      <c r="BK12" s="90" t="s">
        <v>75</v>
      </c>
      <c r="BL12" s="91">
        <v>42730</v>
      </c>
      <c r="BM12" s="92" t="s">
        <v>76</v>
      </c>
      <c r="BN12" s="93">
        <f>+BI59</f>
        <v>1084180</v>
      </c>
      <c r="BO12" s="94"/>
      <c r="BP12" s="94"/>
      <c r="BQ12" s="94"/>
      <c r="BR12" s="94"/>
      <c r="BS12" s="94"/>
      <c r="CO12" s="6"/>
      <c r="CP12" s="6"/>
    </row>
    <row r="13" spans="1:94" s="5" customFormat="1" ht="54.95" customHeight="1" thickBot="1">
      <c r="D13" s="80">
        <v>6</v>
      </c>
      <c r="E13" s="81" t="s">
        <v>161</v>
      </c>
      <c r="F13" s="81" t="s">
        <v>68</v>
      </c>
      <c r="G13" s="82">
        <f t="shared" si="0"/>
        <v>13919189.792000072</v>
      </c>
      <c r="H13" s="12"/>
      <c r="I13" s="82">
        <f t="shared" si="1"/>
        <v>13393044.832000071</v>
      </c>
      <c r="J13" s="12"/>
      <c r="K13" s="83">
        <v>1182.6600000000001</v>
      </c>
      <c r="L13" s="79">
        <v>385.2</v>
      </c>
      <c r="M13" s="79">
        <v>1511.27</v>
      </c>
      <c r="N13" s="79">
        <f t="shared" si="2"/>
        <v>92469.89</v>
      </c>
      <c r="O13" s="83">
        <v>0</v>
      </c>
      <c r="P13" s="79">
        <v>0</v>
      </c>
      <c r="Q13" s="82">
        <f t="shared" si="3"/>
        <v>95549.02</v>
      </c>
      <c r="R13" s="84"/>
      <c r="S13" s="83">
        <v>3633.94</v>
      </c>
      <c r="T13" s="79">
        <v>0</v>
      </c>
      <c r="U13" s="85">
        <v>350150.06</v>
      </c>
      <c r="V13" s="79"/>
      <c r="W13" s="83">
        <f>9159.63+156625.62-11580.28+48162.6-385.08</f>
        <v>201982.49000000002</v>
      </c>
      <c r="X13" s="85">
        <v>0</v>
      </c>
      <c r="Y13" s="79"/>
      <c r="Z13" s="83">
        <v>0</v>
      </c>
      <c r="AA13" s="79">
        <v>0</v>
      </c>
      <c r="AB13" s="79">
        <v>0</v>
      </c>
      <c r="AC13" s="85">
        <v>0</v>
      </c>
      <c r="AD13" s="79"/>
      <c r="AE13" s="83">
        <v>64271.19</v>
      </c>
      <c r="AF13" s="79">
        <v>156.30000000000001</v>
      </c>
      <c r="AG13" s="79">
        <v>1500</v>
      </c>
      <c r="AH13" s="79">
        <v>0</v>
      </c>
      <c r="AI13" s="85">
        <v>0</v>
      </c>
      <c r="AJ13" s="79"/>
      <c r="AK13" s="82">
        <f t="shared" si="5"/>
        <v>621693.98</v>
      </c>
      <c r="AL13" s="16"/>
      <c r="AM13" s="83">
        <v>804.63</v>
      </c>
      <c r="AN13" s="79">
        <f>376.83-250-66.83-60</f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60</v>
      </c>
      <c r="AU13" s="79">
        <v>250</v>
      </c>
      <c r="AV13" s="79">
        <v>91288.43</v>
      </c>
      <c r="AW13" s="79">
        <v>0</v>
      </c>
      <c r="AX13" s="79">
        <v>0</v>
      </c>
      <c r="AY13" s="79">
        <v>66.83</v>
      </c>
      <c r="AZ13" s="79">
        <v>0</v>
      </c>
      <c r="BA13" s="79">
        <v>0</v>
      </c>
      <c r="BB13" s="79">
        <v>0</v>
      </c>
      <c r="BC13" s="79">
        <v>0</v>
      </c>
      <c r="BD13" s="85">
        <v>0</v>
      </c>
      <c r="BE13" s="6"/>
      <c r="BF13" s="86" t="s">
        <v>77</v>
      </c>
      <c r="BG13" s="87">
        <v>810</v>
      </c>
      <c r="BH13" s="87" t="s">
        <v>78</v>
      </c>
      <c r="BI13" s="88">
        <v>0</v>
      </c>
      <c r="BJ13" s="89"/>
      <c r="BK13" s="90" t="s">
        <v>79</v>
      </c>
      <c r="BL13" s="91">
        <v>42732</v>
      </c>
      <c r="BM13" s="92">
        <v>311</v>
      </c>
      <c r="BN13" s="93">
        <v>4509947.75</v>
      </c>
      <c r="BO13" s="94"/>
      <c r="BP13" s="94"/>
      <c r="BQ13" s="94"/>
      <c r="BR13" s="94"/>
      <c r="BS13" s="94"/>
      <c r="CO13" s="6"/>
      <c r="CP13" s="6"/>
    </row>
    <row r="14" spans="1:94" s="5" customFormat="1" ht="54.95" customHeight="1" thickBot="1">
      <c r="D14" s="80">
        <v>7</v>
      </c>
      <c r="E14" s="81" t="s">
        <v>162</v>
      </c>
      <c r="F14" s="81" t="s">
        <v>68</v>
      </c>
      <c r="G14" s="82">
        <f t="shared" si="0"/>
        <v>13393044.832000071</v>
      </c>
      <c r="H14" s="12"/>
      <c r="I14" s="82">
        <f t="shared" si="1"/>
        <v>11229933.992000073</v>
      </c>
      <c r="J14" s="12"/>
      <c r="K14" s="83">
        <v>1539.79</v>
      </c>
      <c r="L14" s="79">
        <v>0</v>
      </c>
      <c r="M14" s="79">
        <v>1906.86</v>
      </c>
      <c r="N14" s="79">
        <f t="shared" si="2"/>
        <v>1946.23</v>
      </c>
      <c r="O14" s="83">
        <v>0</v>
      </c>
      <c r="P14" s="79">
        <v>0</v>
      </c>
      <c r="Q14" s="82">
        <f t="shared" si="3"/>
        <v>5392.8799999999992</v>
      </c>
      <c r="R14" s="84"/>
      <c r="S14" s="83">
        <v>160620.26999999999</v>
      </c>
      <c r="T14" s="79">
        <v>0</v>
      </c>
      <c r="U14" s="85">
        <v>1554983.7</v>
      </c>
      <c r="V14" s="79"/>
      <c r="W14" s="83">
        <f>323.18-323.18</f>
        <v>0</v>
      </c>
      <c r="X14" s="85">
        <v>1495.43</v>
      </c>
      <c r="Y14" s="79"/>
      <c r="Z14" s="83">
        <v>9970.4</v>
      </c>
      <c r="AA14" s="79">
        <f>26863.34-9970</f>
        <v>16893.34</v>
      </c>
      <c r="AB14" s="79">
        <v>0</v>
      </c>
      <c r="AC14" s="85">
        <v>0</v>
      </c>
      <c r="AD14" s="79"/>
      <c r="AE14" s="83">
        <f>400019.6+24198.85</f>
        <v>424218.44999999995</v>
      </c>
      <c r="AF14" s="79">
        <v>12.13</v>
      </c>
      <c r="AG14" s="79">
        <v>310</v>
      </c>
      <c r="AH14" s="79">
        <v>0</v>
      </c>
      <c r="AI14" s="85">
        <v>0</v>
      </c>
      <c r="AJ14" s="79"/>
      <c r="AK14" s="82">
        <f t="shared" si="5"/>
        <v>2168503.7199999997</v>
      </c>
      <c r="AL14" s="16"/>
      <c r="AM14" s="83">
        <v>1101.43</v>
      </c>
      <c r="AN14" s="79">
        <f>844.8-646-100</f>
        <v>98.799999999999955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f>646+100</f>
        <v>746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</v>
      </c>
      <c r="BB14" s="79">
        <v>0</v>
      </c>
      <c r="BC14" s="79">
        <v>0</v>
      </c>
      <c r="BD14" s="85">
        <v>0</v>
      </c>
      <c r="BE14" s="6"/>
      <c r="BF14" s="86" t="s">
        <v>80</v>
      </c>
      <c r="BG14" s="87">
        <v>728</v>
      </c>
      <c r="BH14" s="87" t="s">
        <v>81</v>
      </c>
      <c r="BI14" s="88">
        <v>0</v>
      </c>
      <c r="BJ14" s="89"/>
      <c r="BK14" s="90" t="s">
        <v>82</v>
      </c>
      <c r="BL14" s="91"/>
      <c r="BM14" s="92">
        <v>311</v>
      </c>
      <c r="BN14" s="93">
        <v>0</v>
      </c>
      <c r="BO14" s="94"/>
      <c r="BP14" s="94"/>
      <c r="BQ14" s="94"/>
      <c r="BR14" s="94"/>
      <c r="BS14" s="94"/>
      <c r="CO14" s="6"/>
      <c r="CP14" s="6"/>
    </row>
    <row r="15" spans="1:94" s="5" customFormat="1" ht="54.95" customHeight="1" thickBot="1">
      <c r="D15" s="80">
        <v>8</v>
      </c>
      <c r="E15" s="81" t="s">
        <v>156</v>
      </c>
      <c r="F15" s="81" t="s">
        <v>68</v>
      </c>
      <c r="G15" s="82">
        <f t="shared" si="0"/>
        <v>11229933.992000073</v>
      </c>
      <c r="H15" s="12"/>
      <c r="I15" s="82">
        <f t="shared" si="1"/>
        <v>10202730.712000074</v>
      </c>
      <c r="J15" s="12"/>
      <c r="K15" s="83">
        <v>1807.79</v>
      </c>
      <c r="L15" s="79">
        <v>0</v>
      </c>
      <c r="M15" s="79">
        <v>2090.52</v>
      </c>
      <c r="N15" s="79">
        <f t="shared" si="2"/>
        <v>176745.43</v>
      </c>
      <c r="O15" s="83">
        <v>0</v>
      </c>
      <c r="P15" s="79">
        <v>0</v>
      </c>
      <c r="Q15" s="82">
        <f t="shared" si="3"/>
        <v>180643.74</v>
      </c>
      <c r="R15" s="84"/>
      <c r="S15" s="83">
        <v>10720.82</v>
      </c>
      <c r="T15" s="79">
        <v>0</v>
      </c>
      <c r="U15" s="85">
        <v>0</v>
      </c>
      <c r="V15" s="79"/>
      <c r="W15" s="83">
        <f>27471.88+970.99</f>
        <v>28442.870000000003</v>
      </c>
      <c r="X15" s="85">
        <v>2800.52</v>
      </c>
      <c r="Y15" s="79"/>
      <c r="Z15" s="83">
        <v>15075.52</v>
      </c>
      <c r="AA15" s="79">
        <f>1157061.04-Z15</f>
        <v>1141985.52</v>
      </c>
      <c r="AB15" s="79">
        <v>0</v>
      </c>
      <c r="AC15" s="85">
        <v>0</v>
      </c>
      <c r="AD15" s="79"/>
      <c r="AE15" s="83">
        <v>0</v>
      </c>
      <c r="AF15" s="79">
        <f>8205+16.77</f>
        <v>8221.77</v>
      </c>
      <c r="AG15" s="79">
        <v>600</v>
      </c>
      <c r="AH15" s="79">
        <v>0</v>
      </c>
      <c r="AI15" s="85">
        <v>0</v>
      </c>
      <c r="AJ15" s="79"/>
      <c r="AK15" s="82">
        <f t="shared" si="5"/>
        <v>1207847.02</v>
      </c>
      <c r="AL15" s="16"/>
      <c r="AM15" s="83">
        <v>1204.57</v>
      </c>
      <c r="AN15" s="79">
        <v>14.42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33483.32</v>
      </c>
      <c r="AW15" s="79">
        <f>79505.82+62537.3</f>
        <v>142043.12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85">
        <v>0</v>
      </c>
      <c r="BE15" s="6"/>
      <c r="BF15" s="86" t="s">
        <v>83</v>
      </c>
      <c r="BG15" s="87"/>
      <c r="BH15" s="87"/>
      <c r="BI15" s="88">
        <v>467991</v>
      </c>
      <c r="BJ15" s="89"/>
      <c r="BK15" s="90" t="s">
        <v>84</v>
      </c>
      <c r="BL15" s="91"/>
      <c r="BM15" s="92">
        <v>370</v>
      </c>
      <c r="BN15" s="93">
        <f>+$AQ$72</f>
        <v>0</v>
      </c>
      <c r="BO15" s="94"/>
      <c r="BP15" s="94"/>
      <c r="BQ15" s="94"/>
      <c r="BR15" s="94"/>
      <c r="BS15" s="94"/>
      <c r="CO15" s="6"/>
      <c r="CP15" s="6"/>
    </row>
    <row r="16" spans="1:94" s="5" customFormat="1" ht="54.95" customHeight="1" thickBot="1">
      <c r="D16" s="80">
        <v>9</v>
      </c>
      <c r="E16" s="81" t="s">
        <v>157</v>
      </c>
      <c r="F16" s="81" t="s">
        <v>68</v>
      </c>
      <c r="G16" s="82">
        <f t="shared" si="0"/>
        <v>10202730.712000074</v>
      </c>
      <c r="H16" s="12"/>
      <c r="I16" s="82">
        <f t="shared" si="1"/>
        <v>9718809.8020000737</v>
      </c>
      <c r="J16" s="12"/>
      <c r="K16" s="83">
        <v>1447.56</v>
      </c>
      <c r="L16" s="79">
        <v>0</v>
      </c>
      <c r="M16" s="79">
        <v>1673.96</v>
      </c>
      <c r="N16" s="79">
        <f t="shared" si="2"/>
        <v>96350.63</v>
      </c>
      <c r="O16" s="83">
        <v>0</v>
      </c>
      <c r="P16" s="79">
        <v>0</v>
      </c>
      <c r="Q16" s="82">
        <f t="shared" si="3"/>
        <v>99472.150000000009</v>
      </c>
      <c r="R16" s="84"/>
      <c r="S16" s="83">
        <v>0</v>
      </c>
      <c r="T16" s="79">
        <v>14709.55</v>
      </c>
      <c r="U16" s="85">
        <v>2864.95</v>
      </c>
      <c r="V16" s="79"/>
      <c r="W16" s="83">
        <f>73685.36+9397.65+58.01</f>
        <v>83141.01999999999</v>
      </c>
      <c r="X16" s="85">
        <v>0</v>
      </c>
      <c r="Y16" s="79"/>
      <c r="Z16" s="83">
        <v>3139.75</v>
      </c>
      <c r="AA16" s="79">
        <f>184198.7-Z16</f>
        <v>181058.95</v>
      </c>
      <c r="AB16" s="79">
        <v>0</v>
      </c>
      <c r="AC16" s="85">
        <v>0</v>
      </c>
      <c r="AD16" s="79"/>
      <c r="AE16" s="83">
        <v>296586.90000000002</v>
      </c>
      <c r="AF16" s="79">
        <v>-8.06</v>
      </c>
      <c r="AG16" s="79">
        <v>1900</v>
      </c>
      <c r="AH16" s="79">
        <v>0</v>
      </c>
      <c r="AI16" s="85">
        <v>0</v>
      </c>
      <c r="AJ16" s="79"/>
      <c r="AK16" s="82">
        <f t="shared" si="5"/>
        <v>583393.05999999994</v>
      </c>
      <c r="AL16" s="16"/>
      <c r="AM16" s="83">
        <v>1299.6099999999999</v>
      </c>
      <c r="AN16" s="79">
        <v>23.66</v>
      </c>
      <c r="AO16" s="79">
        <v>0</v>
      </c>
      <c r="AP16" s="79">
        <v>0</v>
      </c>
      <c r="AQ16" s="79">
        <v>0</v>
      </c>
      <c r="AR16" s="79">
        <v>0</v>
      </c>
      <c r="AS16" s="79">
        <v>0</v>
      </c>
      <c r="AT16" s="79">
        <v>0</v>
      </c>
      <c r="AU16" s="79">
        <v>0</v>
      </c>
      <c r="AV16" s="79">
        <v>0</v>
      </c>
      <c r="AW16" s="79">
        <f>65815.24+27780.28+1431.84</f>
        <v>95027.36</v>
      </c>
      <c r="AX16" s="79">
        <v>0</v>
      </c>
      <c r="AY16" s="79">
        <v>0</v>
      </c>
      <c r="AZ16" s="79">
        <v>0</v>
      </c>
      <c r="BA16" s="79">
        <v>0</v>
      </c>
      <c r="BB16" s="79">
        <v>0</v>
      </c>
      <c r="BC16" s="79">
        <v>0</v>
      </c>
      <c r="BD16" s="85">
        <v>0</v>
      </c>
      <c r="BE16" s="6"/>
      <c r="BF16" s="86" t="s">
        <v>85</v>
      </c>
      <c r="BG16" s="87" t="s">
        <v>86</v>
      </c>
      <c r="BH16" s="87">
        <v>4</v>
      </c>
      <c r="BI16" s="88">
        <v>2741965</v>
      </c>
      <c r="BJ16" s="89"/>
      <c r="BK16" s="90"/>
      <c r="BL16" s="91"/>
      <c r="BM16" s="92"/>
      <c r="BN16" s="93"/>
      <c r="BO16" s="94"/>
      <c r="BP16" s="94"/>
      <c r="BQ16" s="94"/>
      <c r="BR16" s="94"/>
      <c r="BS16" s="94"/>
      <c r="CO16" s="6"/>
      <c r="CP16" s="6"/>
    </row>
    <row r="17" spans="1:94" ht="54.95" hidden="1" customHeight="1">
      <c r="D17" s="95">
        <v>10</v>
      </c>
      <c r="E17" s="96" t="s">
        <v>158</v>
      </c>
      <c r="F17" s="96"/>
      <c r="G17" s="97">
        <f t="shared" si="0"/>
        <v>9718809.8020000737</v>
      </c>
      <c r="H17" s="98"/>
      <c r="I17" s="97">
        <f t="shared" si="1"/>
        <v>9718809.8020000737</v>
      </c>
      <c r="J17" s="98"/>
      <c r="K17" s="99">
        <v>0</v>
      </c>
      <c r="L17" s="100">
        <v>0</v>
      </c>
      <c r="M17" s="100">
        <v>0</v>
      </c>
      <c r="N17" s="100">
        <f t="shared" si="2"/>
        <v>0</v>
      </c>
      <c r="O17" s="99">
        <v>0</v>
      </c>
      <c r="P17" s="100">
        <v>0</v>
      </c>
      <c r="Q17" s="97">
        <f t="shared" si="3"/>
        <v>0</v>
      </c>
      <c r="R17" s="101"/>
      <c r="S17" s="99">
        <v>0</v>
      </c>
      <c r="T17" s="100">
        <v>0</v>
      </c>
      <c r="U17" s="102">
        <v>0</v>
      </c>
      <c r="V17" s="100"/>
      <c r="W17" s="99">
        <v>0</v>
      </c>
      <c r="X17" s="102">
        <v>0</v>
      </c>
      <c r="Y17" s="100"/>
      <c r="Z17" s="99">
        <v>0</v>
      </c>
      <c r="AA17" s="100">
        <v>0</v>
      </c>
      <c r="AB17" s="100">
        <v>0</v>
      </c>
      <c r="AC17" s="102">
        <v>0</v>
      </c>
      <c r="AD17" s="100"/>
      <c r="AE17" s="99">
        <v>0</v>
      </c>
      <c r="AF17" s="100">
        <v>0</v>
      </c>
      <c r="AG17" s="100">
        <v>0</v>
      </c>
      <c r="AH17" s="100">
        <v>0</v>
      </c>
      <c r="AI17" s="102">
        <v>0</v>
      </c>
      <c r="AJ17" s="100"/>
      <c r="AK17" s="97">
        <f t="shared" si="5"/>
        <v>0</v>
      </c>
      <c r="AL17" s="101"/>
      <c r="AM17" s="99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2">
        <v>0</v>
      </c>
      <c r="BF17" s="112"/>
      <c r="BG17" s="112"/>
      <c r="BH17" s="112"/>
      <c r="BI17" s="113"/>
      <c r="BK17" s="60"/>
      <c r="BL17" s="60"/>
      <c r="BM17" s="60"/>
      <c r="BN17" s="60"/>
      <c r="BO17" s="66"/>
      <c r="BP17" s="66"/>
      <c r="BQ17" s="66"/>
      <c r="BR17" s="66"/>
      <c r="BS17" s="66"/>
      <c r="CO17"/>
      <c r="CP17"/>
    </row>
    <row r="18" spans="1:94" ht="54.95" hidden="1" customHeight="1" thickBot="1">
      <c r="D18" s="95">
        <v>11</v>
      </c>
      <c r="E18" s="96" t="s">
        <v>159</v>
      </c>
      <c r="F18" s="96"/>
      <c r="G18" s="97">
        <f t="shared" si="0"/>
        <v>9718809.8020000737</v>
      </c>
      <c r="H18" s="98"/>
      <c r="I18" s="97">
        <f t="shared" si="1"/>
        <v>9718809.8020000737</v>
      </c>
      <c r="J18" s="98"/>
      <c r="K18" s="99">
        <v>0</v>
      </c>
      <c r="L18" s="100">
        <v>0</v>
      </c>
      <c r="M18" s="100">
        <v>0</v>
      </c>
      <c r="N18" s="100">
        <f t="shared" si="2"/>
        <v>0</v>
      </c>
      <c r="O18" s="99">
        <v>0</v>
      </c>
      <c r="P18" s="100">
        <v>0</v>
      </c>
      <c r="Q18" s="97">
        <f t="shared" si="3"/>
        <v>0</v>
      </c>
      <c r="R18" s="101"/>
      <c r="S18" s="99">
        <v>0</v>
      </c>
      <c r="T18" s="100">
        <v>0</v>
      </c>
      <c r="U18" s="102">
        <v>0</v>
      </c>
      <c r="V18" s="100"/>
      <c r="W18" s="99">
        <v>0</v>
      </c>
      <c r="X18" s="102">
        <v>0</v>
      </c>
      <c r="Y18" s="100"/>
      <c r="Z18" s="99">
        <v>0</v>
      </c>
      <c r="AA18" s="100">
        <v>0</v>
      </c>
      <c r="AB18" s="100">
        <v>0</v>
      </c>
      <c r="AC18" s="102">
        <v>0</v>
      </c>
      <c r="AD18" s="100"/>
      <c r="AE18" s="99">
        <v>0</v>
      </c>
      <c r="AF18" s="100">
        <v>0</v>
      </c>
      <c r="AG18" s="100">
        <v>0</v>
      </c>
      <c r="AH18" s="100">
        <v>0</v>
      </c>
      <c r="AI18" s="102">
        <v>0</v>
      </c>
      <c r="AJ18" s="100"/>
      <c r="AK18" s="97">
        <f t="shared" si="5"/>
        <v>0</v>
      </c>
      <c r="AL18" s="101"/>
      <c r="AM18" s="99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2">
        <v>0</v>
      </c>
      <c r="BF18" s="114"/>
      <c r="BG18" s="114"/>
      <c r="BH18" s="114"/>
      <c r="BI18" s="115"/>
      <c r="BK18" s="107"/>
      <c r="BL18" s="107"/>
      <c r="BM18" s="107"/>
      <c r="BN18" s="116"/>
      <c r="BO18" s="107"/>
      <c r="BP18" s="107"/>
      <c r="BQ18" s="107"/>
      <c r="BR18" s="107"/>
      <c r="BS18" s="107"/>
      <c r="CO18"/>
      <c r="CP18"/>
    </row>
    <row r="19" spans="1:94" s="5" customFormat="1" ht="54.95" customHeight="1" thickBot="1">
      <c r="D19" s="80">
        <v>12</v>
      </c>
      <c r="E19" s="81" t="s">
        <v>160</v>
      </c>
      <c r="F19" s="81" t="s">
        <v>68</v>
      </c>
      <c r="G19" s="82">
        <f t="shared" si="0"/>
        <v>9718809.8020000737</v>
      </c>
      <c r="H19" s="12"/>
      <c r="I19" s="82">
        <f t="shared" si="1"/>
        <v>9480684.9720000736</v>
      </c>
      <c r="J19" s="12"/>
      <c r="K19" s="83">
        <v>13982.48</v>
      </c>
      <c r="L19" s="79">
        <v>1788.1</v>
      </c>
      <c r="M19" s="79">
        <v>10541.85</v>
      </c>
      <c r="N19" s="79">
        <f t="shared" si="2"/>
        <v>5191.91</v>
      </c>
      <c r="O19" s="83">
        <v>0</v>
      </c>
      <c r="P19" s="79">
        <v>0</v>
      </c>
      <c r="Q19" s="82">
        <f t="shared" si="3"/>
        <v>31504.34</v>
      </c>
      <c r="R19" s="84"/>
      <c r="S19" s="83">
        <v>41902.76</v>
      </c>
      <c r="T19" s="79">
        <v>0</v>
      </c>
      <c r="U19" s="85">
        <v>8555.68</v>
      </c>
      <c r="V19" s="79"/>
      <c r="W19" s="83">
        <v>9540.9699999999993</v>
      </c>
      <c r="X19" s="85">
        <v>0</v>
      </c>
      <c r="Y19" s="79"/>
      <c r="Z19" s="83">
        <v>46148.07</v>
      </c>
      <c r="AA19" s="79">
        <f>161229.01-Z19-AB19</f>
        <v>95590.760000000009</v>
      </c>
      <c r="AB19" s="79">
        <v>19490.18</v>
      </c>
      <c r="AC19" s="85">
        <v>0</v>
      </c>
      <c r="AD19" s="79"/>
      <c r="AE19" s="83">
        <v>44215.75</v>
      </c>
      <c r="AF19" s="79">
        <v>475</v>
      </c>
      <c r="AG19" s="79">
        <f>3200+510</f>
        <v>3710</v>
      </c>
      <c r="AH19" s="79">
        <v>0</v>
      </c>
      <c r="AI19" s="85">
        <v>0</v>
      </c>
      <c r="AJ19" s="79"/>
      <c r="AK19" s="82">
        <f t="shared" si="5"/>
        <v>269629.17000000004</v>
      </c>
      <c r="AL19" s="16"/>
      <c r="AM19" s="83">
        <v>2868.57</v>
      </c>
      <c r="AN19" s="79">
        <f>790-740</f>
        <v>50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740</v>
      </c>
      <c r="AU19" s="79">
        <v>0</v>
      </c>
      <c r="AV19" s="79">
        <v>1533.34</v>
      </c>
      <c r="AW19" s="79">
        <v>0</v>
      </c>
      <c r="AX19" s="79">
        <v>0</v>
      </c>
      <c r="AY19" s="79">
        <v>0</v>
      </c>
      <c r="AZ19" s="79">
        <v>0</v>
      </c>
      <c r="BA19" s="79">
        <v>0</v>
      </c>
      <c r="BB19" s="79">
        <v>0</v>
      </c>
      <c r="BC19" s="79">
        <v>0</v>
      </c>
      <c r="BD19" s="85">
        <v>0</v>
      </c>
      <c r="BE19" s="6"/>
      <c r="BF19" s="86"/>
      <c r="BG19" s="87"/>
      <c r="BH19" s="87"/>
      <c r="BI19" s="88"/>
      <c r="BJ19" s="89"/>
      <c r="BK19" s="90" t="s">
        <v>87</v>
      </c>
      <c r="BL19" s="91"/>
      <c r="BM19" s="92"/>
      <c r="BN19" s="93">
        <v>3689957.25</v>
      </c>
      <c r="BO19" s="94"/>
      <c r="BP19" s="94"/>
      <c r="BQ19" s="94"/>
      <c r="BR19" s="94"/>
      <c r="BS19" s="94"/>
      <c r="CO19" s="6"/>
      <c r="CP19" s="6"/>
    </row>
    <row r="20" spans="1:94" s="5" customFormat="1" ht="54.95" customHeight="1" thickBot="1">
      <c r="D20" s="80">
        <v>13</v>
      </c>
      <c r="E20" s="81" t="s">
        <v>161</v>
      </c>
      <c r="F20" s="81" t="s">
        <v>68</v>
      </c>
      <c r="G20" s="82">
        <f t="shared" si="0"/>
        <v>9480684.9720000736</v>
      </c>
      <c r="H20" s="12"/>
      <c r="I20" s="82">
        <f t="shared" si="1"/>
        <v>19797646.262000073</v>
      </c>
      <c r="J20" s="12"/>
      <c r="K20" s="83">
        <v>1947.4699999999993</v>
      </c>
      <c r="L20" s="79">
        <v>0</v>
      </c>
      <c r="M20" s="79">
        <v>4313.25</v>
      </c>
      <c r="N20" s="79">
        <f t="shared" si="2"/>
        <v>1511228.43</v>
      </c>
      <c r="O20" s="83">
        <v>0</v>
      </c>
      <c r="P20" s="79">
        <f>8500000+312182.34</f>
        <v>8812182.3399999999</v>
      </c>
      <c r="Q20" s="82">
        <f t="shared" si="3"/>
        <v>10329671.49</v>
      </c>
      <c r="R20" s="84"/>
      <c r="S20" s="83">
        <v>0</v>
      </c>
      <c r="T20" s="79">
        <v>0</v>
      </c>
      <c r="U20" s="85">
        <v>0</v>
      </c>
      <c r="V20" s="79"/>
      <c r="W20" s="83">
        <f>11098.7+102.65</f>
        <v>11201.35</v>
      </c>
      <c r="X20" s="85">
        <v>1123.51</v>
      </c>
      <c r="Y20" s="79"/>
      <c r="Z20" s="83">
        <v>0</v>
      </c>
      <c r="AA20" s="79">
        <v>0</v>
      </c>
      <c r="AB20" s="79">
        <v>0</v>
      </c>
      <c r="AC20" s="85">
        <v>0</v>
      </c>
      <c r="AD20" s="79"/>
      <c r="AE20" s="83">
        <v>0</v>
      </c>
      <c r="AF20" s="79">
        <v>85.34</v>
      </c>
      <c r="AG20" s="79">
        <v>300</v>
      </c>
      <c r="AH20" s="79">
        <v>0</v>
      </c>
      <c r="AI20" s="85">
        <v>0</v>
      </c>
      <c r="AJ20" s="79"/>
      <c r="AK20" s="82">
        <f t="shared" si="5"/>
        <v>12710.2</v>
      </c>
      <c r="AL20" s="16"/>
      <c r="AM20" s="83">
        <v>1799.16</v>
      </c>
      <c r="AN20" s="79">
        <f>14017.18-210-12558.69-858.54</f>
        <v>389.94999999999982</v>
      </c>
      <c r="AO20" s="79">
        <v>0</v>
      </c>
      <c r="AP20" s="79">
        <v>0</v>
      </c>
      <c r="AQ20" s="79">
        <f>965719.49+467405.17+62287.43</f>
        <v>1495412.0899999999</v>
      </c>
      <c r="AR20" s="79">
        <v>12558.69</v>
      </c>
      <c r="AS20" s="79">
        <v>0</v>
      </c>
      <c r="AT20" s="79">
        <v>858.54</v>
      </c>
      <c r="AU20" s="79">
        <v>0</v>
      </c>
      <c r="AV20" s="79">
        <v>210</v>
      </c>
      <c r="AW20" s="79">
        <v>0</v>
      </c>
      <c r="AX20" s="79">
        <v>0</v>
      </c>
      <c r="AY20" s="79">
        <v>0</v>
      </c>
      <c r="AZ20" s="79">
        <v>0</v>
      </c>
      <c r="BA20" s="79">
        <v>0</v>
      </c>
      <c r="BB20" s="79">
        <v>0</v>
      </c>
      <c r="BC20" s="79">
        <v>0</v>
      </c>
      <c r="BD20" s="85">
        <v>0</v>
      </c>
      <c r="BE20" s="6"/>
      <c r="BF20" s="86"/>
      <c r="BG20" s="87"/>
      <c r="BH20" s="87"/>
      <c r="BI20" s="88"/>
      <c r="BJ20" s="89"/>
      <c r="BK20" s="90"/>
      <c r="BL20" s="91"/>
      <c r="BM20" s="92"/>
      <c r="BN20" s="93"/>
      <c r="BO20" s="94"/>
      <c r="BP20" s="94"/>
      <c r="BQ20" s="94"/>
      <c r="BR20" s="94"/>
      <c r="BS20" s="94"/>
      <c r="CO20" s="6"/>
      <c r="CP20" s="6"/>
    </row>
    <row r="21" spans="1:94" s="5" customFormat="1" ht="54.95" customHeight="1" thickBot="1">
      <c r="D21" s="80">
        <v>14</v>
      </c>
      <c r="E21" s="81" t="s">
        <v>162</v>
      </c>
      <c r="F21" s="81" t="s">
        <v>68</v>
      </c>
      <c r="G21" s="82">
        <f t="shared" si="0"/>
        <v>19797646.262000073</v>
      </c>
      <c r="H21" s="12"/>
      <c r="I21" s="82">
        <f t="shared" si="1"/>
        <v>15721111.262000073</v>
      </c>
      <c r="J21" s="12"/>
      <c r="K21" s="83">
        <v>2211.5500000000002</v>
      </c>
      <c r="L21" s="79">
        <v>0</v>
      </c>
      <c r="M21" s="79">
        <v>2850.09</v>
      </c>
      <c r="N21" s="79">
        <f t="shared" si="2"/>
        <v>3375.68</v>
      </c>
      <c r="O21" s="83">
        <v>0</v>
      </c>
      <c r="P21" s="79">
        <v>0</v>
      </c>
      <c r="Q21" s="82">
        <f t="shared" si="3"/>
        <v>8437.32</v>
      </c>
      <c r="R21" s="84"/>
      <c r="S21" s="83">
        <f>3983396.69+95.24+34025.69</f>
        <v>4017517.62</v>
      </c>
      <c r="T21" s="79">
        <v>0</v>
      </c>
      <c r="U21" s="85">
        <v>51396.92</v>
      </c>
      <c r="V21" s="79"/>
      <c r="W21" s="83">
        <v>9359.6299999999992</v>
      </c>
      <c r="X21" s="85">
        <v>1273.0899999999999</v>
      </c>
      <c r="Y21" s="79"/>
      <c r="Z21" s="83">
        <v>4806.5</v>
      </c>
      <c r="AA21" s="79">
        <v>0</v>
      </c>
      <c r="AB21" s="79">
        <v>0</v>
      </c>
      <c r="AC21" s="85">
        <v>0</v>
      </c>
      <c r="AD21" s="79"/>
      <c r="AE21" s="83">
        <v>0</v>
      </c>
      <c r="AF21" s="79">
        <f>191.53+12.13</f>
        <v>203.66</v>
      </c>
      <c r="AG21" s="79">
        <v>414.9</v>
      </c>
      <c r="AH21" s="79">
        <v>0</v>
      </c>
      <c r="AI21" s="85">
        <v>0</v>
      </c>
      <c r="AJ21" s="79"/>
      <c r="AK21" s="82">
        <f t="shared" si="5"/>
        <v>4084972.32</v>
      </c>
      <c r="AL21" s="16"/>
      <c r="AM21" s="83">
        <v>2292.75</v>
      </c>
      <c r="AN21" s="79">
        <f>911.91-409.06-29.85</f>
        <v>472.99999999999994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409.06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29.85</v>
      </c>
      <c r="BB21" s="79">
        <v>0</v>
      </c>
      <c r="BC21" s="79">
        <v>132.72</v>
      </c>
      <c r="BD21" s="85">
        <v>38.299999999999997</v>
      </c>
      <c r="BE21" s="6"/>
      <c r="BF21" s="86" t="s">
        <v>88</v>
      </c>
      <c r="BG21" s="87"/>
      <c r="BH21" s="87"/>
      <c r="BI21" s="88">
        <v>1754050</v>
      </c>
      <c r="BJ21" s="89"/>
      <c r="BK21" s="90" t="s">
        <v>89</v>
      </c>
      <c r="BL21" s="91">
        <v>42733</v>
      </c>
      <c r="BM21" s="92">
        <v>311</v>
      </c>
      <c r="BN21" s="93">
        <f>+BI45</f>
        <v>2329069</v>
      </c>
      <c r="BO21" s="94"/>
      <c r="BP21" s="94"/>
      <c r="BQ21" s="94"/>
      <c r="BR21" s="94"/>
      <c r="BS21" s="94"/>
      <c r="CO21" s="6"/>
      <c r="CP21" s="6"/>
    </row>
    <row r="22" spans="1:94" s="5" customFormat="1" ht="54.95" customHeight="1" thickBot="1">
      <c r="D22" s="80">
        <v>15</v>
      </c>
      <c r="E22" s="81" t="s">
        <v>156</v>
      </c>
      <c r="F22" s="81" t="s">
        <v>68</v>
      </c>
      <c r="G22" s="82">
        <f t="shared" si="0"/>
        <v>15721111.262000073</v>
      </c>
      <c r="H22" s="12"/>
      <c r="I22" s="82">
        <f t="shared" si="1"/>
        <v>15257430.182000073</v>
      </c>
      <c r="J22" s="12"/>
      <c r="K22" s="83">
        <v>1190.8399999999999</v>
      </c>
      <c r="L22" s="79">
        <v>0</v>
      </c>
      <c r="M22" s="79">
        <v>1534.66</v>
      </c>
      <c r="N22" s="79">
        <f t="shared" si="2"/>
        <v>5201.66</v>
      </c>
      <c r="O22" s="83">
        <v>0</v>
      </c>
      <c r="P22" s="79">
        <v>0</v>
      </c>
      <c r="Q22" s="82">
        <f t="shared" si="3"/>
        <v>7927.16</v>
      </c>
      <c r="R22" s="84"/>
      <c r="S22" s="83">
        <v>8098.91</v>
      </c>
      <c r="T22" s="79">
        <v>0</v>
      </c>
      <c r="U22" s="85">
        <v>387692.01</v>
      </c>
      <c r="V22" s="79"/>
      <c r="W22" s="83">
        <f>17919.26+26557.13</f>
        <v>44476.39</v>
      </c>
      <c r="X22" s="85">
        <v>0</v>
      </c>
      <c r="Y22" s="79"/>
      <c r="Z22" s="83">
        <v>0</v>
      </c>
      <c r="AA22" s="79">
        <v>4659.3100000000004</v>
      </c>
      <c r="AB22" s="79">
        <v>0</v>
      </c>
      <c r="AC22" s="85">
        <v>0</v>
      </c>
      <c r="AD22" s="79"/>
      <c r="AE22" s="83">
        <v>23816.52</v>
      </c>
      <c r="AF22" s="79">
        <v>5.7</v>
      </c>
      <c r="AG22" s="79">
        <v>2859.4</v>
      </c>
      <c r="AH22" s="79">
        <v>0</v>
      </c>
      <c r="AI22" s="85">
        <v>0</v>
      </c>
      <c r="AJ22" s="79"/>
      <c r="AK22" s="82">
        <f t="shared" si="5"/>
        <v>471608.24000000005</v>
      </c>
      <c r="AL22" s="16"/>
      <c r="AM22" s="83">
        <v>1866.36</v>
      </c>
      <c r="AN22" s="79">
        <f>3335.3-3335.3</f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3335.3</v>
      </c>
      <c r="AT22" s="79">
        <v>0</v>
      </c>
      <c r="AU22" s="79">
        <v>0</v>
      </c>
      <c r="AV22" s="79">
        <v>0</v>
      </c>
      <c r="AW22" s="79">
        <v>0</v>
      </c>
      <c r="AX22" s="79">
        <v>0</v>
      </c>
      <c r="AY22" s="79">
        <v>0</v>
      </c>
      <c r="AZ22" s="79">
        <v>0</v>
      </c>
      <c r="BA22" s="79">
        <v>0</v>
      </c>
      <c r="BB22" s="79">
        <v>0</v>
      </c>
      <c r="BC22" s="79">
        <v>0</v>
      </c>
      <c r="BD22" s="85">
        <v>0</v>
      </c>
      <c r="BE22" s="6"/>
      <c r="BF22" s="86"/>
      <c r="BG22" s="87"/>
      <c r="BH22" s="87"/>
      <c r="BI22" s="88"/>
      <c r="BJ22" s="89"/>
      <c r="BK22" s="90" t="s">
        <v>90</v>
      </c>
      <c r="BL22" s="91">
        <v>42733</v>
      </c>
      <c r="BM22" s="92">
        <v>311</v>
      </c>
      <c r="BN22" s="93">
        <f>+BI47</f>
        <v>393805</v>
      </c>
      <c r="BO22" s="94"/>
      <c r="BP22" s="94"/>
      <c r="BQ22" s="94"/>
      <c r="BR22" s="94"/>
      <c r="BS22" s="94"/>
      <c r="CO22" s="6"/>
      <c r="CP22" s="6"/>
    </row>
    <row r="23" spans="1:94" s="5" customFormat="1" ht="54.95" customHeight="1" thickBot="1">
      <c r="D23" s="80">
        <v>16</v>
      </c>
      <c r="E23" s="81" t="s">
        <v>157</v>
      </c>
      <c r="F23" s="81" t="s">
        <v>68</v>
      </c>
      <c r="G23" s="82">
        <f t="shared" si="0"/>
        <v>15257430.182000073</v>
      </c>
      <c r="H23" s="12"/>
      <c r="I23" s="82">
        <f t="shared" si="1"/>
        <v>23698354.272000074</v>
      </c>
      <c r="J23" s="12"/>
      <c r="K23" s="83">
        <v>1539.2</v>
      </c>
      <c r="L23" s="79">
        <v>0</v>
      </c>
      <c r="M23" s="79">
        <v>1887.83</v>
      </c>
      <c r="N23" s="79">
        <f t="shared" si="2"/>
        <v>2091.21</v>
      </c>
      <c r="O23" s="83">
        <v>0</v>
      </c>
      <c r="P23" s="79">
        <v>8500000</v>
      </c>
      <c r="Q23" s="82">
        <f t="shared" si="3"/>
        <v>8505518.2400000002</v>
      </c>
      <c r="R23" s="84"/>
      <c r="S23" s="83">
        <v>3470.36</v>
      </c>
      <c r="T23" s="79">
        <v>0</v>
      </c>
      <c r="U23" s="85">
        <v>0</v>
      </c>
      <c r="V23" s="79"/>
      <c r="W23" s="83">
        <v>0</v>
      </c>
      <c r="X23" s="85">
        <v>0</v>
      </c>
      <c r="Y23" s="79"/>
      <c r="Z23" s="83">
        <f>40783.57-27066</f>
        <v>13717.57</v>
      </c>
      <c r="AA23" s="79">
        <v>27065.98</v>
      </c>
      <c r="AB23" s="79">
        <v>0</v>
      </c>
      <c r="AC23" s="85">
        <v>0</v>
      </c>
      <c r="AD23" s="79"/>
      <c r="AE23" s="83">
        <v>17596.009999999998</v>
      </c>
      <c r="AF23" s="79">
        <v>19.23</v>
      </c>
      <c r="AG23" s="79">
        <v>2725</v>
      </c>
      <c r="AH23" s="79">
        <v>0</v>
      </c>
      <c r="AI23" s="85">
        <v>0</v>
      </c>
      <c r="AJ23" s="79"/>
      <c r="AK23" s="82">
        <f t="shared" si="5"/>
        <v>64594.15</v>
      </c>
      <c r="AL23" s="16"/>
      <c r="AM23" s="83">
        <v>2090.46</v>
      </c>
      <c r="AN23" s="79">
        <v>0.75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85">
        <v>0</v>
      </c>
      <c r="BE23" s="6"/>
      <c r="BF23" s="86"/>
      <c r="BG23" s="87"/>
      <c r="BH23" s="87"/>
      <c r="BI23" s="88"/>
      <c r="BJ23" s="89"/>
      <c r="BK23" s="90" t="s">
        <v>91</v>
      </c>
      <c r="BL23" s="91">
        <v>42723</v>
      </c>
      <c r="BM23" s="92">
        <v>311</v>
      </c>
      <c r="BN23" s="93">
        <f>+BI46</f>
        <v>4566544</v>
      </c>
      <c r="BO23" s="94"/>
      <c r="BP23" s="94"/>
      <c r="BQ23" s="94"/>
      <c r="BR23" s="94"/>
      <c r="BS23" s="94"/>
      <c r="CO23" s="6"/>
      <c r="CP23" s="6"/>
    </row>
    <row r="24" spans="1:94" ht="54.95" hidden="1" customHeight="1">
      <c r="D24" s="95">
        <v>17</v>
      </c>
      <c r="E24" s="96" t="s">
        <v>158</v>
      </c>
      <c r="F24" s="96"/>
      <c r="G24" s="97">
        <f t="shared" si="0"/>
        <v>23698354.272000074</v>
      </c>
      <c r="H24" s="98"/>
      <c r="I24" s="97">
        <f t="shared" si="1"/>
        <v>23698354.272000074</v>
      </c>
      <c r="J24" s="98"/>
      <c r="K24" s="99">
        <v>0</v>
      </c>
      <c r="L24" s="100">
        <v>0</v>
      </c>
      <c r="M24" s="100">
        <v>0</v>
      </c>
      <c r="N24" s="100">
        <f t="shared" si="2"/>
        <v>0</v>
      </c>
      <c r="O24" s="99">
        <v>0</v>
      </c>
      <c r="P24" s="100">
        <v>0</v>
      </c>
      <c r="Q24" s="97">
        <f t="shared" si="3"/>
        <v>0</v>
      </c>
      <c r="R24" s="101"/>
      <c r="S24" s="99">
        <v>0</v>
      </c>
      <c r="T24" s="100">
        <v>0</v>
      </c>
      <c r="U24" s="102">
        <v>0</v>
      </c>
      <c r="V24" s="100"/>
      <c r="W24" s="99">
        <v>0</v>
      </c>
      <c r="X24" s="102">
        <v>0</v>
      </c>
      <c r="Y24" s="100"/>
      <c r="Z24" s="99">
        <v>0</v>
      </c>
      <c r="AA24" s="100">
        <v>0</v>
      </c>
      <c r="AB24" s="100">
        <v>0</v>
      </c>
      <c r="AC24" s="102">
        <v>0</v>
      </c>
      <c r="AD24" s="100"/>
      <c r="AE24" s="99">
        <v>0</v>
      </c>
      <c r="AF24" s="100">
        <v>0</v>
      </c>
      <c r="AG24" s="100">
        <v>0</v>
      </c>
      <c r="AH24" s="100">
        <v>0</v>
      </c>
      <c r="AI24" s="102">
        <v>0</v>
      </c>
      <c r="AJ24" s="100"/>
      <c r="AK24" s="97">
        <f t="shared" si="5"/>
        <v>0</v>
      </c>
      <c r="AL24" s="101"/>
      <c r="AM24" s="99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2">
        <v>0</v>
      </c>
      <c r="BF24" s="114"/>
      <c r="BG24" s="114"/>
      <c r="BH24" s="114"/>
      <c r="BI24" s="115"/>
      <c r="BK24" s="40" t="s">
        <v>92</v>
      </c>
      <c r="BL24" s="41">
        <v>42733</v>
      </c>
      <c r="BM24" s="42">
        <v>311</v>
      </c>
      <c r="BN24" s="43">
        <f>+BI49</f>
        <v>15038</v>
      </c>
      <c r="BO24" s="107"/>
      <c r="BP24" s="107"/>
      <c r="BQ24" s="107"/>
      <c r="BR24" s="107"/>
      <c r="BS24" s="107"/>
      <c r="CO24"/>
      <c r="CP24"/>
    </row>
    <row r="25" spans="1:94" ht="54.95" hidden="1" customHeight="1">
      <c r="D25" s="95">
        <v>18</v>
      </c>
      <c r="E25" s="96" t="s">
        <v>159</v>
      </c>
      <c r="F25" s="96"/>
      <c r="G25" s="97">
        <f t="shared" si="0"/>
        <v>23698354.272000074</v>
      </c>
      <c r="H25" s="98"/>
      <c r="I25" s="97">
        <f t="shared" si="1"/>
        <v>23698354.272000074</v>
      </c>
      <c r="J25" s="98"/>
      <c r="K25" s="99">
        <v>0</v>
      </c>
      <c r="L25" s="100">
        <v>0</v>
      </c>
      <c r="M25" s="100">
        <v>0</v>
      </c>
      <c r="N25" s="100">
        <f t="shared" si="2"/>
        <v>0</v>
      </c>
      <c r="O25" s="99">
        <v>0</v>
      </c>
      <c r="P25" s="100">
        <v>0</v>
      </c>
      <c r="Q25" s="97">
        <f t="shared" si="3"/>
        <v>0</v>
      </c>
      <c r="R25" s="101"/>
      <c r="S25" s="99">
        <v>0</v>
      </c>
      <c r="T25" s="100">
        <v>0</v>
      </c>
      <c r="U25" s="102">
        <v>0</v>
      </c>
      <c r="V25" s="100"/>
      <c r="W25" s="99">
        <v>0</v>
      </c>
      <c r="X25" s="102">
        <v>0</v>
      </c>
      <c r="Y25" s="100"/>
      <c r="Z25" s="99">
        <v>0</v>
      </c>
      <c r="AA25" s="100">
        <v>0</v>
      </c>
      <c r="AB25" s="100">
        <v>0</v>
      </c>
      <c r="AC25" s="102">
        <v>0</v>
      </c>
      <c r="AD25" s="100"/>
      <c r="AE25" s="99">
        <v>0</v>
      </c>
      <c r="AF25" s="100">
        <v>0</v>
      </c>
      <c r="AG25" s="100">
        <v>0</v>
      </c>
      <c r="AH25" s="100">
        <v>0</v>
      </c>
      <c r="AI25" s="102">
        <v>0</v>
      </c>
      <c r="AJ25" s="100"/>
      <c r="AK25" s="97">
        <f t="shared" si="5"/>
        <v>0</v>
      </c>
      <c r="AL25" s="101"/>
      <c r="AM25" s="99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2">
        <v>0</v>
      </c>
      <c r="BF25" s="112" t="s">
        <v>93</v>
      </c>
      <c r="BG25" s="112"/>
      <c r="BH25" s="112"/>
      <c r="BI25" s="113">
        <v>40000</v>
      </c>
      <c r="BK25" s="60" t="s">
        <v>94</v>
      </c>
      <c r="BL25" s="61">
        <v>42733</v>
      </c>
      <c r="BM25" s="62">
        <v>311</v>
      </c>
      <c r="BN25" s="63">
        <f>+BI50</f>
        <v>87701</v>
      </c>
      <c r="BO25" s="66"/>
      <c r="BP25" s="66"/>
      <c r="BQ25" s="66"/>
      <c r="BR25" s="66"/>
      <c r="BS25" s="66"/>
      <c r="CO25"/>
      <c r="CP25"/>
    </row>
    <row r="26" spans="1:94" s="5" customFormat="1" ht="54.95" customHeight="1" thickBot="1">
      <c r="D26" s="80">
        <v>19</v>
      </c>
      <c r="E26" s="81" t="s">
        <v>160</v>
      </c>
      <c r="F26" s="81" t="s">
        <v>68</v>
      </c>
      <c r="G26" s="82">
        <f t="shared" si="0"/>
        <v>23698354.272000074</v>
      </c>
      <c r="H26" s="12"/>
      <c r="I26" s="82">
        <f t="shared" si="1"/>
        <v>20994134.682000075</v>
      </c>
      <c r="J26" s="12"/>
      <c r="K26" s="83">
        <v>1616.16</v>
      </c>
      <c r="L26" s="79">
        <v>0</v>
      </c>
      <c r="M26" s="79">
        <v>1982.22</v>
      </c>
      <c r="N26" s="79">
        <f t="shared" si="2"/>
        <v>62948.38</v>
      </c>
      <c r="O26" s="83">
        <v>0</v>
      </c>
      <c r="P26" s="79">
        <v>3038684.33</v>
      </c>
      <c r="Q26" s="82">
        <f t="shared" si="3"/>
        <v>3105231.09</v>
      </c>
      <c r="R26" s="84"/>
      <c r="S26" s="83">
        <f>4210916.6+4037.35</f>
        <v>4214953.9499999993</v>
      </c>
      <c r="T26" s="79">
        <v>0</v>
      </c>
      <c r="U26" s="85">
        <v>0</v>
      </c>
      <c r="V26" s="79"/>
      <c r="W26" s="83">
        <v>9359.6299999999992</v>
      </c>
      <c r="X26" s="85">
        <v>0</v>
      </c>
      <c r="Y26" s="79"/>
      <c r="Z26" s="83">
        <v>6479.8</v>
      </c>
      <c r="AA26" s="79">
        <f>1128648.25-Z26</f>
        <v>1122168.45</v>
      </c>
      <c r="AB26" s="79">
        <v>0</v>
      </c>
      <c r="AC26" s="85">
        <v>0</v>
      </c>
      <c r="AD26" s="79"/>
      <c r="AE26" s="83">
        <f>39164.79+90</f>
        <v>39254.79</v>
      </c>
      <c r="AF26" s="79">
        <v>8.6</v>
      </c>
      <c r="AG26" s="79">
        <f>416925.46+300</f>
        <v>417225.46</v>
      </c>
      <c r="AH26" s="79">
        <v>0</v>
      </c>
      <c r="AI26" s="85">
        <v>0</v>
      </c>
      <c r="AJ26" s="79"/>
      <c r="AK26" s="82">
        <f t="shared" si="5"/>
        <v>5809450.6799999988</v>
      </c>
      <c r="AL26" s="16"/>
      <c r="AM26" s="83">
        <v>5260.51</v>
      </c>
      <c r="AN26" s="79">
        <f>57687.87-53924.94-2866.38</f>
        <v>896.55000000000018</v>
      </c>
      <c r="AO26" s="79">
        <v>0</v>
      </c>
      <c r="AP26" s="79">
        <v>53924.94</v>
      </c>
      <c r="AQ26" s="79">
        <v>0</v>
      </c>
      <c r="AR26" s="79">
        <v>0</v>
      </c>
      <c r="AS26" s="79">
        <v>0</v>
      </c>
      <c r="AT26" s="79">
        <v>0</v>
      </c>
      <c r="AU26" s="79">
        <v>2866.38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85">
        <v>0</v>
      </c>
      <c r="BE26" s="6"/>
      <c r="BF26" s="86"/>
      <c r="BG26" s="87"/>
      <c r="BH26" s="87"/>
      <c r="BI26" s="88"/>
      <c r="BJ26" s="89"/>
      <c r="BK26" s="90" t="s">
        <v>95</v>
      </c>
      <c r="BL26" s="91">
        <v>42733</v>
      </c>
      <c r="BM26" s="92">
        <v>322</v>
      </c>
      <c r="BN26" s="93">
        <f>+BI61</f>
        <v>251486</v>
      </c>
      <c r="BO26" s="94"/>
      <c r="BP26" s="94" t="s">
        <v>96</v>
      </c>
      <c r="BQ26" s="94"/>
      <c r="BR26" s="94"/>
      <c r="BS26" s="94"/>
      <c r="CO26" s="6"/>
      <c r="CP26" s="6"/>
    </row>
    <row r="27" spans="1:94" s="5" customFormat="1" ht="54.95" customHeight="1" thickBot="1">
      <c r="D27" s="80">
        <v>20</v>
      </c>
      <c r="E27" s="81" t="s">
        <v>161</v>
      </c>
      <c r="F27" s="81" t="s">
        <v>68</v>
      </c>
      <c r="G27" s="82">
        <f t="shared" si="0"/>
        <v>20994134.682000075</v>
      </c>
      <c r="H27" s="12"/>
      <c r="I27" s="82">
        <f t="shared" si="1"/>
        <v>12135995.722000072</v>
      </c>
      <c r="J27" s="12"/>
      <c r="K27" s="83">
        <v>1697.35</v>
      </c>
      <c r="L27" s="79">
        <v>0</v>
      </c>
      <c r="M27" s="79">
        <v>2150.29</v>
      </c>
      <c r="N27" s="79">
        <f t="shared" si="2"/>
        <v>1529.99</v>
      </c>
      <c r="O27" s="83">
        <v>0</v>
      </c>
      <c r="P27" s="79">
        <v>0</v>
      </c>
      <c r="Q27" s="82">
        <f t="shared" si="3"/>
        <v>5377.63</v>
      </c>
      <c r="R27" s="84"/>
      <c r="S27" s="83">
        <v>3579.38</v>
      </c>
      <c r="T27" s="79">
        <v>0</v>
      </c>
      <c r="U27" s="85">
        <f>8426736.08-2888.41</f>
        <v>8423847.6699999999</v>
      </c>
      <c r="V27" s="79"/>
      <c r="W27" s="83">
        <v>0</v>
      </c>
      <c r="X27" s="85">
        <v>100829.21</v>
      </c>
      <c r="Y27" s="79"/>
      <c r="Z27" s="83">
        <v>767.5</v>
      </c>
      <c r="AA27" s="79">
        <v>0</v>
      </c>
      <c r="AB27" s="79">
        <f>301913.38-768</f>
        <v>301145.38</v>
      </c>
      <c r="AC27" s="85">
        <v>0</v>
      </c>
      <c r="AD27" s="79"/>
      <c r="AE27" s="83">
        <f>33226.76+90</f>
        <v>33316.76</v>
      </c>
      <c r="AF27" s="79">
        <v>30.69</v>
      </c>
      <c r="AG27" s="79">
        <v>0</v>
      </c>
      <c r="AH27" s="79">
        <v>0</v>
      </c>
      <c r="AI27" s="85">
        <v>0</v>
      </c>
      <c r="AJ27" s="79"/>
      <c r="AK27" s="82">
        <f t="shared" si="5"/>
        <v>8863516.5900000017</v>
      </c>
      <c r="AL27" s="16"/>
      <c r="AM27" s="83">
        <v>1529.99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  <c r="BA27" s="79">
        <v>0</v>
      </c>
      <c r="BB27" s="79">
        <v>0</v>
      </c>
      <c r="BC27" s="79">
        <v>0</v>
      </c>
      <c r="BD27" s="85">
        <v>0</v>
      </c>
      <c r="BE27" s="6"/>
      <c r="BF27" s="86"/>
      <c r="BG27" s="87"/>
      <c r="BH27" s="87"/>
      <c r="BI27" s="88">
        <v>65143</v>
      </c>
      <c r="BJ27" s="89"/>
      <c r="BK27" s="90" t="s">
        <v>97</v>
      </c>
      <c r="BL27" s="91">
        <v>42733</v>
      </c>
      <c r="BM27" s="92">
        <v>322</v>
      </c>
      <c r="BN27" s="93">
        <f>+BI62</f>
        <v>391374</v>
      </c>
      <c r="BO27" s="94"/>
      <c r="BP27" s="94"/>
      <c r="BQ27" s="94"/>
      <c r="BR27" s="94"/>
      <c r="BS27" s="94"/>
      <c r="CO27" s="6"/>
      <c r="CP27" s="6"/>
    </row>
    <row r="28" spans="1:94" s="5" customFormat="1" ht="54.95" customHeight="1" thickBot="1">
      <c r="D28" s="80">
        <v>21</v>
      </c>
      <c r="E28" s="81" t="s">
        <v>162</v>
      </c>
      <c r="F28" s="81" t="s">
        <v>68</v>
      </c>
      <c r="G28" s="82">
        <f t="shared" si="0"/>
        <v>12135995.722000072</v>
      </c>
      <c r="H28" s="12"/>
      <c r="I28" s="82">
        <f t="shared" si="1"/>
        <v>12101387.412000071</v>
      </c>
      <c r="J28" s="12"/>
      <c r="K28" s="83">
        <v>15253.050000000001</v>
      </c>
      <c r="L28" s="79">
        <v>444.73</v>
      </c>
      <c r="M28" s="79">
        <v>11134.470000000001</v>
      </c>
      <c r="N28" s="79">
        <f t="shared" si="2"/>
        <v>8505.44</v>
      </c>
      <c r="O28" s="83">
        <v>0</v>
      </c>
      <c r="P28" s="79">
        <v>0</v>
      </c>
      <c r="Q28" s="82">
        <f t="shared" si="3"/>
        <v>35337.69</v>
      </c>
      <c r="R28" s="84"/>
      <c r="S28" s="83">
        <v>47605.98</v>
      </c>
      <c r="T28" s="79">
        <v>0</v>
      </c>
      <c r="U28" s="85">
        <v>0</v>
      </c>
      <c r="V28" s="79"/>
      <c r="W28" s="83">
        <v>0</v>
      </c>
      <c r="X28" s="85">
        <v>2040.41</v>
      </c>
      <c r="Y28" s="79"/>
      <c r="Z28" s="83">
        <v>2440</v>
      </c>
      <c r="AA28" s="79">
        <f>17421.03-2440</f>
        <v>14981.029999999999</v>
      </c>
      <c r="AB28" s="79">
        <v>0</v>
      </c>
      <c r="AC28" s="85">
        <v>0</v>
      </c>
      <c r="AD28" s="79"/>
      <c r="AE28" s="83">
        <v>2647.49</v>
      </c>
      <c r="AF28" s="79">
        <v>18.940000000000001</v>
      </c>
      <c r="AG28" s="79">
        <v>212.15</v>
      </c>
      <c r="AH28" s="79">
        <v>0</v>
      </c>
      <c r="AI28" s="85">
        <v>0</v>
      </c>
      <c r="AJ28" s="79"/>
      <c r="AK28" s="82">
        <f t="shared" si="5"/>
        <v>69946.000000000015</v>
      </c>
      <c r="AL28" s="16"/>
      <c r="AM28" s="83">
        <v>1096.6400000000001</v>
      </c>
      <c r="AN28" s="79">
        <f>7408.8-7400</f>
        <v>8.8000000000001819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7400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79">
        <v>0</v>
      </c>
      <c r="BD28" s="85">
        <v>0</v>
      </c>
      <c r="BE28" s="6"/>
      <c r="BF28" s="86"/>
      <c r="BG28" s="87"/>
      <c r="BH28" s="87"/>
      <c r="BI28" s="88"/>
      <c r="BJ28" s="89"/>
      <c r="BK28" s="90" t="s">
        <v>98</v>
      </c>
      <c r="BL28" s="91">
        <v>42733</v>
      </c>
      <c r="BM28" s="92">
        <v>311</v>
      </c>
      <c r="BN28" s="93">
        <f>+BI48</f>
        <v>2310289</v>
      </c>
      <c r="BO28" s="94"/>
      <c r="BP28" s="94"/>
      <c r="BQ28" s="94"/>
      <c r="BR28" s="94"/>
      <c r="BS28" s="94"/>
      <c r="CO28" s="6"/>
      <c r="CP28" s="6"/>
    </row>
    <row r="29" spans="1:94" s="5" customFormat="1" ht="54.95" customHeight="1" thickBot="1">
      <c r="D29" s="80">
        <v>22</v>
      </c>
      <c r="E29" s="81" t="s">
        <v>156</v>
      </c>
      <c r="F29" s="81" t="s">
        <v>68</v>
      </c>
      <c r="G29" s="82">
        <f t="shared" si="0"/>
        <v>12101387.412000071</v>
      </c>
      <c r="H29" s="12"/>
      <c r="I29" s="82">
        <f t="shared" si="1"/>
        <v>12165729.832000071</v>
      </c>
      <c r="J29" s="12"/>
      <c r="K29" s="83">
        <v>2982.19</v>
      </c>
      <c r="L29" s="79">
        <v>0</v>
      </c>
      <c r="M29" s="79">
        <v>8696.57</v>
      </c>
      <c r="N29" s="79">
        <f t="shared" si="2"/>
        <v>71724.51999999999</v>
      </c>
      <c r="O29" s="83">
        <v>0</v>
      </c>
      <c r="P29" s="79">
        <v>0</v>
      </c>
      <c r="Q29" s="82">
        <f t="shared" si="3"/>
        <v>83403.279999999984</v>
      </c>
      <c r="R29" s="84"/>
      <c r="S29" s="83">
        <v>0</v>
      </c>
      <c r="T29" s="79">
        <v>0</v>
      </c>
      <c r="U29" s="85">
        <v>0</v>
      </c>
      <c r="V29" s="79"/>
      <c r="W29" s="83">
        <v>0</v>
      </c>
      <c r="X29" s="85">
        <v>0</v>
      </c>
      <c r="Y29" s="79"/>
      <c r="Z29" s="83">
        <v>0</v>
      </c>
      <c r="AA29" s="79">
        <v>18286.620000000003</v>
      </c>
      <c r="AB29" s="79">
        <v>0</v>
      </c>
      <c r="AC29" s="85">
        <v>0</v>
      </c>
      <c r="AD29" s="79"/>
      <c r="AE29" s="83">
        <v>769.6</v>
      </c>
      <c r="AF29" s="79">
        <v>4.6399999999999997</v>
      </c>
      <c r="AG29" s="79">
        <v>0</v>
      </c>
      <c r="AH29" s="79">
        <v>0</v>
      </c>
      <c r="AI29" s="85">
        <v>0</v>
      </c>
      <c r="AJ29" s="79"/>
      <c r="AK29" s="82">
        <f t="shared" si="5"/>
        <v>19060.86</v>
      </c>
      <c r="AL29" s="16"/>
      <c r="AM29" s="83">
        <v>1356.1</v>
      </c>
      <c r="AN29" s="79">
        <f>69872.73-48336.76-21485.97</f>
        <v>49.999999999992724</v>
      </c>
      <c r="AO29" s="79">
        <v>0</v>
      </c>
      <c r="AP29" s="79">
        <v>0</v>
      </c>
      <c r="AQ29" s="79">
        <v>0</v>
      </c>
      <c r="AR29" s="79">
        <v>48336.76</v>
      </c>
      <c r="AS29" s="79">
        <v>21485.97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495.69</v>
      </c>
      <c r="BD29" s="85">
        <v>0</v>
      </c>
      <c r="BE29" s="6"/>
      <c r="BF29" s="86"/>
      <c r="BG29" s="87"/>
      <c r="BH29" s="87"/>
      <c r="BI29" s="88"/>
      <c r="BJ29" s="89"/>
      <c r="BK29" s="90" t="s">
        <v>67</v>
      </c>
      <c r="BL29" s="91">
        <v>42733</v>
      </c>
      <c r="BM29" s="92">
        <v>321</v>
      </c>
      <c r="BN29" s="93">
        <f>+BI58</f>
        <v>150000</v>
      </c>
      <c r="BO29" s="94"/>
      <c r="BP29" s="94"/>
      <c r="BQ29" s="94"/>
      <c r="BR29" s="94"/>
      <c r="BS29" s="94"/>
      <c r="CO29" s="6"/>
      <c r="CP29" s="6"/>
    </row>
    <row r="30" spans="1:94" s="5" customFormat="1" ht="54.95" customHeight="1" thickBot="1">
      <c r="D30" s="80">
        <v>23</v>
      </c>
      <c r="E30" s="81" t="s">
        <v>157</v>
      </c>
      <c r="F30" s="81" t="s">
        <v>68</v>
      </c>
      <c r="G30" s="82">
        <f t="shared" si="0"/>
        <v>12165729.832000071</v>
      </c>
      <c r="H30" s="12"/>
      <c r="I30" s="82">
        <f t="shared" si="1"/>
        <v>10872494.532000072</v>
      </c>
      <c r="J30" s="12"/>
      <c r="K30" s="83">
        <v>2501.41</v>
      </c>
      <c r="L30" s="79">
        <v>0</v>
      </c>
      <c r="M30" s="79">
        <v>10146.129999999999</v>
      </c>
      <c r="N30" s="79">
        <f t="shared" si="2"/>
        <v>2017.5900000000001</v>
      </c>
      <c r="O30" s="83">
        <v>0</v>
      </c>
      <c r="P30" s="79">
        <v>0</v>
      </c>
      <c r="Q30" s="82">
        <f t="shared" si="3"/>
        <v>14665.13</v>
      </c>
      <c r="R30" s="84"/>
      <c r="S30" s="83">
        <v>1514.96</v>
      </c>
      <c r="T30" s="79">
        <v>0</v>
      </c>
      <c r="U30" s="85">
        <v>0</v>
      </c>
      <c r="V30" s="79"/>
      <c r="W30" s="83">
        <v>27778.89</v>
      </c>
      <c r="X30" s="85">
        <v>0</v>
      </c>
      <c r="Y30" s="79"/>
      <c r="Z30" s="83">
        <v>0</v>
      </c>
      <c r="AA30" s="79">
        <v>102641.73</v>
      </c>
      <c r="AB30" s="79">
        <v>0</v>
      </c>
      <c r="AC30" s="85">
        <v>0</v>
      </c>
      <c r="AD30" s="79"/>
      <c r="AE30" s="83">
        <v>0</v>
      </c>
      <c r="AF30" s="79">
        <f>1175924.36+7.49</f>
        <v>1175931.8500000001</v>
      </c>
      <c r="AG30" s="79">
        <v>33</v>
      </c>
      <c r="AH30" s="79">
        <v>0</v>
      </c>
      <c r="AI30" s="85">
        <v>0</v>
      </c>
      <c r="AJ30" s="79"/>
      <c r="AK30" s="82">
        <f t="shared" si="5"/>
        <v>1307900.4300000002</v>
      </c>
      <c r="AL30" s="16"/>
      <c r="AM30" s="83">
        <v>1883.44</v>
      </c>
      <c r="AN30" s="79">
        <v>134.15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85">
        <v>0</v>
      </c>
      <c r="BE30" s="6"/>
      <c r="BF30" s="86"/>
      <c r="BG30" s="87"/>
      <c r="BH30" s="87"/>
      <c r="BI30" s="88"/>
      <c r="BJ30" s="89"/>
      <c r="BK30" s="90" t="s">
        <v>99</v>
      </c>
      <c r="BL30" s="91">
        <v>42733</v>
      </c>
      <c r="BM30" s="92">
        <v>352</v>
      </c>
      <c r="BN30" s="93">
        <f>+BI70</f>
        <v>894343</v>
      </c>
      <c r="BO30" s="94"/>
      <c r="BP30" s="94"/>
      <c r="BQ30" s="94"/>
      <c r="BR30" s="94"/>
      <c r="BS30" s="94"/>
      <c r="CO30" s="6"/>
      <c r="CP30" s="6"/>
    </row>
    <row r="31" spans="1:94" ht="54.95" hidden="1" customHeight="1">
      <c r="A31" s="117"/>
      <c r="B31" s="117"/>
      <c r="C31" s="117"/>
      <c r="D31" s="95">
        <v>24</v>
      </c>
      <c r="E31" s="96" t="s">
        <v>158</v>
      </c>
      <c r="F31" s="96"/>
      <c r="G31" s="97">
        <f t="shared" si="0"/>
        <v>10872494.532000072</v>
      </c>
      <c r="H31" s="98"/>
      <c r="I31" s="97">
        <f t="shared" si="1"/>
        <v>10872494.532000072</v>
      </c>
      <c r="J31" s="98"/>
      <c r="K31" s="99">
        <v>0</v>
      </c>
      <c r="L31" s="100">
        <v>0</v>
      </c>
      <c r="M31" s="100">
        <v>0</v>
      </c>
      <c r="N31" s="100">
        <f t="shared" si="2"/>
        <v>0</v>
      </c>
      <c r="O31" s="99">
        <v>0</v>
      </c>
      <c r="P31" s="100">
        <v>0</v>
      </c>
      <c r="Q31" s="97">
        <f t="shared" si="3"/>
        <v>0</v>
      </c>
      <c r="R31" s="101"/>
      <c r="S31" s="99">
        <v>0</v>
      </c>
      <c r="T31" s="100">
        <v>0</v>
      </c>
      <c r="U31" s="102">
        <v>0</v>
      </c>
      <c r="V31" s="100"/>
      <c r="W31" s="99">
        <v>0</v>
      </c>
      <c r="X31" s="102">
        <v>0</v>
      </c>
      <c r="Y31" s="100"/>
      <c r="Z31" s="99">
        <v>0</v>
      </c>
      <c r="AA31" s="100">
        <v>0</v>
      </c>
      <c r="AB31" s="100">
        <v>0</v>
      </c>
      <c r="AC31" s="102">
        <v>0</v>
      </c>
      <c r="AD31" s="100"/>
      <c r="AE31" s="99">
        <v>0</v>
      </c>
      <c r="AF31" s="100">
        <v>0</v>
      </c>
      <c r="AG31" s="100">
        <v>0</v>
      </c>
      <c r="AH31" s="100">
        <v>0</v>
      </c>
      <c r="AI31" s="102">
        <v>0</v>
      </c>
      <c r="AJ31" s="100"/>
      <c r="AK31" s="97">
        <f t="shared" si="5"/>
        <v>0</v>
      </c>
      <c r="AL31" s="101"/>
      <c r="AM31" s="99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100">
        <v>0</v>
      </c>
      <c r="AU31" s="100">
        <v>0</v>
      </c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100">
        <v>0</v>
      </c>
      <c r="BB31" s="100">
        <v>0</v>
      </c>
      <c r="BC31" s="100">
        <v>0</v>
      </c>
      <c r="BD31" s="102">
        <v>0</v>
      </c>
      <c r="BF31" s="112"/>
      <c r="BG31" s="112"/>
      <c r="BH31" s="112"/>
      <c r="BI31" s="113"/>
      <c r="BK31" s="60"/>
      <c r="BL31" s="61"/>
      <c r="BM31" s="62"/>
      <c r="BN31" s="63"/>
      <c r="BO31" s="66"/>
      <c r="BP31" s="66"/>
      <c r="BQ31" s="66"/>
      <c r="BR31" s="66"/>
      <c r="BS31" s="66"/>
      <c r="CO31"/>
      <c r="CP31"/>
    </row>
    <row r="32" spans="1:94" ht="54.95" hidden="1" customHeight="1">
      <c r="D32" s="95">
        <v>25</v>
      </c>
      <c r="E32" s="96" t="s">
        <v>159</v>
      </c>
      <c r="F32" s="96"/>
      <c r="G32" s="97">
        <f t="shared" si="0"/>
        <v>10872494.532000072</v>
      </c>
      <c r="H32" s="98"/>
      <c r="I32" s="97">
        <f t="shared" si="1"/>
        <v>10872494.532000072</v>
      </c>
      <c r="J32" s="98"/>
      <c r="K32" s="99">
        <v>0</v>
      </c>
      <c r="L32" s="100">
        <v>0</v>
      </c>
      <c r="M32" s="100">
        <v>0</v>
      </c>
      <c r="N32" s="100">
        <f t="shared" si="2"/>
        <v>0</v>
      </c>
      <c r="O32" s="99">
        <v>0</v>
      </c>
      <c r="P32" s="100">
        <v>0</v>
      </c>
      <c r="Q32" s="97">
        <f t="shared" si="3"/>
        <v>0</v>
      </c>
      <c r="R32" s="101"/>
      <c r="S32" s="99">
        <v>0</v>
      </c>
      <c r="T32" s="100">
        <v>0</v>
      </c>
      <c r="U32" s="102">
        <v>0</v>
      </c>
      <c r="V32" s="100"/>
      <c r="W32" s="99">
        <v>0</v>
      </c>
      <c r="X32" s="102">
        <v>0</v>
      </c>
      <c r="Y32" s="100"/>
      <c r="Z32" s="99">
        <v>0</v>
      </c>
      <c r="AA32" s="100">
        <v>0</v>
      </c>
      <c r="AB32" s="100">
        <v>0</v>
      </c>
      <c r="AC32" s="102">
        <v>0</v>
      </c>
      <c r="AD32" s="100"/>
      <c r="AE32" s="99">
        <v>0</v>
      </c>
      <c r="AF32" s="100">
        <v>0</v>
      </c>
      <c r="AG32" s="100">
        <v>0</v>
      </c>
      <c r="AH32" s="100">
        <v>0</v>
      </c>
      <c r="AI32" s="102">
        <v>0</v>
      </c>
      <c r="AJ32" s="100"/>
      <c r="AK32" s="97">
        <f t="shared" si="5"/>
        <v>0</v>
      </c>
      <c r="AL32" s="101"/>
      <c r="AM32" s="99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2">
        <v>0</v>
      </c>
      <c r="BF32" s="114"/>
      <c r="BG32" s="114"/>
      <c r="BH32" s="114"/>
      <c r="BI32" s="115"/>
      <c r="BK32" s="40"/>
      <c r="BL32" s="41"/>
      <c r="BM32" s="42"/>
      <c r="BN32" s="43"/>
      <c r="BO32" s="107"/>
      <c r="BP32" s="107"/>
      <c r="BQ32" s="107"/>
      <c r="BR32" s="107"/>
      <c r="BS32" s="107"/>
      <c r="CO32"/>
      <c r="CP32"/>
    </row>
    <row r="33" spans="1:94" s="5" customFormat="1" ht="54.95" customHeight="1" thickBot="1">
      <c r="D33" s="80">
        <v>26</v>
      </c>
      <c r="E33" s="81" t="s">
        <v>160</v>
      </c>
      <c r="F33" s="81" t="s">
        <v>68</v>
      </c>
      <c r="G33" s="82">
        <f t="shared" si="0"/>
        <v>10872494.532000072</v>
      </c>
      <c r="H33" s="12"/>
      <c r="I33" s="82">
        <f t="shared" si="1"/>
        <v>17693880.872000072</v>
      </c>
      <c r="J33" s="12"/>
      <c r="K33" s="83">
        <v>2896.04</v>
      </c>
      <c r="L33" s="79">
        <v>0</v>
      </c>
      <c r="M33" s="79">
        <v>3563.59</v>
      </c>
      <c r="N33" s="79">
        <f t="shared" si="2"/>
        <v>3745.6200000000003</v>
      </c>
      <c r="O33" s="83">
        <v>0</v>
      </c>
      <c r="P33" s="79">
        <v>7000000</v>
      </c>
      <c r="Q33" s="82">
        <f t="shared" si="3"/>
        <v>7010205.25</v>
      </c>
      <c r="R33" s="84"/>
      <c r="S33" s="83">
        <f>10383.26+2600</f>
        <v>12983.26</v>
      </c>
      <c r="T33" s="79">
        <v>0</v>
      </c>
      <c r="U33" s="85">
        <v>56895</v>
      </c>
      <c r="V33" s="79"/>
      <c r="W33" s="83">
        <v>0</v>
      </c>
      <c r="X33" s="85">
        <v>0</v>
      </c>
      <c r="Y33" s="79"/>
      <c r="Z33" s="83">
        <v>0</v>
      </c>
      <c r="AA33" s="79">
        <v>70690.78</v>
      </c>
      <c r="AB33" s="79">
        <v>0</v>
      </c>
      <c r="AC33" s="85">
        <v>0</v>
      </c>
      <c r="AD33" s="79"/>
      <c r="AE33" s="83">
        <v>47380.62</v>
      </c>
      <c r="AF33" s="79">
        <v>43.25</v>
      </c>
      <c r="AG33" s="79">
        <f>126+700</f>
        <v>826</v>
      </c>
      <c r="AH33" s="79">
        <v>0</v>
      </c>
      <c r="AI33" s="85">
        <v>0</v>
      </c>
      <c r="AJ33" s="79"/>
      <c r="AK33" s="82">
        <f t="shared" si="5"/>
        <v>188818.90999999997</v>
      </c>
      <c r="AL33" s="16"/>
      <c r="AM33" s="83">
        <v>3712.53</v>
      </c>
      <c r="AN33" s="79">
        <v>33.090000000000003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85">
        <v>0</v>
      </c>
      <c r="BE33" s="6"/>
      <c r="BF33" s="86"/>
      <c r="BG33" s="87"/>
      <c r="BH33" s="87"/>
      <c r="BI33" s="88"/>
      <c r="BJ33" s="89"/>
      <c r="BK33" s="90"/>
      <c r="BL33" s="91"/>
      <c r="BM33" s="92"/>
      <c r="BN33" s="93"/>
      <c r="BO33" s="94"/>
      <c r="BP33" s="94"/>
      <c r="BQ33" s="94"/>
      <c r="BR33" s="94"/>
      <c r="BS33" s="94"/>
      <c r="CO33" s="6"/>
      <c r="CP33" s="6"/>
    </row>
    <row r="34" spans="1:94" s="5" customFormat="1" ht="54.95" customHeight="1" thickBot="1">
      <c r="D34" s="80">
        <v>27</v>
      </c>
      <c r="E34" s="81" t="s">
        <v>161</v>
      </c>
      <c r="F34" s="81" t="s">
        <v>68</v>
      </c>
      <c r="G34" s="82">
        <f t="shared" si="0"/>
        <v>17693880.872000072</v>
      </c>
      <c r="H34" s="12"/>
      <c r="I34" s="82">
        <f t="shared" si="1"/>
        <v>16856627.142000072</v>
      </c>
      <c r="J34" s="12"/>
      <c r="K34" s="83">
        <v>2174.75</v>
      </c>
      <c r="L34" s="79">
        <v>551.6</v>
      </c>
      <c r="M34" s="79">
        <v>2268.02</v>
      </c>
      <c r="N34" s="79">
        <f t="shared" si="2"/>
        <v>892017.46</v>
      </c>
      <c r="O34" s="83">
        <v>0</v>
      </c>
      <c r="P34" s="79">
        <v>0</v>
      </c>
      <c r="Q34" s="82">
        <f t="shared" si="3"/>
        <v>897011.83</v>
      </c>
      <c r="R34" s="84"/>
      <c r="S34" s="83">
        <f>1734678.67-2750.75</f>
        <v>1731927.92</v>
      </c>
      <c r="T34" s="79">
        <v>0</v>
      </c>
      <c r="U34" s="85">
        <v>0</v>
      </c>
      <c r="V34" s="79"/>
      <c r="W34" s="83">
        <v>0</v>
      </c>
      <c r="X34" s="85">
        <v>0</v>
      </c>
      <c r="Y34" s="79"/>
      <c r="Z34" s="83">
        <v>0</v>
      </c>
      <c r="AA34" s="79">
        <v>0</v>
      </c>
      <c r="AB34" s="79">
        <v>0</v>
      </c>
      <c r="AC34" s="85">
        <v>0</v>
      </c>
      <c r="AD34" s="79"/>
      <c r="AE34" s="83">
        <v>1870.66</v>
      </c>
      <c r="AF34" s="79">
        <v>14.98</v>
      </c>
      <c r="AG34" s="79">
        <v>452</v>
      </c>
      <c r="AH34" s="79">
        <v>0</v>
      </c>
      <c r="AI34" s="85">
        <v>0</v>
      </c>
      <c r="AJ34" s="79"/>
      <c r="AK34" s="82">
        <f t="shared" si="5"/>
        <v>1734265.5599999998</v>
      </c>
      <c r="AL34" s="16"/>
      <c r="AM34" s="83">
        <v>2389.63</v>
      </c>
      <c r="AN34" s="79">
        <v>889627.83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85">
        <v>0</v>
      </c>
      <c r="BE34" s="6"/>
      <c r="BF34" s="86" t="s">
        <v>100</v>
      </c>
      <c r="BG34" s="87"/>
      <c r="BH34" s="87"/>
      <c r="BI34" s="88">
        <v>168820</v>
      </c>
      <c r="BJ34" s="89"/>
      <c r="BK34" s="90"/>
      <c r="BL34" s="91"/>
      <c r="BM34" s="92"/>
      <c r="BN34" s="93"/>
      <c r="BO34" s="94"/>
      <c r="BP34" s="94"/>
      <c r="BQ34" s="94"/>
      <c r="BR34" s="94"/>
      <c r="BS34" s="94"/>
      <c r="CO34" s="6"/>
      <c r="CP34" s="6"/>
    </row>
    <row r="35" spans="1:94" s="5" customFormat="1" ht="54.95" customHeight="1" thickBot="1">
      <c r="D35" s="80">
        <v>28</v>
      </c>
      <c r="E35" s="81" t="s">
        <v>162</v>
      </c>
      <c r="F35" s="81" t="s">
        <v>68</v>
      </c>
      <c r="G35" s="82">
        <f t="shared" si="0"/>
        <v>16856627.142000072</v>
      </c>
      <c r="H35" s="12"/>
      <c r="I35" s="82">
        <f t="shared" si="1"/>
        <v>14520359.302000072</v>
      </c>
      <c r="J35" s="12"/>
      <c r="K35" s="83">
        <v>3723.88</v>
      </c>
      <c r="L35" s="79">
        <v>1794431</v>
      </c>
      <c r="M35" s="79">
        <v>175878.6</v>
      </c>
      <c r="N35" s="79">
        <f t="shared" si="2"/>
        <v>2621.23</v>
      </c>
      <c r="O35" s="83">
        <v>0</v>
      </c>
      <c r="P35" s="79">
        <v>0</v>
      </c>
      <c r="Q35" s="82">
        <f t="shared" si="3"/>
        <v>1976654.71</v>
      </c>
      <c r="R35" s="84"/>
      <c r="S35" s="83">
        <f>4076499.42+2750.75</f>
        <v>4079250.17</v>
      </c>
      <c r="T35" s="79">
        <f>201267.09</f>
        <v>201267.09</v>
      </c>
      <c r="U35" s="85">
        <v>393.12</v>
      </c>
      <c r="V35" s="79"/>
      <c r="W35" s="83">
        <v>0</v>
      </c>
      <c r="X35" s="85">
        <v>0</v>
      </c>
      <c r="Y35" s="79"/>
      <c r="Z35" s="83">
        <v>0</v>
      </c>
      <c r="AA35" s="79">
        <v>31200</v>
      </c>
      <c r="AB35" s="79">
        <v>0</v>
      </c>
      <c r="AC35" s="85">
        <v>0</v>
      </c>
      <c r="AD35" s="79"/>
      <c r="AE35" s="83">
        <v>200.62</v>
      </c>
      <c r="AF35" s="79">
        <v>2.85</v>
      </c>
      <c r="AG35" s="79">
        <f>598.7+10</f>
        <v>608.70000000000005</v>
      </c>
      <c r="AH35" s="79">
        <v>0</v>
      </c>
      <c r="AI35" s="85">
        <v>0</v>
      </c>
      <c r="AJ35" s="79"/>
      <c r="AK35" s="82">
        <f t="shared" si="5"/>
        <v>4312922.55</v>
      </c>
      <c r="AL35" s="16"/>
      <c r="AM35" s="83">
        <v>2241.23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85">
        <v>380</v>
      </c>
      <c r="BE35" s="6"/>
      <c r="BF35" s="86" t="s">
        <v>101</v>
      </c>
      <c r="BG35" s="87" t="s">
        <v>102</v>
      </c>
      <c r="BH35" s="87">
        <v>1</v>
      </c>
      <c r="BI35" s="88">
        <v>0</v>
      </c>
      <c r="BJ35" s="89"/>
      <c r="BK35" s="90"/>
      <c r="BL35" s="91"/>
      <c r="BM35" s="92"/>
      <c r="BN35" s="93"/>
      <c r="BO35" s="94"/>
      <c r="BP35" s="94"/>
      <c r="BQ35" s="94"/>
      <c r="BR35" s="94"/>
      <c r="BS35" s="94"/>
      <c r="CO35" s="6"/>
      <c r="CP35" s="6"/>
    </row>
    <row r="36" spans="1:94" s="5" customFormat="1" ht="54.95" customHeight="1" thickBot="1">
      <c r="D36" s="80">
        <v>29</v>
      </c>
      <c r="E36" s="81" t="s">
        <v>156</v>
      </c>
      <c r="F36" s="81" t="s">
        <v>68</v>
      </c>
      <c r="G36" s="82">
        <f t="shared" si="0"/>
        <v>14520359.302000072</v>
      </c>
      <c r="H36" s="12"/>
      <c r="I36" s="82">
        <f t="shared" si="1"/>
        <v>11429876.492000071</v>
      </c>
      <c r="J36" s="12"/>
      <c r="K36" s="83">
        <v>7708.43</v>
      </c>
      <c r="L36" s="79">
        <v>620.54999999999995</v>
      </c>
      <c r="M36" s="79">
        <v>270.26</v>
      </c>
      <c r="N36" s="79">
        <f t="shared" si="2"/>
        <v>5350.5199999999995</v>
      </c>
      <c r="O36" s="83">
        <v>0</v>
      </c>
      <c r="P36" s="79">
        <v>0</v>
      </c>
      <c r="Q36" s="82">
        <f t="shared" si="3"/>
        <v>13949.759999999998</v>
      </c>
      <c r="R36" s="84"/>
      <c r="S36" s="83">
        <v>51961.46</v>
      </c>
      <c r="T36" s="79">
        <f>108558.19</f>
        <v>108558.19</v>
      </c>
      <c r="U36" s="85">
        <v>86940.34</v>
      </c>
      <c r="V36" s="79"/>
      <c r="W36" s="83">
        <f>15344.94</f>
        <v>15344.94</v>
      </c>
      <c r="X36" s="85">
        <v>1076871.67</v>
      </c>
      <c r="Y36" s="79"/>
      <c r="Z36" s="83">
        <f>96856.46-65240.53</f>
        <v>31615.930000000008</v>
      </c>
      <c r="AA36" s="79">
        <f>1107210.84-31616-65241</f>
        <v>1010353.8400000001</v>
      </c>
      <c r="AB36" s="79">
        <v>0</v>
      </c>
      <c r="AC36" s="85">
        <v>0</v>
      </c>
      <c r="AD36" s="79"/>
      <c r="AE36" s="83">
        <v>0</v>
      </c>
      <c r="AF36" s="79">
        <f>657527.79+17.88</f>
        <v>657545.67000000004</v>
      </c>
      <c r="AG36" s="79">
        <v>0</v>
      </c>
      <c r="AH36" s="79">
        <v>65240.53</v>
      </c>
      <c r="AI36" s="85">
        <v>0</v>
      </c>
      <c r="AJ36" s="79"/>
      <c r="AK36" s="82">
        <f t="shared" si="5"/>
        <v>3104432.57</v>
      </c>
      <c r="AL36" s="84"/>
      <c r="AM36" s="83">
        <v>3480.47</v>
      </c>
      <c r="AN36" s="79">
        <v>1015.05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85">
        <v>855</v>
      </c>
      <c r="BE36" s="6"/>
      <c r="BF36" s="86" t="s">
        <v>103</v>
      </c>
      <c r="BG36" s="87" t="s">
        <v>102</v>
      </c>
      <c r="BH36" s="87">
        <v>1</v>
      </c>
      <c r="BI36" s="88">
        <v>38333360</v>
      </c>
      <c r="BJ36" s="89"/>
      <c r="BK36" s="90"/>
      <c r="BL36" s="91"/>
      <c r="BM36" s="92"/>
      <c r="BN36" s="93"/>
      <c r="BO36" s="94"/>
      <c r="BP36" s="94"/>
      <c r="BQ36" s="94"/>
      <c r="BR36" s="94"/>
      <c r="BS36" s="94"/>
      <c r="CO36" s="6"/>
      <c r="CP36" s="6"/>
    </row>
    <row r="37" spans="1:94" ht="54.95" hidden="1" customHeight="1">
      <c r="A37" s="118" t="s">
        <v>104</v>
      </c>
      <c r="D37" s="95">
        <v>30</v>
      </c>
      <c r="E37" s="96" t="s">
        <v>157</v>
      </c>
      <c r="F37" s="96"/>
      <c r="G37" s="97">
        <f t="shared" si="0"/>
        <v>11429876.492000071</v>
      </c>
      <c r="H37" s="98"/>
      <c r="I37" s="97">
        <f t="shared" si="1"/>
        <v>11429876.492000071</v>
      </c>
      <c r="J37" s="98"/>
      <c r="K37" s="99">
        <v>0</v>
      </c>
      <c r="L37" s="100">
        <v>0</v>
      </c>
      <c r="M37" s="100">
        <v>0</v>
      </c>
      <c r="N37" s="100">
        <f t="shared" si="2"/>
        <v>0</v>
      </c>
      <c r="O37" s="99">
        <v>0</v>
      </c>
      <c r="P37" s="100">
        <v>0</v>
      </c>
      <c r="Q37" s="97">
        <f t="shared" si="3"/>
        <v>0</v>
      </c>
      <c r="R37" s="101"/>
      <c r="S37" s="99">
        <v>0</v>
      </c>
      <c r="T37" s="100">
        <v>0</v>
      </c>
      <c r="U37" s="102">
        <v>0</v>
      </c>
      <c r="V37" s="100"/>
      <c r="W37" s="99">
        <v>0</v>
      </c>
      <c r="X37" s="102">
        <v>0</v>
      </c>
      <c r="Y37" s="100"/>
      <c r="Z37" s="99">
        <v>0</v>
      </c>
      <c r="AA37" s="100">
        <v>0</v>
      </c>
      <c r="AB37" s="100">
        <v>0</v>
      </c>
      <c r="AC37" s="102">
        <v>0</v>
      </c>
      <c r="AD37" s="100"/>
      <c r="AE37" s="99">
        <v>0</v>
      </c>
      <c r="AF37" s="100">
        <v>0</v>
      </c>
      <c r="AG37" s="100">
        <v>0</v>
      </c>
      <c r="AH37" s="100">
        <v>0</v>
      </c>
      <c r="AI37" s="102">
        <v>0</v>
      </c>
      <c r="AJ37" s="100"/>
      <c r="AK37" s="97">
        <f t="shared" si="5"/>
        <v>0</v>
      </c>
      <c r="AL37" s="101"/>
      <c r="AM37" s="99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0</v>
      </c>
      <c r="AS37" s="100">
        <v>0</v>
      </c>
      <c r="AT37" s="100">
        <v>0</v>
      </c>
      <c r="AU37" s="100">
        <v>0</v>
      </c>
      <c r="AV37" s="100">
        <v>0</v>
      </c>
      <c r="AW37" s="100">
        <v>0</v>
      </c>
      <c r="AX37" s="100">
        <v>0</v>
      </c>
      <c r="AY37" s="100">
        <v>0</v>
      </c>
      <c r="AZ37" s="100">
        <v>0</v>
      </c>
      <c r="BA37" s="100">
        <v>0</v>
      </c>
      <c r="BB37" s="100">
        <v>0</v>
      </c>
      <c r="BC37" s="100">
        <v>0</v>
      </c>
      <c r="BD37" s="102">
        <v>0</v>
      </c>
      <c r="BF37" s="112"/>
      <c r="BG37" s="112"/>
      <c r="BH37" s="112"/>
      <c r="BI37" s="119"/>
      <c r="CO37"/>
      <c r="CP37"/>
    </row>
    <row r="38" spans="1:94" ht="54.95" hidden="1" customHeight="1" thickBot="1">
      <c r="D38" s="95">
        <v>31</v>
      </c>
      <c r="E38" s="96" t="s">
        <v>158</v>
      </c>
      <c r="F38" s="96"/>
      <c r="G38" s="97">
        <f t="shared" si="0"/>
        <v>11429876.492000071</v>
      </c>
      <c r="H38" s="98"/>
      <c r="I38" s="97">
        <f t="shared" si="1"/>
        <v>11429876.492000071</v>
      </c>
      <c r="J38" s="98"/>
      <c r="K38" s="99">
        <v>0</v>
      </c>
      <c r="L38" s="100">
        <v>0</v>
      </c>
      <c r="M38" s="100">
        <v>0</v>
      </c>
      <c r="N38" s="100">
        <f t="shared" si="2"/>
        <v>0</v>
      </c>
      <c r="O38" s="99">
        <v>0</v>
      </c>
      <c r="P38" s="100">
        <v>0</v>
      </c>
      <c r="Q38" s="97">
        <f t="shared" si="3"/>
        <v>0</v>
      </c>
      <c r="R38" s="101"/>
      <c r="S38" s="99">
        <v>0</v>
      </c>
      <c r="T38" s="100">
        <v>0</v>
      </c>
      <c r="U38" s="102">
        <v>0</v>
      </c>
      <c r="V38" s="100"/>
      <c r="W38" s="99">
        <v>0</v>
      </c>
      <c r="X38" s="102">
        <v>0</v>
      </c>
      <c r="Y38" s="100"/>
      <c r="Z38" s="99">
        <v>0</v>
      </c>
      <c r="AA38" s="100">
        <v>0</v>
      </c>
      <c r="AB38" s="100">
        <v>0</v>
      </c>
      <c r="AC38" s="102">
        <v>0</v>
      </c>
      <c r="AD38" s="100"/>
      <c r="AE38" s="99">
        <v>0</v>
      </c>
      <c r="AF38" s="100">
        <v>0</v>
      </c>
      <c r="AG38" s="100">
        <v>0</v>
      </c>
      <c r="AH38" s="100">
        <v>0</v>
      </c>
      <c r="AI38" s="102">
        <v>0</v>
      </c>
      <c r="AJ38" s="100"/>
      <c r="AK38" s="97">
        <f t="shared" si="5"/>
        <v>0</v>
      </c>
      <c r="AL38" s="101"/>
      <c r="AM38" s="99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2">
        <v>0</v>
      </c>
      <c r="BF38" s="114"/>
      <c r="BG38" s="114"/>
      <c r="BH38" s="114"/>
      <c r="BI38" s="115"/>
      <c r="CO38"/>
      <c r="CP38"/>
    </row>
    <row r="39" spans="1:94" s="5" customFormat="1" ht="54.95" customHeight="1" thickBot="1">
      <c r="D39" s="187" t="s">
        <v>16</v>
      </c>
      <c r="E39" s="188"/>
      <c r="F39" s="189"/>
      <c r="G39" s="120">
        <f>+G8</f>
        <v>2745452.8220000723</v>
      </c>
      <c r="H39" s="12"/>
      <c r="I39" s="120">
        <f t="shared" si="1"/>
        <v>11429876.492000073</v>
      </c>
      <c r="J39" s="12"/>
      <c r="K39" s="121">
        <f>SUM(K7:K38)</f>
        <v>75146.649999999994</v>
      </c>
      <c r="L39" s="122">
        <f t="shared" ref="L39:Q39" si="6">SUM(L7:L38)</f>
        <v>1798221.18</v>
      </c>
      <c r="M39" s="122">
        <f t="shared" si="6"/>
        <v>261423.39</v>
      </c>
      <c r="N39" s="122">
        <f t="shared" si="6"/>
        <v>3475191.94</v>
      </c>
      <c r="O39" s="121">
        <f t="shared" si="6"/>
        <v>0</v>
      </c>
      <c r="P39" s="123">
        <f t="shared" si="6"/>
        <v>41882656</v>
      </c>
      <c r="Q39" s="123">
        <f t="shared" si="6"/>
        <v>47492639.159999996</v>
      </c>
      <c r="R39" s="84"/>
      <c r="S39" s="121">
        <f t="shared" ref="S39:AK39" si="7">SUM(S7:S38)</f>
        <v>14441183.680000003</v>
      </c>
      <c r="T39" s="122">
        <f t="shared" si="7"/>
        <v>324534.82999999996</v>
      </c>
      <c r="U39" s="123">
        <f t="shared" si="7"/>
        <v>13052562.26</v>
      </c>
      <c r="V39" s="124"/>
      <c r="W39" s="121">
        <f t="shared" si="7"/>
        <v>498195.11000000004</v>
      </c>
      <c r="X39" s="123">
        <f t="shared" si="7"/>
        <v>1405544.19</v>
      </c>
      <c r="Y39" s="124"/>
      <c r="Z39" s="121">
        <f t="shared" si="7"/>
        <v>136454.72999999995</v>
      </c>
      <c r="AA39" s="122">
        <f t="shared" si="7"/>
        <v>5164211.7200000007</v>
      </c>
      <c r="AB39" s="122">
        <f t="shared" si="7"/>
        <v>320635.56</v>
      </c>
      <c r="AC39" s="123">
        <f t="shared" si="7"/>
        <v>0</v>
      </c>
      <c r="AD39" s="124"/>
      <c r="AE39" s="122">
        <f t="shared" si="7"/>
        <v>1119636.1500000001</v>
      </c>
      <c r="AF39" s="122">
        <f t="shared" si="7"/>
        <v>1842874.5500000003</v>
      </c>
      <c r="AG39" s="122">
        <f t="shared" si="7"/>
        <v>437142.18000000005</v>
      </c>
      <c r="AH39" s="122">
        <f t="shared" si="7"/>
        <v>65240.53</v>
      </c>
      <c r="AI39" s="122">
        <f t="shared" si="7"/>
        <v>0</v>
      </c>
      <c r="AJ39" s="124"/>
      <c r="AK39" s="123">
        <f t="shared" si="7"/>
        <v>38808215.489999995</v>
      </c>
      <c r="AL39" s="16"/>
      <c r="AM39" s="121">
        <f t="shared" ref="AM39:BD39" si="8">SUM(AM7:AM38)</f>
        <v>39777.339999999997</v>
      </c>
      <c r="AN39" s="122">
        <f t="shared" si="8"/>
        <v>900115.54</v>
      </c>
      <c r="AO39" s="122">
        <f t="shared" si="8"/>
        <v>0</v>
      </c>
      <c r="AP39" s="122">
        <f t="shared" si="8"/>
        <v>53924.94</v>
      </c>
      <c r="AQ39" s="122">
        <f t="shared" si="8"/>
        <v>1495412.0899999999</v>
      </c>
      <c r="AR39" s="122">
        <f t="shared" si="8"/>
        <v>60895.450000000004</v>
      </c>
      <c r="AS39" s="122">
        <f t="shared" si="8"/>
        <v>24821.27</v>
      </c>
      <c r="AT39" s="122">
        <f t="shared" si="8"/>
        <v>4061.6</v>
      </c>
      <c r="AU39" s="122">
        <f t="shared" si="8"/>
        <v>5031.76</v>
      </c>
      <c r="AV39" s="122">
        <f t="shared" si="8"/>
        <v>649717.14999999991</v>
      </c>
      <c r="AW39" s="122">
        <f t="shared" si="8"/>
        <v>237070.47999999998</v>
      </c>
      <c r="AX39" s="122">
        <f t="shared" si="8"/>
        <v>0</v>
      </c>
      <c r="AY39" s="122">
        <f t="shared" si="8"/>
        <v>66.83</v>
      </c>
      <c r="AZ39" s="122">
        <f t="shared" si="8"/>
        <v>0</v>
      </c>
      <c r="BA39" s="122">
        <f t="shared" si="8"/>
        <v>29.85</v>
      </c>
      <c r="BB39" s="122">
        <f t="shared" si="8"/>
        <v>0</v>
      </c>
      <c r="BC39" s="122">
        <f t="shared" si="8"/>
        <v>2994.3399999999997</v>
      </c>
      <c r="BD39" s="123">
        <f t="shared" si="8"/>
        <v>1273.3</v>
      </c>
      <c r="BE39" s="6"/>
      <c r="BF39" s="94"/>
      <c r="BG39" s="94"/>
      <c r="BH39" s="94"/>
      <c r="BI39" s="125"/>
      <c r="BK39" s="126"/>
      <c r="BL39" s="126"/>
      <c r="BM39" s="126"/>
      <c r="BN39" s="126"/>
      <c r="BO39" s="126"/>
      <c r="BP39" s="126"/>
      <c r="BQ39" s="126"/>
      <c r="BR39" s="126"/>
      <c r="BS39" s="126"/>
      <c r="CO39" s="6"/>
      <c r="CP39" s="6"/>
    </row>
    <row r="40" spans="1:94" ht="41.25" customHeight="1">
      <c r="AL40" s="23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F40" s="114"/>
      <c r="BG40" s="114"/>
      <c r="BH40" s="114"/>
      <c r="BI40" s="127">
        <f>739270.16-132210.94-271950.61</f>
        <v>335108.61</v>
      </c>
      <c r="CO40"/>
      <c r="CP40"/>
    </row>
    <row r="41" spans="1:94" ht="21.75" customHeight="1">
      <c r="C41" s="128"/>
      <c r="D41" s="129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30"/>
      <c r="R41" s="130"/>
      <c r="S41" s="130"/>
      <c r="T41" s="130"/>
      <c r="U41" s="130"/>
      <c r="V41" s="130"/>
      <c r="W41" s="131"/>
      <c r="X41" s="131"/>
      <c r="Y41" s="130"/>
      <c r="Z41" s="131"/>
      <c r="AA41" s="131"/>
      <c r="AB41" s="131"/>
      <c r="AC41" s="130"/>
      <c r="AD41" s="130"/>
      <c r="AE41" s="130"/>
      <c r="AF41" s="130"/>
      <c r="AG41" s="130"/>
      <c r="AH41" s="130"/>
      <c r="AI41" s="130"/>
      <c r="AJ41" s="130"/>
      <c r="AK41" s="130"/>
      <c r="AL41" s="23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F41" s="112"/>
      <c r="BG41" s="112"/>
      <c r="BH41" s="112"/>
      <c r="BI41" s="132"/>
      <c r="CO41"/>
      <c r="CP41"/>
    </row>
    <row r="42" spans="1:94" ht="29.25" customHeight="1" thickBot="1">
      <c r="G42" s="133"/>
      <c r="H42" s="133"/>
      <c r="I42" s="5"/>
      <c r="J42" s="134"/>
      <c r="K42" s="134"/>
      <c r="L42" s="134"/>
      <c r="M42" s="134"/>
      <c r="N42" s="134"/>
      <c r="O42" s="134"/>
      <c r="P42" s="134"/>
      <c r="Q42" s="135"/>
      <c r="R42" s="135"/>
      <c r="S42" s="135"/>
      <c r="T42" s="135"/>
      <c r="U42" s="135"/>
      <c r="V42" s="135"/>
      <c r="W42" s="2"/>
      <c r="X42" s="2"/>
      <c r="Y42" s="135"/>
      <c r="Z42" s="2"/>
      <c r="AA42" s="2"/>
      <c r="AB42" s="2"/>
      <c r="AC42" s="135"/>
      <c r="AD42" s="135"/>
      <c r="AE42" s="135"/>
      <c r="AF42" s="135"/>
      <c r="AG42" s="135"/>
      <c r="AH42" s="135"/>
      <c r="AI42" s="135"/>
      <c r="AJ42" s="135"/>
      <c r="AK42" s="135"/>
      <c r="AL42" s="136"/>
      <c r="AM42" s="137"/>
      <c r="AN42" s="137"/>
      <c r="AO42" s="137"/>
      <c r="AP42" s="137"/>
      <c r="AQ42" s="137"/>
      <c r="AR42" s="137"/>
      <c r="AS42" s="137"/>
      <c r="AT42" s="137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F42" s="114"/>
      <c r="BG42" s="114"/>
      <c r="BH42" s="114"/>
      <c r="BI42" s="127"/>
    </row>
    <row r="43" spans="1:94" s="10" customFormat="1" ht="54.95" customHeight="1" thickBot="1">
      <c r="D43" s="11" t="s">
        <v>105</v>
      </c>
      <c r="G43" s="12"/>
      <c r="H43" s="12"/>
      <c r="I43" s="12"/>
      <c r="K43" s="14"/>
      <c r="L43" s="14" t="str">
        <f>+L2</f>
        <v>DEZEMBRO - 2016</v>
      </c>
      <c r="Q43" s="15"/>
      <c r="R43" s="15"/>
      <c r="S43" s="15"/>
      <c r="T43" s="15"/>
      <c r="U43" s="15"/>
      <c r="V43" s="15"/>
      <c r="Y43" s="15"/>
      <c r="AC43" s="15"/>
      <c r="AD43" s="15"/>
      <c r="AE43" s="15"/>
      <c r="AF43" s="15"/>
      <c r="AG43" s="15"/>
      <c r="AH43" s="15"/>
      <c r="AI43" s="15"/>
      <c r="AJ43" s="15"/>
      <c r="AK43" s="15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/>
      <c r="BF43" s="138" t="s">
        <v>106</v>
      </c>
      <c r="BG43" s="139">
        <v>311</v>
      </c>
      <c r="BH43" s="139"/>
      <c r="BI43" s="140">
        <f>SUM(BI44:BI50)</f>
        <v>17902351</v>
      </c>
      <c r="BK43" s="18"/>
      <c r="BL43" s="18"/>
      <c r="BM43" s="18"/>
      <c r="BN43" s="18"/>
      <c r="BO43" s="18"/>
      <c r="BP43" s="18"/>
      <c r="BQ43" s="18"/>
      <c r="BR43" s="18"/>
      <c r="BS43" s="18"/>
      <c r="CO43" s="15"/>
      <c r="CP43" s="15"/>
    </row>
    <row r="44" spans="1:94" ht="32.25" customHeight="1" thickBot="1">
      <c r="D44" s="19"/>
      <c r="H44" s="20"/>
      <c r="I44" s="5"/>
      <c r="J44" s="4"/>
      <c r="K44" s="22"/>
      <c r="L44" s="22"/>
      <c r="Q44" s="135"/>
      <c r="R44" s="135"/>
      <c r="S44" s="135"/>
      <c r="T44" s="135"/>
      <c r="U44" s="135"/>
      <c r="V44" s="135"/>
      <c r="W44" s="2"/>
      <c r="X44" s="2"/>
      <c r="Y44" s="135"/>
      <c r="Z44" s="2"/>
      <c r="AA44" s="2"/>
      <c r="AB44" s="2"/>
      <c r="AC44" s="135"/>
      <c r="AD44" s="135"/>
      <c r="AE44" s="135"/>
      <c r="AF44" s="135"/>
      <c r="AG44" s="135"/>
      <c r="AH44" s="135"/>
      <c r="AI44" s="135"/>
      <c r="AJ44" s="135"/>
      <c r="AK44" s="135"/>
      <c r="AL44" s="136"/>
      <c r="AM44" s="137"/>
      <c r="AN44" s="137"/>
      <c r="AO44" s="137"/>
      <c r="AP44" s="137"/>
      <c r="AQ44" s="137"/>
      <c r="AR44" s="137"/>
      <c r="AS44" s="137"/>
      <c r="AT44" s="137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F44" s="141" t="s">
        <v>107</v>
      </c>
      <c r="BG44" s="142" t="s">
        <v>108</v>
      </c>
      <c r="BH44" s="142">
        <v>9</v>
      </c>
      <c r="BI44" s="143">
        <v>8199905</v>
      </c>
    </row>
    <row r="45" spans="1:94" ht="80.099999999999994" customHeight="1" thickBot="1">
      <c r="D45" s="19"/>
      <c r="G45" s="33"/>
      <c r="H45" s="20"/>
      <c r="I45" s="33"/>
      <c r="J45" s="4"/>
      <c r="K45" s="190" t="s">
        <v>30</v>
      </c>
      <c r="L45" s="191"/>
      <c r="M45" s="192"/>
      <c r="N45" s="4"/>
      <c r="O45" s="206" t="s">
        <v>45</v>
      </c>
      <c r="P45" s="207"/>
      <c r="Q45" s="207"/>
      <c r="R45" s="208"/>
      <c r="S45" s="135"/>
      <c r="U45" s="135"/>
      <c r="V45" s="135"/>
      <c r="W45" s="2"/>
      <c r="X45" s="2"/>
      <c r="Y45" s="135"/>
      <c r="Z45" s="2"/>
      <c r="AA45" s="2"/>
      <c r="AB45" s="2"/>
      <c r="AC45" s="135"/>
      <c r="AD45" s="135"/>
      <c r="AE45" s="135"/>
      <c r="AF45" s="135"/>
      <c r="AG45" s="135"/>
      <c r="AH45" s="135"/>
      <c r="AI45" s="135"/>
      <c r="AJ45" s="135"/>
      <c r="AK45" s="135"/>
      <c r="AL45" s="136"/>
      <c r="AM45" s="137"/>
      <c r="AN45" s="137"/>
      <c r="AO45" s="137"/>
      <c r="AP45" s="137"/>
      <c r="AQ45" s="137"/>
      <c r="AR45" s="137"/>
      <c r="AS45" s="137"/>
      <c r="AT45" s="137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F45" s="144" t="s">
        <v>109</v>
      </c>
      <c r="BG45" s="145" t="s">
        <v>108</v>
      </c>
      <c r="BH45" s="145">
        <v>9</v>
      </c>
      <c r="BI45" s="146">
        <v>2329069</v>
      </c>
    </row>
    <row r="46" spans="1:94" ht="54.95" customHeight="1">
      <c r="D46" s="47"/>
      <c r="E46" s="47"/>
      <c r="F46" s="47"/>
      <c r="G46" s="48" t="s">
        <v>12</v>
      </c>
      <c r="H46" s="20"/>
      <c r="I46" s="48" t="s">
        <v>13</v>
      </c>
      <c r="K46" s="147"/>
      <c r="L46" s="148"/>
      <c r="M46" s="149"/>
      <c r="N46" s="4"/>
      <c r="O46" s="147"/>
      <c r="P46" s="150"/>
      <c r="Q46" s="150"/>
      <c r="R46" s="149"/>
      <c r="U46" s="135"/>
      <c r="V46" s="135"/>
      <c r="W46" s="2"/>
      <c r="X46" s="2"/>
      <c r="Y46" s="135"/>
      <c r="Z46" s="2"/>
      <c r="AA46" s="2"/>
      <c r="AB46" s="2"/>
      <c r="AC46" s="135"/>
      <c r="AD46" s="135"/>
      <c r="AE46" s="135"/>
      <c r="AF46" s="135"/>
      <c r="AG46" s="135"/>
      <c r="AH46" s="135"/>
      <c r="AI46" s="135"/>
      <c r="AJ46" s="135"/>
      <c r="AK46" s="135"/>
      <c r="AL46" s="136"/>
      <c r="AM46" s="137"/>
      <c r="AN46" s="137"/>
      <c r="AO46" s="137"/>
      <c r="AP46" s="137"/>
      <c r="AQ46" s="137"/>
      <c r="AR46" s="137"/>
      <c r="AS46" s="137"/>
      <c r="AT46" s="137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F46" s="141" t="s">
        <v>110</v>
      </c>
      <c r="BG46" s="142" t="s">
        <v>108</v>
      </c>
      <c r="BH46" s="142">
        <v>9</v>
      </c>
      <c r="BI46" s="143">
        <v>4566544</v>
      </c>
    </row>
    <row r="47" spans="1:94" ht="54.95" customHeight="1" thickBot="1">
      <c r="D47" s="47" t="str">
        <f>+D6</f>
        <v>DIA</v>
      </c>
      <c r="E47" s="47" t="str">
        <f t="shared" ref="E47:F47" si="9">+E6</f>
        <v>SEM</v>
      </c>
      <c r="F47" s="47" t="str">
        <f t="shared" si="9"/>
        <v>SIT</v>
      </c>
      <c r="G47" s="67"/>
      <c r="H47" s="20"/>
      <c r="I47" s="67"/>
      <c r="K47" s="151" t="s">
        <v>111</v>
      </c>
      <c r="L47" s="152" t="s">
        <v>112</v>
      </c>
      <c r="M47" s="153" t="s">
        <v>16</v>
      </c>
      <c r="O47" s="154" t="s">
        <v>113</v>
      </c>
      <c r="P47" s="155" t="s">
        <v>114</v>
      </c>
      <c r="Q47" s="155" t="s">
        <v>115</v>
      </c>
      <c r="R47" s="153" t="s">
        <v>16</v>
      </c>
      <c r="U47" s="135"/>
      <c r="V47" s="135"/>
      <c r="W47" s="2"/>
      <c r="X47" s="2"/>
      <c r="Y47" s="135"/>
      <c r="Z47" s="2"/>
      <c r="AA47" s="2"/>
      <c r="AB47" s="2"/>
      <c r="AC47" s="135"/>
      <c r="AD47" s="135"/>
      <c r="AE47" s="135"/>
      <c r="AF47" s="135"/>
      <c r="AG47" s="135"/>
      <c r="AH47" s="135"/>
      <c r="AI47" s="135"/>
      <c r="AJ47" s="135"/>
      <c r="AK47" s="135"/>
      <c r="AL47" s="136"/>
      <c r="AM47" s="137"/>
      <c r="AN47" s="137"/>
      <c r="AO47" s="137"/>
      <c r="AP47" s="137"/>
      <c r="AQ47" s="137"/>
      <c r="AR47" s="137"/>
      <c r="AS47" s="137"/>
      <c r="AT47" s="137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F47" s="144" t="s">
        <v>116</v>
      </c>
      <c r="BG47" s="145" t="s">
        <v>108</v>
      </c>
      <c r="BH47" s="145">
        <v>9</v>
      </c>
      <c r="BI47" s="146">
        <v>393805</v>
      </c>
    </row>
    <row r="48" spans="1:94" ht="54.95" customHeight="1">
      <c r="D48" s="198" t="str">
        <f t="shared" ref="D48:F63" si="10">+D7</f>
        <v>mês anterior</v>
      </c>
      <c r="E48" s="204">
        <f t="shared" si="10"/>
        <v>0</v>
      </c>
      <c r="F48" s="205">
        <f t="shared" si="10"/>
        <v>0</v>
      </c>
      <c r="G48" s="75">
        <v>0</v>
      </c>
      <c r="H48" s="12"/>
      <c r="I48" s="75">
        <v>357470.37000000052</v>
      </c>
      <c r="J48" s="10"/>
      <c r="K48" s="76">
        <v>0</v>
      </c>
      <c r="L48" s="77">
        <v>0</v>
      </c>
      <c r="M48" s="75">
        <f>+K48+L48</f>
        <v>0</v>
      </c>
      <c r="N48" s="10"/>
      <c r="O48" s="76">
        <v>0</v>
      </c>
      <c r="P48" s="77">
        <v>0</v>
      </c>
      <c r="Q48" s="77">
        <v>0</v>
      </c>
      <c r="R48" s="75">
        <f>SUM(O48:Q48)</f>
        <v>0</v>
      </c>
      <c r="S48" s="15"/>
      <c r="T48" s="15"/>
      <c r="U48" s="15"/>
      <c r="V48" s="15"/>
      <c r="W48" s="10"/>
      <c r="X48" s="10"/>
      <c r="Y48" s="15"/>
      <c r="Z48" s="10"/>
      <c r="AA48" s="10"/>
      <c r="AB48" s="10"/>
      <c r="AC48" s="15"/>
      <c r="AD48" s="15"/>
      <c r="AE48" s="15"/>
      <c r="AF48" s="15"/>
      <c r="AG48" s="15"/>
      <c r="AH48" s="15"/>
      <c r="AI48" s="15"/>
      <c r="AJ48" s="15"/>
      <c r="AK48" s="135"/>
      <c r="AL48" s="136"/>
      <c r="AM48" s="137"/>
      <c r="AN48" s="137"/>
      <c r="AO48" s="137"/>
      <c r="AP48" s="137"/>
      <c r="AQ48" s="137"/>
      <c r="AR48" s="137"/>
      <c r="AS48" s="137"/>
      <c r="AT48" s="137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F48" s="141" t="s">
        <v>117</v>
      </c>
      <c r="BG48" s="142" t="s">
        <v>108</v>
      </c>
      <c r="BH48" s="142">
        <v>9</v>
      </c>
      <c r="BI48" s="143">
        <v>2310289</v>
      </c>
    </row>
    <row r="49" spans="4:94" s="5" customFormat="1" ht="54.95" customHeight="1">
      <c r="D49" s="80">
        <f t="shared" si="10"/>
        <v>1</v>
      </c>
      <c r="E49" s="81" t="str">
        <f t="shared" si="10"/>
        <v>qui</v>
      </c>
      <c r="F49" s="81" t="str">
        <f t="shared" si="10"/>
        <v>REAL</v>
      </c>
      <c r="G49" s="82">
        <f t="shared" ref="G49:G79" si="11">+I48</f>
        <v>357470.37000000052</v>
      </c>
      <c r="H49" s="12"/>
      <c r="I49" s="82">
        <f t="shared" ref="I49:I80" si="12">+G49+M49-R49</f>
        <v>357492.07000000053</v>
      </c>
      <c r="J49" s="12"/>
      <c r="K49" s="83">
        <v>21.7</v>
      </c>
      <c r="L49" s="79">
        <v>0</v>
      </c>
      <c r="M49" s="82">
        <f t="shared" ref="M49:M79" si="13">+K49+L49</f>
        <v>21.7</v>
      </c>
      <c r="N49" s="12"/>
      <c r="O49" s="83">
        <v>0</v>
      </c>
      <c r="P49" s="79">
        <v>0</v>
      </c>
      <c r="Q49" s="79">
        <v>0</v>
      </c>
      <c r="R49" s="82">
        <f t="shared" ref="R49" si="14">SUM(O49:Q49)</f>
        <v>0</v>
      </c>
      <c r="S49" s="84"/>
      <c r="T49" s="84"/>
      <c r="U49" s="84"/>
      <c r="V49" s="84"/>
      <c r="W49" s="12"/>
      <c r="X49" s="12"/>
      <c r="Y49" s="84"/>
      <c r="Z49" s="12"/>
      <c r="AA49" s="12"/>
      <c r="AB49" s="12"/>
      <c r="AC49" s="84"/>
      <c r="AD49" s="84"/>
      <c r="AE49" s="84"/>
      <c r="AF49" s="84"/>
      <c r="AG49" s="84"/>
      <c r="AH49" s="84"/>
      <c r="AI49" s="84"/>
      <c r="AJ49" s="84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6"/>
      <c r="BF49" s="158" t="s">
        <v>118</v>
      </c>
      <c r="BG49" s="159" t="s">
        <v>108</v>
      </c>
      <c r="BH49" s="159">
        <v>9</v>
      </c>
      <c r="BI49" s="160">
        <v>15038</v>
      </c>
      <c r="BK49" s="126"/>
      <c r="BL49" s="126"/>
      <c r="BM49" s="126"/>
      <c r="BN49" s="126"/>
      <c r="BO49" s="126"/>
      <c r="BP49" s="126"/>
      <c r="BQ49" s="126"/>
      <c r="BR49" s="126"/>
      <c r="BS49" s="126"/>
      <c r="CO49" s="157"/>
      <c r="CP49" s="157"/>
    </row>
    <row r="50" spans="4:94" s="5" customFormat="1" ht="54.95" customHeight="1">
      <c r="D50" s="80">
        <f t="shared" si="10"/>
        <v>2</v>
      </c>
      <c r="E50" s="81" t="str">
        <f t="shared" si="10"/>
        <v>sex</v>
      </c>
      <c r="F50" s="81" t="str">
        <f t="shared" si="10"/>
        <v>REAL</v>
      </c>
      <c r="G50" s="82">
        <f t="shared" si="11"/>
        <v>357492.07000000053</v>
      </c>
      <c r="H50" s="12"/>
      <c r="I50" s="82">
        <f t="shared" si="12"/>
        <v>357527.23000000051</v>
      </c>
      <c r="J50" s="12"/>
      <c r="K50" s="83">
        <v>35.159999999999997</v>
      </c>
      <c r="L50" s="79">
        <v>0</v>
      </c>
      <c r="M50" s="82">
        <f t="shared" si="13"/>
        <v>35.159999999999997</v>
      </c>
      <c r="N50" s="12"/>
      <c r="O50" s="83">
        <v>0</v>
      </c>
      <c r="P50" s="79">
        <v>0</v>
      </c>
      <c r="Q50" s="79">
        <v>0</v>
      </c>
      <c r="R50" s="82">
        <f t="shared" ref="R50:R79" si="15">SUM(O50:Q50)</f>
        <v>0</v>
      </c>
      <c r="S50" s="84"/>
      <c r="T50" s="84"/>
      <c r="U50" s="84"/>
      <c r="V50" s="84"/>
      <c r="W50" s="12"/>
      <c r="X50" s="12"/>
      <c r="Y50" s="84"/>
      <c r="Z50" s="12"/>
      <c r="AA50" s="12"/>
      <c r="AB50" s="12"/>
      <c r="AC50" s="84"/>
      <c r="AD50" s="84"/>
      <c r="AE50" s="84"/>
      <c r="AF50" s="84"/>
      <c r="AG50" s="84"/>
      <c r="AH50" s="84"/>
      <c r="AI50" s="84"/>
      <c r="AJ50" s="84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6"/>
      <c r="BF50" s="158" t="s">
        <v>119</v>
      </c>
      <c r="BG50" s="159" t="s">
        <v>108</v>
      </c>
      <c r="BH50" s="159">
        <v>9</v>
      </c>
      <c r="BI50" s="160">
        <v>87701</v>
      </c>
      <c r="BK50" s="126"/>
      <c r="BL50" s="126"/>
      <c r="BM50" s="126"/>
      <c r="BN50" s="126"/>
      <c r="BO50" s="126"/>
      <c r="BP50" s="126"/>
      <c r="BQ50" s="126"/>
      <c r="BR50" s="126"/>
      <c r="BS50" s="126"/>
      <c r="CO50" s="157"/>
      <c r="CP50" s="157"/>
    </row>
    <row r="51" spans="4:94" ht="54.95" hidden="1" customHeight="1">
      <c r="D51" s="95">
        <f t="shared" si="10"/>
        <v>3</v>
      </c>
      <c r="E51" s="96" t="str">
        <f t="shared" si="10"/>
        <v>sáb</v>
      </c>
      <c r="F51" s="96">
        <f t="shared" si="10"/>
        <v>0</v>
      </c>
      <c r="G51" s="97">
        <f t="shared" si="11"/>
        <v>357527.23000000051</v>
      </c>
      <c r="H51" s="98"/>
      <c r="I51" s="97">
        <f t="shared" si="12"/>
        <v>357527.23000000051</v>
      </c>
      <c r="J51" s="98"/>
      <c r="K51" s="99">
        <v>0</v>
      </c>
      <c r="L51" s="100">
        <v>0</v>
      </c>
      <c r="M51" s="97">
        <f t="shared" si="13"/>
        <v>0</v>
      </c>
      <c r="N51" s="98"/>
      <c r="O51" s="99">
        <v>0</v>
      </c>
      <c r="P51" s="100">
        <v>0</v>
      </c>
      <c r="Q51" s="100">
        <v>0</v>
      </c>
      <c r="R51" s="97">
        <f t="shared" si="15"/>
        <v>0</v>
      </c>
      <c r="S51" s="15"/>
      <c r="T51" s="15"/>
      <c r="U51" s="15"/>
      <c r="V51" s="15"/>
      <c r="W51" s="10"/>
      <c r="X51" s="10"/>
      <c r="Y51" s="15"/>
      <c r="Z51" s="10"/>
      <c r="AA51" s="10"/>
      <c r="AB51" s="10"/>
      <c r="AC51" s="15"/>
      <c r="AD51" s="15"/>
      <c r="AE51" s="15"/>
      <c r="AF51" s="15"/>
      <c r="AG51" s="15"/>
      <c r="AH51" s="15"/>
      <c r="AI51" s="15"/>
      <c r="AJ51" s="15"/>
      <c r="AK51" s="135"/>
      <c r="AL51" s="136"/>
      <c r="AM51" s="137"/>
      <c r="AN51" s="137"/>
      <c r="AO51" s="137"/>
      <c r="AP51" s="137"/>
      <c r="AQ51" s="137"/>
      <c r="AR51" s="137"/>
      <c r="AS51" s="137"/>
      <c r="AT51" s="137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F51" s="107" t="s">
        <v>65</v>
      </c>
      <c r="BG51" s="107" t="s">
        <v>108</v>
      </c>
      <c r="BH51" s="107">
        <v>11</v>
      </c>
      <c r="BI51" s="161">
        <v>1698760</v>
      </c>
    </row>
    <row r="52" spans="4:94" ht="54.95" hidden="1" customHeight="1">
      <c r="D52" s="95">
        <f t="shared" si="10"/>
        <v>4</v>
      </c>
      <c r="E52" s="96" t="str">
        <f t="shared" si="10"/>
        <v>dom</v>
      </c>
      <c r="F52" s="96">
        <f t="shared" si="10"/>
        <v>0</v>
      </c>
      <c r="G52" s="97">
        <f t="shared" si="11"/>
        <v>357527.23000000051</v>
      </c>
      <c r="H52" s="98"/>
      <c r="I52" s="97">
        <f t="shared" si="12"/>
        <v>357527.23000000051</v>
      </c>
      <c r="J52" s="98"/>
      <c r="K52" s="99">
        <v>0</v>
      </c>
      <c r="L52" s="100">
        <v>0</v>
      </c>
      <c r="M52" s="97">
        <f t="shared" si="13"/>
        <v>0</v>
      </c>
      <c r="N52" s="98"/>
      <c r="O52" s="99">
        <v>0</v>
      </c>
      <c r="P52" s="100">
        <v>0</v>
      </c>
      <c r="Q52" s="100">
        <v>0</v>
      </c>
      <c r="R52" s="97">
        <f t="shared" si="15"/>
        <v>0</v>
      </c>
      <c r="S52" s="15"/>
      <c r="T52" s="15"/>
      <c r="U52" s="15"/>
      <c r="V52" s="15"/>
      <c r="W52" s="10"/>
      <c r="X52" s="10"/>
      <c r="Y52" s="15"/>
      <c r="Z52" s="10"/>
      <c r="AA52" s="10"/>
      <c r="AB52" s="10"/>
      <c r="AC52" s="15"/>
      <c r="AD52" s="15"/>
      <c r="AE52" s="15"/>
      <c r="AF52" s="15"/>
      <c r="AG52" s="15"/>
      <c r="AH52" s="15"/>
      <c r="AI52" s="15"/>
      <c r="AJ52" s="15"/>
      <c r="AK52" s="135"/>
      <c r="AL52" s="136"/>
      <c r="AM52" s="137"/>
      <c r="AN52" s="137"/>
      <c r="AO52" s="137"/>
      <c r="AP52" s="137"/>
      <c r="AQ52" s="137"/>
      <c r="AR52" s="137"/>
      <c r="AS52" s="137"/>
      <c r="AT52" s="137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F52" s="114" t="s">
        <v>120</v>
      </c>
      <c r="BG52" s="114">
        <v>313</v>
      </c>
      <c r="BH52" s="114">
        <v>9</v>
      </c>
      <c r="BI52" s="115">
        <v>1500000</v>
      </c>
    </row>
    <row r="53" spans="4:94" s="5" customFormat="1" ht="54.95" customHeight="1">
      <c r="D53" s="80">
        <f t="shared" si="10"/>
        <v>5</v>
      </c>
      <c r="E53" s="81" t="str">
        <f t="shared" si="10"/>
        <v>seg</v>
      </c>
      <c r="F53" s="81" t="str">
        <f t="shared" si="10"/>
        <v>REAL</v>
      </c>
      <c r="G53" s="82">
        <f t="shared" si="11"/>
        <v>357527.23000000051</v>
      </c>
      <c r="H53" s="12"/>
      <c r="I53" s="82">
        <f t="shared" si="12"/>
        <v>357935.12000000052</v>
      </c>
      <c r="J53" s="12"/>
      <c r="K53" s="83">
        <f>85.4+382.49</f>
        <v>467.89</v>
      </c>
      <c r="L53" s="79">
        <v>0</v>
      </c>
      <c r="M53" s="82">
        <f t="shared" si="13"/>
        <v>467.89</v>
      </c>
      <c r="N53" s="12"/>
      <c r="O53" s="83">
        <v>0</v>
      </c>
      <c r="P53" s="79">
        <v>60</v>
      </c>
      <c r="Q53" s="79">
        <v>0</v>
      </c>
      <c r="R53" s="82">
        <f t="shared" si="15"/>
        <v>60</v>
      </c>
      <c r="S53" s="84"/>
      <c r="T53" s="84"/>
      <c r="U53" s="84"/>
      <c r="V53" s="84"/>
      <c r="W53" s="12"/>
      <c r="X53" s="12"/>
      <c r="Y53" s="84"/>
      <c r="Z53" s="12"/>
      <c r="AA53" s="12"/>
      <c r="AB53" s="12"/>
      <c r="AC53" s="84"/>
      <c r="AD53" s="84"/>
      <c r="AE53" s="84"/>
      <c r="AF53" s="84"/>
      <c r="AG53" s="84"/>
      <c r="AH53" s="84"/>
      <c r="AI53" s="84"/>
      <c r="AJ53" s="84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6"/>
      <c r="BF53" s="158"/>
      <c r="BG53" s="159"/>
      <c r="BH53" s="159"/>
      <c r="BI53" s="160"/>
      <c r="BK53" s="126"/>
      <c r="BL53" s="126"/>
      <c r="BM53" s="126"/>
      <c r="BN53" s="126"/>
      <c r="BO53" s="126"/>
      <c r="BP53" s="126"/>
      <c r="BQ53" s="126"/>
      <c r="BR53" s="126"/>
      <c r="BS53" s="126"/>
      <c r="CO53" s="157"/>
      <c r="CP53" s="157"/>
    </row>
    <row r="54" spans="4:94" s="5" customFormat="1" ht="54.95" customHeight="1">
      <c r="D54" s="80">
        <f t="shared" si="10"/>
        <v>6</v>
      </c>
      <c r="E54" s="81" t="str">
        <f t="shared" si="10"/>
        <v>ter</v>
      </c>
      <c r="F54" s="81" t="str">
        <f t="shared" si="10"/>
        <v>REAL</v>
      </c>
      <c r="G54" s="82">
        <f t="shared" si="11"/>
        <v>357935.12000000052</v>
      </c>
      <c r="H54" s="12"/>
      <c r="I54" s="82">
        <f t="shared" si="12"/>
        <v>357048.96000000054</v>
      </c>
      <c r="J54" s="12"/>
      <c r="K54" s="83">
        <v>55.75</v>
      </c>
      <c r="L54" s="79">
        <v>0</v>
      </c>
      <c r="M54" s="82">
        <f t="shared" si="13"/>
        <v>55.75</v>
      </c>
      <c r="N54" s="12"/>
      <c r="O54" s="83">
        <v>0</v>
      </c>
      <c r="P54" s="79">
        <v>941.91</v>
      </c>
      <c r="Q54" s="79">
        <v>0</v>
      </c>
      <c r="R54" s="82">
        <f t="shared" si="15"/>
        <v>941.91</v>
      </c>
      <c r="S54" s="84"/>
      <c r="T54" s="84"/>
      <c r="U54" s="84"/>
      <c r="V54" s="84"/>
      <c r="W54" s="12"/>
      <c r="X54" s="12"/>
      <c r="Y54" s="84"/>
      <c r="Z54" s="12"/>
      <c r="AA54" s="12"/>
      <c r="AB54" s="12"/>
      <c r="AC54" s="84"/>
      <c r="AD54" s="84"/>
      <c r="AE54" s="84"/>
      <c r="AF54" s="84"/>
      <c r="AG54" s="84"/>
      <c r="AH54" s="84"/>
      <c r="AI54" s="84"/>
      <c r="AJ54" s="84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6"/>
      <c r="BF54" s="158" t="s">
        <v>121</v>
      </c>
      <c r="BG54" s="159">
        <v>314</v>
      </c>
      <c r="BH54" s="159"/>
      <c r="BI54" s="160">
        <f>SUM(BI55:BI57)</f>
        <v>12048036</v>
      </c>
      <c r="BK54" s="126"/>
      <c r="BL54" s="126"/>
      <c r="BM54" s="126"/>
      <c r="BN54" s="126"/>
      <c r="BO54" s="126"/>
      <c r="BP54" s="126"/>
      <c r="BQ54" s="126"/>
      <c r="BR54" s="126"/>
      <c r="BS54" s="126"/>
      <c r="CO54" s="157"/>
      <c r="CP54" s="157"/>
    </row>
    <row r="55" spans="4:94" s="5" customFormat="1" ht="54.95" customHeight="1">
      <c r="D55" s="80">
        <f t="shared" si="10"/>
        <v>7</v>
      </c>
      <c r="E55" s="81" t="str">
        <f t="shared" si="10"/>
        <v>qua</v>
      </c>
      <c r="F55" s="81" t="str">
        <f t="shared" si="10"/>
        <v>REAL</v>
      </c>
      <c r="G55" s="82">
        <f t="shared" si="11"/>
        <v>357048.96000000054</v>
      </c>
      <c r="H55" s="12"/>
      <c r="I55" s="82">
        <f t="shared" si="12"/>
        <v>344849.67000000057</v>
      </c>
      <c r="J55" s="12"/>
      <c r="K55" s="83">
        <v>63.71</v>
      </c>
      <c r="L55" s="79">
        <v>0</v>
      </c>
      <c r="M55" s="82">
        <f t="shared" si="13"/>
        <v>63.71</v>
      </c>
      <c r="N55" s="12"/>
      <c r="O55" s="83">
        <v>0</v>
      </c>
      <c r="P55" s="79">
        <v>12263</v>
      </c>
      <c r="Q55" s="79">
        <v>0</v>
      </c>
      <c r="R55" s="82">
        <f t="shared" si="15"/>
        <v>12263</v>
      </c>
      <c r="S55" s="84"/>
      <c r="T55" s="84"/>
      <c r="U55" s="84"/>
      <c r="V55" s="84"/>
      <c r="W55" s="12"/>
      <c r="X55" s="12"/>
      <c r="Y55" s="84"/>
      <c r="Z55" s="12"/>
      <c r="AA55" s="12"/>
      <c r="AB55" s="12"/>
      <c r="AC55" s="84"/>
      <c r="AD55" s="84"/>
      <c r="AE55" s="84"/>
      <c r="AF55" s="84"/>
      <c r="AG55" s="84"/>
      <c r="AH55" s="84"/>
      <c r="AI55" s="84"/>
      <c r="AJ55" s="84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6"/>
      <c r="BF55" s="158" t="s">
        <v>122</v>
      </c>
      <c r="BG55" s="159" t="s">
        <v>108</v>
      </c>
      <c r="BH55" s="159">
        <v>9</v>
      </c>
      <c r="BI55" s="160">
        <v>863376</v>
      </c>
      <c r="BK55" s="126"/>
      <c r="BL55" s="126"/>
      <c r="BM55" s="126"/>
      <c r="BN55" s="126"/>
      <c r="BO55" s="126"/>
      <c r="BP55" s="126"/>
      <c r="BQ55" s="126"/>
      <c r="BR55" s="126"/>
      <c r="BS55" s="126"/>
      <c r="CO55" s="157"/>
      <c r="CP55" s="157"/>
    </row>
    <row r="56" spans="4:94" s="5" customFormat="1" ht="54.95" customHeight="1">
      <c r="D56" s="80">
        <f t="shared" si="10"/>
        <v>8</v>
      </c>
      <c r="E56" s="81" t="str">
        <f t="shared" si="10"/>
        <v>qui</v>
      </c>
      <c r="F56" s="81" t="str">
        <f t="shared" si="10"/>
        <v>REAL</v>
      </c>
      <c r="G56" s="82">
        <f t="shared" si="11"/>
        <v>344849.67000000057</v>
      </c>
      <c r="H56" s="12"/>
      <c r="I56" s="82">
        <f t="shared" si="12"/>
        <v>344928.54000000056</v>
      </c>
      <c r="J56" s="12"/>
      <c r="K56" s="83">
        <v>78.87</v>
      </c>
      <c r="L56" s="79">
        <v>0</v>
      </c>
      <c r="M56" s="82">
        <f t="shared" si="13"/>
        <v>78.87</v>
      </c>
      <c r="N56" s="12"/>
      <c r="O56" s="83">
        <v>0</v>
      </c>
      <c r="P56" s="79">
        <v>0</v>
      </c>
      <c r="Q56" s="79">
        <v>0</v>
      </c>
      <c r="R56" s="82">
        <f t="shared" si="15"/>
        <v>0</v>
      </c>
      <c r="S56" s="84"/>
      <c r="T56" s="84"/>
      <c r="U56" s="84"/>
      <c r="V56" s="84"/>
      <c r="W56" s="12"/>
      <c r="X56" s="12"/>
      <c r="Y56" s="84"/>
      <c r="Z56" s="12"/>
      <c r="AA56" s="12"/>
      <c r="AB56" s="12"/>
      <c r="AC56" s="84"/>
      <c r="AD56" s="84"/>
      <c r="AE56" s="84"/>
      <c r="AF56" s="84"/>
      <c r="AG56" s="84"/>
      <c r="AH56" s="84"/>
      <c r="AI56" s="84"/>
      <c r="AJ56" s="84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6"/>
      <c r="BF56" s="158" t="s">
        <v>123</v>
      </c>
      <c r="BG56" s="159" t="s">
        <v>108</v>
      </c>
      <c r="BH56" s="159">
        <v>9</v>
      </c>
      <c r="BI56" s="160">
        <v>2044943</v>
      </c>
      <c r="BK56" s="126"/>
      <c r="BL56" s="126"/>
      <c r="BM56" s="126"/>
      <c r="BN56" s="126"/>
      <c r="BO56" s="126"/>
      <c r="BP56" s="126"/>
      <c r="BQ56" s="126"/>
      <c r="BR56" s="126"/>
      <c r="BS56" s="126"/>
      <c r="CO56" s="157"/>
      <c r="CP56" s="157"/>
    </row>
    <row r="57" spans="4:94" s="5" customFormat="1" ht="54.95" customHeight="1">
      <c r="D57" s="80">
        <f t="shared" si="10"/>
        <v>9</v>
      </c>
      <c r="E57" s="81" t="str">
        <f t="shared" si="10"/>
        <v>sex</v>
      </c>
      <c r="F57" s="81" t="str">
        <f t="shared" si="10"/>
        <v>REAL</v>
      </c>
      <c r="G57" s="82">
        <f t="shared" si="11"/>
        <v>344928.54000000056</v>
      </c>
      <c r="H57" s="12"/>
      <c r="I57" s="82">
        <f t="shared" si="12"/>
        <v>345397.66000000056</v>
      </c>
      <c r="J57" s="12"/>
      <c r="K57" s="83">
        <f>392.47+76.65</f>
        <v>469.12</v>
      </c>
      <c r="L57" s="79">
        <v>0</v>
      </c>
      <c r="M57" s="82">
        <f t="shared" si="13"/>
        <v>469.12</v>
      </c>
      <c r="N57" s="12"/>
      <c r="O57" s="83">
        <v>0</v>
      </c>
      <c r="P57" s="79">
        <v>0</v>
      </c>
      <c r="Q57" s="79">
        <v>0</v>
      </c>
      <c r="R57" s="82">
        <f t="shared" si="15"/>
        <v>0</v>
      </c>
      <c r="S57" s="84"/>
      <c r="T57" s="84"/>
      <c r="U57" s="84"/>
      <c r="V57" s="84"/>
      <c r="W57" s="12"/>
      <c r="X57" s="12"/>
      <c r="Y57" s="84"/>
      <c r="Z57" s="12"/>
      <c r="AA57" s="12"/>
      <c r="AB57" s="12"/>
      <c r="AC57" s="84"/>
      <c r="AD57" s="84"/>
      <c r="AE57" s="84"/>
      <c r="AF57" s="84"/>
      <c r="AG57" s="84"/>
      <c r="AH57" s="84"/>
      <c r="AI57" s="84"/>
      <c r="AJ57" s="84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6"/>
      <c r="BF57" s="158" t="s">
        <v>124</v>
      </c>
      <c r="BG57" s="159" t="s">
        <v>108</v>
      </c>
      <c r="BH57" s="159">
        <v>9</v>
      </c>
      <c r="BI57" s="160">
        <v>9139717</v>
      </c>
      <c r="BK57" s="126"/>
      <c r="BL57" s="126"/>
      <c r="BM57" s="126"/>
      <c r="BN57" s="126"/>
      <c r="BO57" s="126"/>
      <c r="BP57" s="126"/>
      <c r="BQ57" s="126"/>
      <c r="BR57" s="126"/>
      <c r="BS57" s="126"/>
      <c r="CO57" s="157"/>
      <c r="CP57" s="157"/>
    </row>
    <row r="58" spans="4:94" ht="54.95" hidden="1" customHeight="1">
      <c r="D58" s="95">
        <f t="shared" si="10"/>
        <v>10</v>
      </c>
      <c r="E58" s="96" t="str">
        <f t="shared" si="10"/>
        <v>sáb</v>
      </c>
      <c r="F58" s="96">
        <f t="shared" si="10"/>
        <v>0</v>
      </c>
      <c r="G58" s="97">
        <f t="shared" si="11"/>
        <v>345397.66000000056</v>
      </c>
      <c r="H58" s="98"/>
      <c r="I58" s="97">
        <f t="shared" si="12"/>
        <v>345397.66000000056</v>
      </c>
      <c r="J58" s="98"/>
      <c r="K58" s="99">
        <v>0</v>
      </c>
      <c r="L58" s="100">
        <v>0</v>
      </c>
      <c r="M58" s="97">
        <f t="shared" si="13"/>
        <v>0</v>
      </c>
      <c r="N58" s="98"/>
      <c r="O58" s="99">
        <v>0</v>
      </c>
      <c r="P58" s="100">
        <v>0</v>
      </c>
      <c r="Q58" s="100">
        <v>0</v>
      </c>
      <c r="R58" s="97">
        <f t="shared" si="15"/>
        <v>0</v>
      </c>
      <c r="S58" s="15"/>
      <c r="T58" s="15"/>
      <c r="U58" s="15"/>
      <c r="V58" s="15"/>
      <c r="W58" s="10"/>
      <c r="X58" s="10"/>
      <c r="Y58" s="15"/>
      <c r="Z58" s="10"/>
      <c r="AA58" s="10"/>
      <c r="AB58" s="10"/>
      <c r="AC58" s="15"/>
      <c r="AD58" s="15"/>
      <c r="AE58" s="15"/>
      <c r="AF58" s="15"/>
      <c r="AG58" s="15"/>
      <c r="AH58" s="15"/>
      <c r="AI58" s="15"/>
      <c r="AJ58" s="15"/>
      <c r="AK58" s="135"/>
      <c r="AL58" s="136"/>
      <c r="AM58" s="137"/>
      <c r="AN58" s="137"/>
      <c r="AO58" s="137"/>
      <c r="AP58" s="137"/>
      <c r="AQ58" s="137"/>
      <c r="AR58" s="137"/>
      <c r="AS58" s="137"/>
      <c r="AT58" s="137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F58" s="66" t="s">
        <v>125</v>
      </c>
      <c r="BG58" s="66">
        <v>321</v>
      </c>
      <c r="BH58" s="66">
        <v>9</v>
      </c>
      <c r="BI58" s="115">
        <v>150000</v>
      </c>
    </row>
    <row r="59" spans="4:94" ht="54.95" hidden="1" customHeight="1">
      <c r="D59" s="95">
        <f t="shared" si="10"/>
        <v>11</v>
      </c>
      <c r="E59" s="96" t="str">
        <f t="shared" si="10"/>
        <v>dom</v>
      </c>
      <c r="F59" s="96">
        <f t="shared" si="10"/>
        <v>0</v>
      </c>
      <c r="G59" s="97">
        <f t="shared" si="11"/>
        <v>345397.66000000056</v>
      </c>
      <c r="H59" s="98"/>
      <c r="I59" s="97">
        <f t="shared" si="12"/>
        <v>345397.66000000056</v>
      </c>
      <c r="J59" s="98"/>
      <c r="K59" s="99">
        <v>0</v>
      </c>
      <c r="L59" s="100">
        <v>0</v>
      </c>
      <c r="M59" s="97">
        <f t="shared" si="13"/>
        <v>0</v>
      </c>
      <c r="N59" s="98"/>
      <c r="O59" s="99">
        <v>0</v>
      </c>
      <c r="P59" s="100">
        <v>0</v>
      </c>
      <c r="Q59" s="100">
        <v>0</v>
      </c>
      <c r="R59" s="97">
        <f t="shared" si="15"/>
        <v>0</v>
      </c>
      <c r="S59" s="15"/>
      <c r="T59" s="15"/>
      <c r="U59" s="15"/>
      <c r="V59" s="15"/>
      <c r="W59" s="10"/>
      <c r="X59" s="10"/>
      <c r="Y59" s="15"/>
      <c r="Z59" s="10"/>
      <c r="AA59" s="10"/>
      <c r="AB59" s="10"/>
      <c r="AC59" s="15"/>
      <c r="AD59" s="15"/>
      <c r="AE59" s="15"/>
      <c r="AF59" s="15"/>
      <c r="AG59" s="15"/>
      <c r="AH59" s="15"/>
      <c r="AI59" s="15"/>
      <c r="AJ59" s="15"/>
      <c r="AK59" s="135"/>
      <c r="AL59" s="136"/>
      <c r="AM59" s="137"/>
      <c r="AN59" s="137"/>
      <c r="AO59" s="137"/>
      <c r="AP59" s="137"/>
      <c r="AQ59" s="137"/>
      <c r="AR59" s="137"/>
      <c r="AS59" s="137"/>
      <c r="AT59" s="137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F59" s="107" t="s">
        <v>126</v>
      </c>
      <c r="BG59" s="107">
        <v>352</v>
      </c>
      <c r="BH59" s="107">
        <v>13</v>
      </c>
      <c r="BI59" s="113">
        <v>1084180</v>
      </c>
    </row>
    <row r="60" spans="4:94" s="5" customFormat="1" ht="54.95" customHeight="1">
      <c r="D60" s="80">
        <f t="shared" si="10"/>
        <v>12</v>
      </c>
      <c r="E60" s="81" t="str">
        <f t="shared" si="10"/>
        <v>seg</v>
      </c>
      <c r="F60" s="81" t="str">
        <f t="shared" si="10"/>
        <v>REAL</v>
      </c>
      <c r="G60" s="82">
        <f t="shared" si="11"/>
        <v>345397.66000000056</v>
      </c>
      <c r="H60" s="12"/>
      <c r="I60" s="82">
        <f t="shared" si="12"/>
        <v>345571.37000000058</v>
      </c>
      <c r="J60" s="12"/>
      <c r="K60" s="83">
        <v>173.71</v>
      </c>
      <c r="L60" s="79">
        <v>0</v>
      </c>
      <c r="M60" s="82">
        <f t="shared" si="13"/>
        <v>173.71</v>
      </c>
      <c r="N60" s="12"/>
      <c r="O60" s="83">
        <v>0</v>
      </c>
      <c r="P60" s="79">
        <v>0</v>
      </c>
      <c r="Q60" s="79">
        <v>0</v>
      </c>
      <c r="R60" s="82">
        <f t="shared" si="15"/>
        <v>0</v>
      </c>
      <c r="S60" s="84"/>
      <c r="T60" s="84"/>
      <c r="U60" s="84"/>
      <c r="V60" s="84"/>
      <c r="W60" s="12"/>
      <c r="X60" s="12"/>
      <c r="Y60" s="84"/>
      <c r="Z60" s="12"/>
      <c r="AA60" s="12"/>
      <c r="AB60" s="12"/>
      <c r="AC60" s="84"/>
      <c r="AD60" s="84"/>
      <c r="AE60" s="84"/>
      <c r="AF60" s="84"/>
      <c r="AG60" s="84"/>
      <c r="AH60" s="84"/>
      <c r="AI60" s="84"/>
      <c r="AJ60" s="84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6"/>
      <c r="BF60" s="158" t="s">
        <v>127</v>
      </c>
      <c r="BG60" s="159">
        <v>322</v>
      </c>
      <c r="BH60" s="159"/>
      <c r="BI60" s="160">
        <f>SUM(BI61:BI62)</f>
        <v>642860</v>
      </c>
      <c r="BK60" s="126"/>
      <c r="BL60" s="126"/>
      <c r="BM60" s="126"/>
      <c r="BN60" s="126"/>
      <c r="BO60" s="126"/>
      <c r="BP60" s="126"/>
      <c r="BQ60" s="126"/>
      <c r="BR60" s="126"/>
      <c r="BS60" s="126"/>
      <c r="CO60" s="157"/>
      <c r="CP60" s="157"/>
    </row>
    <row r="61" spans="4:94" s="5" customFormat="1" ht="54.95" customHeight="1">
      <c r="D61" s="80">
        <f t="shared" si="10"/>
        <v>13</v>
      </c>
      <c r="E61" s="81" t="str">
        <f t="shared" si="10"/>
        <v>ter</v>
      </c>
      <c r="F61" s="81" t="str">
        <f t="shared" si="10"/>
        <v>REAL</v>
      </c>
      <c r="G61" s="82">
        <f t="shared" si="11"/>
        <v>345571.37000000058</v>
      </c>
      <c r="H61" s="12"/>
      <c r="I61" s="82">
        <f t="shared" si="12"/>
        <v>345673.04000000056</v>
      </c>
      <c r="J61" s="12"/>
      <c r="K61" s="83">
        <v>101.67</v>
      </c>
      <c r="L61" s="79">
        <v>0</v>
      </c>
      <c r="M61" s="82">
        <f t="shared" si="13"/>
        <v>101.67</v>
      </c>
      <c r="N61" s="12"/>
      <c r="O61" s="83">
        <v>0</v>
      </c>
      <c r="P61" s="79">
        <v>0</v>
      </c>
      <c r="Q61" s="79">
        <v>0</v>
      </c>
      <c r="R61" s="82">
        <f t="shared" si="15"/>
        <v>0</v>
      </c>
      <c r="S61" s="84"/>
      <c r="T61" s="84"/>
      <c r="U61" s="84"/>
      <c r="V61" s="84"/>
      <c r="W61" s="12"/>
      <c r="X61" s="12"/>
      <c r="Y61" s="84"/>
      <c r="Z61" s="12"/>
      <c r="AA61" s="12"/>
      <c r="AB61" s="12"/>
      <c r="AC61" s="84"/>
      <c r="AD61" s="84"/>
      <c r="AE61" s="84"/>
      <c r="AF61" s="84"/>
      <c r="AG61" s="84"/>
      <c r="AH61" s="84"/>
      <c r="AI61" s="84"/>
      <c r="AJ61" s="84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6"/>
      <c r="BF61" s="158" t="s">
        <v>128</v>
      </c>
      <c r="BG61" s="159" t="s">
        <v>108</v>
      </c>
      <c r="BH61" s="159">
        <v>13</v>
      </c>
      <c r="BI61" s="160">
        <v>251486</v>
      </c>
      <c r="BK61" s="126"/>
      <c r="BL61" s="126"/>
      <c r="BM61" s="126"/>
      <c r="BN61" s="126"/>
      <c r="BO61" s="126"/>
      <c r="BP61" s="126"/>
      <c r="BQ61" s="126"/>
      <c r="BR61" s="126"/>
      <c r="BS61" s="126"/>
      <c r="CO61" s="157"/>
      <c r="CP61" s="157"/>
    </row>
    <row r="62" spans="4:94" s="5" customFormat="1" ht="54.95" customHeight="1">
      <c r="D62" s="80">
        <f t="shared" si="10"/>
        <v>14</v>
      </c>
      <c r="E62" s="81" t="str">
        <f t="shared" si="10"/>
        <v>qua</v>
      </c>
      <c r="F62" s="81" t="str">
        <f t="shared" si="10"/>
        <v>REAL</v>
      </c>
      <c r="G62" s="82">
        <f t="shared" si="11"/>
        <v>345673.04000000056</v>
      </c>
      <c r="H62" s="12"/>
      <c r="I62" s="82">
        <f t="shared" si="12"/>
        <v>345797.97000000055</v>
      </c>
      <c r="J62" s="12"/>
      <c r="K62" s="83">
        <v>124.93</v>
      </c>
      <c r="L62" s="79">
        <v>0</v>
      </c>
      <c r="M62" s="82">
        <f t="shared" si="13"/>
        <v>124.93</v>
      </c>
      <c r="N62" s="12"/>
      <c r="O62" s="83">
        <v>0</v>
      </c>
      <c r="P62" s="79">
        <v>0</v>
      </c>
      <c r="Q62" s="79">
        <v>0</v>
      </c>
      <c r="R62" s="82">
        <f t="shared" si="15"/>
        <v>0</v>
      </c>
      <c r="S62" s="84"/>
      <c r="T62" s="84"/>
      <c r="U62" s="84"/>
      <c r="V62" s="84"/>
      <c r="W62" s="12"/>
      <c r="X62" s="12"/>
      <c r="Y62" s="84"/>
      <c r="Z62" s="12"/>
      <c r="AA62" s="12"/>
      <c r="AB62" s="12"/>
      <c r="AC62" s="84"/>
      <c r="AD62" s="84"/>
      <c r="AE62" s="84"/>
      <c r="AF62" s="84"/>
      <c r="AG62" s="84"/>
      <c r="AH62" s="84"/>
      <c r="AI62" s="84"/>
      <c r="AJ62" s="84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6"/>
      <c r="BF62" s="158" t="s">
        <v>129</v>
      </c>
      <c r="BG62" s="159" t="s">
        <v>108</v>
      </c>
      <c r="BH62" s="159">
        <v>13</v>
      </c>
      <c r="BI62" s="160">
        <v>391374</v>
      </c>
      <c r="BK62" s="126"/>
      <c r="BL62" s="126"/>
      <c r="BM62" s="126"/>
      <c r="BN62" s="126"/>
      <c r="BO62" s="126"/>
      <c r="BP62" s="126"/>
      <c r="BQ62" s="126"/>
      <c r="BR62" s="126"/>
      <c r="BS62" s="126"/>
      <c r="CO62" s="157"/>
      <c r="CP62" s="157"/>
    </row>
    <row r="63" spans="4:94" s="5" customFormat="1" ht="54.95" customHeight="1">
      <c r="D63" s="80">
        <f t="shared" si="10"/>
        <v>15</v>
      </c>
      <c r="E63" s="81" t="str">
        <f t="shared" si="10"/>
        <v>qui</v>
      </c>
      <c r="F63" s="81" t="str">
        <f t="shared" si="10"/>
        <v>REAL</v>
      </c>
      <c r="G63" s="82">
        <f t="shared" si="11"/>
        <v>345797.97000000055</v>
      </c>
      <c r="H63" s="12"/>
      <c r="I63" s="82">
        <f t="shared" si="12"/>
        <v>344321.13000000053</v>
      </c>
      <c r="J63" s="12"/>
      <c r="K63" s="83">
        <v>119.04</v>
      </c>
      <c r="L63" s="79">
        <v>0</v>
      </c>
      <c r="M63" s="82">
        <f t="shared" si="13"/>
        <v>119.04</v>
      </c>
      <c r="N63" s="12"/>
      <c r="O63" s="83">
        <v>1595.88</v>
      </c>
      <c r="P63" s="79">
        <v>0</v>
      </c>
      <c r="Q63" s="79">
        <v>0</v>
      </c>
      <c r="R63" s="82">
        <f t="shared" si="15"/>
        <v>1595.88</v>
      </c>
      <c r="S63" s="84"/>
      <c r="T63" s="84"/>
      <c r="U63" s="84"/>
      <c r="V63" s="84"/>
      <c r="W63" s="12"/>
      <c r="X63" s="12"/>
      <c r="Y63" s="84"/>
      <c r="Z63" s="12"/>
      <c r="AA63" s="12"/>
      <c r="AB63" s="12"/>
      <c r="AC63" s="84"/>
      <c r="AD63" s="84"/>
      <c r="AE63" s="84"/>
      <c r="AF63" s="84"/>
      <c r="AG63" s="84"/>
      <c r="AH63" s="84"/>
      <c r="AI63" s="84"/>
      <c r="AJ63" s="84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6"/>
      <c r="BF63" s="158" t="s">
        <v>130</v>
      </c>
      <c r="BG63" s="159"/>
      <c r="BH63" s="159"/>
      <c r="BI63" s="160">
        <f>SUM(BI64:BI65)</f>
        <v>7849446</v>
      </c>
      <c r="BK63" s="126"/>
      <c r="BL63" s="126"/>
      <c r="BM63" s="126"/>
      <c r="BN63" s="126"/>
      <c r="BO63" s="126"/>
      <c r="BP63" s="126"/>
      <c r="BQ63" s="126"/>
      <c r="BR63" s="126"/>
      <c r="BS63" s="126"/>
      <c r="CO63" s="157"/>
      <c r="CP63" s="157"/>
    </row>
    <row r="64" spans="4:94" s="5" customFormat="1" ht="54.95" customHeight="1">
      <c r="D64" s="80">
        <f t="shared" ref="D64:F79" si="16">+D23</f>
        <v>16</v>
      </c>
      <c r="E64" s="81" t="str">
        <f t="shared" si="16"/>
        <v>sex</v>
      </c>
      <c r="F64" s="81" t="str">
        <f t="shared" si="16"/>
        <v>REAL</v>
      </c>
      <c r="G64" s="82">
        <f t="shared" si="11"/>
        <v>344321.13000000053</v>
      </c>
      <c r="H64" s="12"/>
      <c r="I64" s="82">
        <f t="shared" si="12"/>
        <v>3160855.58</v>
      </c>
      <c r="J64" s="12"/>
      <c r="K64" s="83">
        <v>128.36000000000001</v>
      </c>
      <c r="L64" s="79">
        <v>2816406.09</v>
      </c>
      <c r="M64" s="82">
        <f t="shared" si="13"/>
        <v>2816534.4499999997</v>
      </c>
      <c r="N64" s="12"/>
      <c r="O64" s="83">
        <v>0</v>
      </c>
      <c r="P64" s="79">
        <v>0</v>
      </c>
      <c r="Q64" s="79">
        <v>0</v>
      </c>
      <c r="R64" s="82">
        <f t="shared" si="15"/>
        <v>0</v>
      </c>
      <c r="S64" s="84"/>
      <c r="T64" s="84"/>
      <c r="U64" s="84"/>
      <c r="V64" s="84"/>
      <c r="W64" s="12"/>
      <c r="X64" s="12"/>
      <c r="Y64" s="84"/>
      <c r="Z64" s="12"/>
      <c r="AA64" s="12"/>
      <c r="AB64" s="12"/>
      <c r="AC64" s="84"/>
      <c r="AD64" s="84"/>
      <c r="AE64" s="84"/>
      <c r="AF64" s="84"/>
      <c r="AG64" s="84"/>
      <c r="AH64" s="84"/>
      <c r="AI64" s="84"/>
      <c r="AJ64" s="84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6"/>
      <c r="BF64" s="158" t="s">
        <v>131</v>
      </c>
      <c r="BG64" s="159">
        <v>331</v>
      </c>
      <c r="BH64" s="159">
        <v>12</v>
      </c>
      <c r="BI64" s="160">
        <v>269260</v>
      </c>
      <c r="BK64" s="126"/>
      <c r="BL64" s="126"/>
      <c r="BM64" s="126"/>
      <c r="BN64" s="126"/>
      <c r="BO64" s="126"/>
      <c r="BP64" s="126"/>
      <c r="BQ64" s="126"/>
      <c r="BR64" s="126"/>
      <c r="BS64" s="126"/>
      <c r="CO64" s="157"/>
      <c r="CP64" s="157"/>
    </row>
    <row r="65" spans="1:94" ht="54.95" hidden="1" customHeight="1" thickBot="1">
      <c r="D65" s="95">
        <f t="shared" si="16"/>
        <v>17</v>
      </c>
      <c r="E65" s="96" t="str">
        <f t="shared" si="16"/>
        <v>sáb</v>
      </c>
      <c r="F65" s="96">
        <f t="shared" si="16"/>
        <v>0</v>
      </c>
      <c r="G65" s="97">
        <f t="shared" si="11"/>
        <v>3160855.58</v>
      </c>
      <c r="H65" s="98"/>
      <c r="I65" s="97">
        <f t="shared" si="12"/>
        <v>3160855.58</v>
      </c>
      <c r="J65" s="98"/>
      <c r="K65" s="99">
        <v>0</v>
      </c>
      <c r="L65" s="100">
        <v>0</v>
      </c>
      <c r="M65" s="97">
        <f t="shared" si="13"/>
        <v>0</v>
      </c>
      <c r="N65" s="98"/>
      <c r="O65" s="99">
        <v>0</v>
      </c>
      <c r="P65" s="100">
        <v>0</v>
      </c>
      <c r="Q65" s="100">
        <v>0</v>
      </c>
      <c r="R65" s="97">
        <f t="shared" si="15"/>
        <v>0</v>
      </c>
      <c r="S65" s="15"/>
      <c r="T65" s="15"/>
      <c r="U65" s="15"/>
      <c r="V65" s="15"/>
      <c r="W65" s="10"/>
      <c r="X65" s="10"/>
      <c r="Y65" s="15"/>
      <c r="Z65" s="10"/>
      <c r="AA65" s="10"/>
      <c r="AB65" s="10"/>
      <c r="AC65" s="15"/>
      <c r="AD65" s="15"/>
      <c r="AE65" s="15"/>
      <c r="AF65" s="15"/>
      <c r="AG65" s="15"/>
      <c r="AH65" s="15"/>
      <c r="AI65" s="15"/>
      <c r="AJ65" s="15"/>
      <c r="AK65" s="135"/>
      <c r="AL65" s="136"/>
      <c r="AM65" s="137"/>
      <c r="AN65" s="137"/>
      <c r="AO65" s="137"/>
      <c r="AP65" s="137"/>
      <c r="AQ65" s="137"/>
      <c r="AR65" s="137"/>
      <c r="AS65" s="137"/>
      <c r="AT65" s="137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F65" s="162" t="s">
        <v>132</v>
      </c>
      <c r="BG65" s="163">
        <v>332</v>
      </c>
      <c r="BH65" s="163">
        <v>15</v>
      </c>
      <c r="BI65" s="164">
        <v>7580186</v>
      </c>
    </row>
    <row r="66" spans="1:94" ht="54.95" hidden="1" customHeight="1" thickBot="1">
      <c r="D66" s="95">
        <f t="shared" si="16"/>
        <v>18</v>
      </c>
      <c r="E66" s="96" t="str">
        <f t="shared" si="16"/>
        <v>dom</v>
      </c>
      <c r="F66" s="96">
        <f t="shared" si="16"/>
        <v>0</v>
      </c>
      <c r="G66" s="97">
        <f t="shared" si="11"/>
        <v>3160855.58</v>
      </c>
      <c r="H66" s="98"/>
      <c r="I66" s="97">
        <f t="shared" si="12"/>
        <v>3160855.58</v>
      </c>
      <c r="J66" s="98"/>
      <c r="K66" s="99">
        <v>0</v>
      </c>
      <c r="L66" s="100">
        <v>0</v>
      </c>
      <c r="M66" s="97">
        <f t="shared" si="13"/>
        <v>0</v>
      </c>
      <c r="N66" s="98"/>
      <c r="O66" s="99">
        <v>0</v>
      </c>
      <c r="P66" s="100">
        <v>0</v>
      </c>
      <c r="Q66" s="100">
        <v>0</v>
      </c>
      <c r="R66" s="97">
        <f t="shared" si="15"/>
        <v>0</v>
      </c>
      <c r="S66" s="15"/>
      <c r="T66" s="15"/>
      <c r="U66" s="15"/>
      <c r="V66" s="15"/>
      <c r="W66" s="10"/>
      <c r="X66" s="10"/>
      <c r="Y66" s="15"/>
      <c r="Z66" s="10"/>
      <c r="AA66" s="10"/>
      <c r="AB66" s="10"/>
      <c r="AC66" s="15"/>
      <c r="AD66" s="15"/>
      <c r="AE66" s="15"/>
      <c r="AF66" s="15"/>
      <c r="AG66" s="15"/>
      <c r="AH66" s="15"/>
      <c r="AI66" s="15"/>
      <c r="AJ66" s="15"/>
      <c r="AK66" s="135"/>
      <c r="AL66" s="136"/>
      <c r="AM66" s="137"/>
      <c r="AN66" s="137"/>
      <c r="AO66" s="137"/>
      <c r="AP66" s="137"/>
      <c r="AQ66" s="137"/>
      <c r="AR66" s="137"/>
      <c r="AS66" s="137"/>
      <c r="AT66" s="137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F66" s="165" t="s">
        <v>133</v>
      </c>
      <c r="BG66" s="166">
        <v>351</v>
      </c>
      <c r="BH66" s="166">
        <v>13</v>
      </c>
      <c r="BI66" s="167">
        <f>SUM(BI67:BI68)</f>
        <v>1134559</v>
      </c>
    </row>
    <row r="67" spans="1:94" s="5" customFormat="1" ht="54.95" customHeight="1">
      <c r="D67" s="80">
        <f t="shared" si="16"/>
        <v>19</v>
      </c>
      <c r="E67" s="81" t="str">
        <f t="shared" si="16"/>
        <v>seg</v>
      </c>
      <c r="F67" s="81" t="str">
        <f t="shared" si="16"/>
        <v>REAL</v>
      </c>
      <c r="G67" s="82">
        <f t="shared" si="11"/>
        <v>3160855.58</v>
      </c>
      <c r="H67" s="12"/>
      <c r="I67" s="82">
        <f t="shared" si="12"/>
        <v>514450.54000000004</v>
      </c>
      <c r="J67" s="12"/>
      <c r="K67" s="83">
        <v>381</v>
      </c>
      <c r="L67" s="79">
        <v>0</v>
      </c>
      <c r="M67" s="82">
        <f t="shared" si="13"/>
        <v>381</v>
      </c>
      <c r="N67" s="12"/>
      <c r="O67" s="83">
        <f>2646979.81-193.77</f>
        <v>2646786.04</v>
      </c>
      <c r="P67" s="79">
        <v>0</v>
      </c>
      <c r="Q67" s="79">
        <v>0</v>
      </c>
      <c r="R67" s="82">
        <f t="shared" si="15"/>
        <v>2646786.04</v>
      </c>
      <c r="S67" s="84"/>
      <c r="T67" s="84"/>
      <c r="U67" s="84"/>
      <c r="V67" s="84"/>
      <c r="W67" s="12"/>
      <c r="X67" s="12"/>
      <c r="Y67" s="84"/>
      <c r="Z67" s="12"/>
      <c r="AA67" s="12"/>
      <c r="AB67" s="12"/>
      <c r="AC67" s="84"/>
      <c r="AD67" s="84"/>
      <c r="AE67" s="84"/>
      <c r="AF67" s="84"/>
      <c r="AG67" s="84"/>
      <c r="AH67" s="84"/>
      <c r="AI67" s="84"/>
      <c r="AJ67" s="84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6"/>
      <c r="BF67" s="158" t="s">
        <v>134</v>
      </c>
      <c r="BG67" s="159" t="s">
        <v>108</v>
      </c>
      <c r="BH67" s="159">
        <v>13</v>
      </c>
      <c r="BI67" s="160">
        <v>751645</v>
      </c>
      <c r="BK67" s="126"/>
      <c r="BL67" s="126"/>
      <c r="BM67" s="126"/>
      <c r="BN67" s="126"/>
      <c r="BO67" s="126"/>
      <c r="BP67" s="126"/>
      <c r="BQ67" s="126"/>
      <c r="BR67" s="126"/>
      <c r="BS67" s="126"/>
      <c r="CO67" s="157"/>
      <c r="CP67" s="157"/>
    </row>
    <row r="68" spans="1:94" s="5" customFormat="1" ht="54.95" customHeight="1">
      <c r="D68" s="80">
        <f t="shared" si="16"/>
        <v>20</v>
      </c>
      <c r="E68" s="81" t="str">
        <f t="shared" si="16"/>
        <v>ter</v>
      </c>
      <c r="F68" s="81" t="str">
        <f t="shared" si="16"/>
        <v>REAL</v>
      </c>
      <c r="G68" s="82">
        <f t="shared" si="11"/>
        <v>514450.54000000004</v>
      </c>
      <c r="H68" s="12"/>
      <c r="I68" s="82">
        <f t="shared" si="12"/>
        <v>341553.42000000004</v>
      </c>
      <c r="J68" s="12"/>
      <c r="K68" s="83">
        <v>34.159999999999997</v>
      </c>
      <c r="L68" s="79">
        <v>0</v>
      </c>
      <c r="M68" s="82">
        <f t="shared" si="13"/>
        <v>34.159999999999997</v>
      </c>
      <c r="N68" s="12"/>
      <c r="O68" s="83">
        <v>-265.44</v>
      </c>
      <c r="P68" s="79">
        <v>173196.72</v>
      </c>
      <c r="Q68" s="79">
        <v>0</v>
      </c>
      <c r="R68" s="82">
        <f t="shared" si="15"/>
        <v>172931.28</v>
      </c>
      <c r="S68" s="84"/>
      <c r="T68" s="84"/>
      <c r="U68" s="84"/>
      <c r="V68" s="84"/>
      <c r="W68" s="12"/>
      <c r="X68" s="12"/>
      <c r="Y68" s="84"/>
      <c r="Z68" s="12"/>
      <c r="AA68" s="12"/>
      <c r="AB68" s="12"/>
      <c r="AC68" s="84"/>
      <c r="AD68" s="84"/>
      <c r="AE68" s="84"/>
      <c r="AF68" s="84"/>
      <c r="AG68" s="84"/>
      <c r="AH68" s="84"/>
      <c r="AI68" s="84"/>
      <c r="AJ68" s="84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6"/>
      <c r="BF68" s="158" t="s">
        <v>135</v>
      </c>
      <c r="BG68" s="159" t="s">
        <v>108</v>
      </c>
      <c r="BH68" s="159">
        <v>13</v>
      </c>
      <c r="BI68" s="160">
        <v>382914</v>
      </c>
      <c r="BK68" s="126"/>
      <c r="BL68" s="126"/>
      <c r="BM68" s="126"/>
      <c r="BN68" s="126"/>
      <c r="BO68" s="126"/>
      <c r="BP68" s="126"/>
      <c r="BQ68" s="126"/>
      <c r="BR68" s="126"/>
      <c r="BS68" s="126"/>
      <c r="CO68" s="157"/>
      <c r="CP68" s="157"/>
    </row>
    <row r="69" spans="1:94" s="5" customFormat="1" ht="54.95" customHeight="1">
      <c r="D69" s="80">
        <f t="shared" si="16"/>
        <v>21</v>
      </c>
      <c r="E69" s="81" t="str">
        <f t="shared" si="16"/>
        <v>qua</v>
      </c>
      <c r="F69" s="81" t="str">
        <f t="shared" si="16"/>
        <v>REAL</v>
      </c>
      <c r="G69" s="82">
        <f t="shared" si="11"/>
        <v>341553.42000000004</v>
      </c>
      <c r="H69" s="12"/>
      <c r="I69" s="82">
        <f t="shared" si="12"/>
        <v>341582.39</v>
      </c>
      <c r="J69" s="12"/>
      <c r="K69" s="83">
        <v>28.97</v>
      </c>
      <c r="L69" s="79">
        <v>0</v>
      </c>
      <c r="M69" s="82">
        <f t="shared" si="13"/>
        <v>28.97</v>
      </c>
      <c r="N69" s="12"/>
      <c r="O69" s="83">
        <v>0</v>
      </c>
      <c r="P69" s="79">
        <v>0</v>
      </c>
      <c r="Q69" s="79">
        <v>0</v>
      </c>
      <c r="R69" s="82">
        <f t="shared" si="15"/>
        <v>0</v>
      </c>
      <c r="S69" s="84"/>
      <c r="T69" s="84"/>
      <c r="U69" s="84"/>
      <c r="V69" s="84"/>
      <c r="W69" s="12"/>
      <c r="X69" s="12"/>
      <c r="Y69" s="84"/>
      <c r="Z69" s="12"/>
      <c r="AA69" s="12"/>
      <c r="AB69" s="12"/>
      <c r="AC69" s="84"/>
      <c r="AD69" s="84"/>
      <c r="AE69" s="84"/>
      <c r="AF69" s="84"/>
      <c r="AG69" s="84"/>
      <c r="AH69" s="84"/>
      <c r="AI69" s="84"/>
      <c r="AJ69" s="84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6"/>
      <c r="BF69" s="158" t="s">
        <v>136</v>
      </c>
      <c r="BG69" s="159" t="s">
        <v>137</v>
      </c>
      <c r="BH69" s="159">
        <v>13</v>
      </c>
      <c r="BI69" s="160">
        <v>1040680</v>
      </c>
      <c r="BK69" s="126"/>
      <c r="BL69" s="126"/>
      <c r="BM69" s="126"/>
      <c r="BN69" s="126"/>
      <c r="BO69" s="126"/>
      <c r="BP69" s="126"/>
      <c r="BQ69" s="126"/>
      <c r="BR69" s="126"/>
      <c r="BS69" s="126"/>
      <c r="CO69" s="157"/>
      <c r="CP69" s="157"/>
    </row>
    <row r="70" spans="1:94" s="5" customFormat="1" ht="54.95" customHeight="1">
      <c r="D70" s="80">
        <f t="shared" si="16"/>
        <v>22</v>
      </c>
      <c r="E70" s="81" t="str">
        <f t="shared" si="16"/>
        <v>qui</v>
      </c>
      <c r="F70" s="81" t="str">
        <f t="shared" si="16"/>
        <v>REAL</v>
      </c>
      <c r="G70" s="82">
        <f t="shared" si="11"/>
        <v>341582.39</v>
      </c>
      <c r="H70" s="12"/>
      <c r="I70" s="82">
        <f t="shared" si="12"/>
        <v>341618.66000000003</v>
      </c>
      <c r="J70" s="12"/>
      <c r="K70" s="83">
        <v>36.270000000000003</v>
      </c>
      <c r="L70" s="79">
        <v>0</v>
      </c>
      <c r="M70" s="82">
        <f t="shared" si="13"/>
        <v>36.270000000000003</v>
      </c>
      <c r="N70" s="12"/>
      <c r="O70" s="83">
        <v>0</v>
      </c>
      <c r="P70" s="79">
        <v>0</v>
      </c>
      <c r="Q70" s="79">
        <v>0</v>
      </c>
      <c r="R70" s="82">
        <f t="shared" si="15"/>
        <v>0</v>
      </c>
      <c r="S70" s="84"/>
      <c r="T70" s="84"/>
      <c r="U70" s="84"/>
      <c r="V70" s="84"/>
      <c r="W70" s="12"/>
      <c r="X70" s="12"/>
      <c r="Y70" s="84"/>
      <c r="Z70" s="12"/>
      <c r="AA70" s="12"/>
      <c r="AB70" s="12"/>
      <c r="AC70" s="84"/>
      <c r="AD70" s="84"/>
      <c r="AE70" s="84"/>
      <c r="AF70" s="84"/>
      <c r="AG70" s="84"/>
      <c r="AH70" s="84"/>
      <c r="AI70" s="84"/>
      <c r="AJ70" s="84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6"/>
      <c r="BF70" s="158" t="s">
        <v>138</v>
      </c>
      <c r="BG70" s="159" t="s">
        <v>108</v>
      </c>
      <c r="BH70" s="159">
        <v>13</v>
      </c>
      <c r="BI70" s="160">
        <v>894343</v>
      </c>
      <c r="BK70" s="126"/>
      <c r="BL70" s="126"/>
      <c r="BM70" s="126"/>
      <c r="BN70" s="126"/>
      <c r="BO70" s="126"/>
      <c r="BP70" s="126"/>
      <c r="BQ70" s="126"/>
      <c r="BR70" s="126"/>
      <c r="BS70" s="126"/>
      <c r="CO70" s="157"/>
      <c r="CP70" s="157"/>
    </row>
    <row r="71" spans="1:94" s="5" customFormat="1" ht="54.95" customHeight="1">
      <c r="D71" s="80">
        <f t="shared" si="16"/>
        <v>23</v>
      </c>
      <c r="E71" s="81" t="str">
        <f t="shared" si="16"/>
        <v>sex</v>
      </c>
      <c r="F71" s="81" t="str">
        <f t="shared" si="16"/>
        <v>REAL</v>
      </c>
      <c r="G71" s="82">
        <f t="shared" si="11"/>
        <v>341618.66000000003</v>
      </c>
      <c r="H71" s="12"/>
      <c r="I71" s="82">
        <f t="shared" si="12"/>
        <v>341668.33</v>
      </c>
      <c r="J71" s="12"/>
      <c r="K71" s="83">
        <v>49.67</v>
      </c>
      <c r="L71" s="79">
        <v>0</v>
      </c>
      <c r="M71" s="82">
        <f t="shared" si="13"/>
        <v>49.67</v>
      </c>
      <c r="N71" s="12"/>
      <c r="O71" s="83">
        <v>0</v>
      </c>
      <c r="P71" s="79">
        <v>0</v>
      </c>
      <c r="Q71" s="79">
        <v>0</v>
      </c>
      <c r="R71" s="82">
        <f t="shared" si="15"/>
        <v>0</v>
      </c>
      <c r="S71" s="84"/>
      <c r="T71" s="84"/>
      <c r="U71" s="84"/>
      <c r="V71" s="84"/>
      <c r="W71" s="12"/>
      <c r="X71" s="12"/>
      <c r="Y71" s="84"/>
      <c r="Z71" s="12"/>
      <c r="AA71" s="12"/>
      <c r="AB71" s="12"/>
      <c r="AC71" s="84"/>
      <c r="AD71" s="84"/>
      <c r="AE71" s="84"/>
      <c r="AF71" s="84"/>
      <c r="AG71" s="84"/>
      <c r="AH71" s="84"/>
      <c r="AI71" s="84"/>
      <c r="AJ71" s="84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6"/>
      <c r="BF71" s="158" t="s">
        <v>139</v>
      </c>
      <c r="BG71" s="159">
        <v>353</v>
      </c>
      <c r="BH71" s="159">
        <v>13</v>
      </c>
      <c r="BI71" s="160">
        <v>31753</v>
      </c>
      <c r="BK71" s="126"/>
      <c r="BL71" s="126"/>
      <c r="BM71" s="126"/>
      <c r="BN71" s="126"/>
      <c r="BO71" s="126"/>
      <c r="BP71" s="126"/>
      <c r="BQ71" s="126"/>
      <c r="BR71" s="126"/>
      <c r="BS71" s="126"/>
      <c r="CO71" s="157"/>
      <c r="CP71" s="157"/>
    </row>
    <row r="72" spans="1:94" ht="54.95" hidden="1" customHeight="1">
      <c r="A72" s="117"/>
      <c r="B72" s="117"/>
      <c r="C72" s="117"/>
      <c r="D72" s="95">
        <f t="shared" si="16"/>
        <v>24</v>
      </c>
      <c r="E72" s="96" t="str">
        <f t="shared" si="16"/>
        <v>sáb</v>
      </c>
      <c r="F72" s="96">
        <f t="shared" si="16"/>
        <v>0</v>
      </c>
      <c r="G72" s="97">
        <f t="shared" si="11"/>
        <v>341668.33</v>
      </c>
      <c r="H72" s="98"/>
      <c r="I72" s="97">
        <f t="shared" si="12"/>
        <v>341668.33</v>
      </c>
      <c r="J72" s="98"/>
      <c r="K72" s="99">
        <v>0</v>
      </c>
      <c r="L72" s="100">
        <v>0</v>
      </c>
      <c r="M72" s="97">
        <f t="shared" si="13"/>
        <v>0</v>
      </c>
      <c r="N72" s="98"/>
      <c r="O72" s="99">
        <v>0</v>
      </c>
      <c r="P72" s="100">
        <v>0</v>
      </c>
      <c r="Q72" s="100">
        <v>0</v>
      </c>
      <c r="R72" s="97">
        <f t="shared" si="15"/>
        <v>0</v>
      </c>
      <c r="S72" s="15"/>
      <c r="T72" s="15"/>
      <c r="U72" s="15"/>
      <c r="V72" s="15"/>
      <c r="W72" s="10"/>
      <c r="X72" s="10"/>
      <c r="Y72" s="15"/>
      <c r="Z72" s="10"/>
      <c r="AA72" s="10"/>
      <c r="AB72" s="10"/>
      <c r="AC72" s="15"/>
      <c r="AD72" s="15"/>
      <c r="AE72" s="15"/>
      <c r="AF72" s="15"/>
      <c r="AG72" s="15"/>
      <c r="AH72" s="15"/>
      <c r="AI72" s="15"/>
      <c r="AJ72" s="15"/>
      <c r="AK72" s="135"/>
      <c r="AL72" s="136"/>
      <c r="AM72" s="137"/>
      <c r="AN72" s="137"/>
      <c r="AO72" s="137"/>
      <c r="AP72" s="137"/>
      <c r="AQ72" s="137"/>
      <c r="AR72" s="137"/>
      <c r="AS72" s="137"/>
      <c r="AT72" s="137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F72" s="114" t="s">
        <v>84</v>
      </c>
      <c r="BG72" s="114">
        <v>370</v>
      </c>
      <c r="BH72" s="114">
        <v>17</v>
      </c>
      <c r="BI72" s="115">
        <v>0</v>
      </c>
    </row>
    <row r="73" spans="1:94" ht="54.95" hidden="1" customHeight="1" thickBot="1">
      <c r="D73" s="95">
        <f t="shared" si="16"/>
        <v>25</v>
      </c>
      <c r="E73" s="96" t="str">
        <f t="shared" si="16"/>
        <v>dom</v>
      </c>
      <c r="F73" s="96">
        <f t="shared" si="16"/>
        <v>0</v>
      </c>
      <c r="G73" s="97">
        <f t="shared" si="11"/>
        <v>341668.33</v>
      </c>
      <c r="H73" s="98"/>
      <c r="I73" s="97">
        <f t="shared" si="12"/>
        <v>341668.33</v>
      </c>
      <c r="J73" s="98"/>
      <c r="K73" s="99">
        <v>0</v>
      </c>
      <c r="L73" s="100">
        <v>0</v>
      </c>
      <c r="M73" s="97">
        <f t="shared" si="13"/>
        <v>0</v>
      </c>
      <c r="N73" s="98"/>
      <c r="O73" s="99">
        <v>0</v>
      </c>
      <c r="P73" s="100">
        <v>0</v>
      </c>
      <c r="Q73" s="100">
        <v>0</v>
      </c>
      <c r="R73" s="97">
        <f t="shared" si="15"/>
        <v>0</v>
      </c>
      <c r="S73" s="15"/>
      <c r="T73" s="15"/>
      <c r="U73" s="15"/>
      <c r="V73" s="15"/>
      <c r="W73" s="10"/>
      <c r="X73" s="10"/>
      <c r="Y73" s="15"/>
      <c r="Z73" s="10"/>
      <c r="AA73" s="10"/>
      <c r="AB73" s="10"/>
      <c r="AC73" s="15"/>
      <c r="AD73" s="15"/>
      <c r="AE73" s="15"/>
      <c r="AF73" s="15"/>
      <c r="AG73" s="15"/>
      <c r="AH73" s="15"/>
      <c r="AI73" s="15"/>
      <c r="AJ73" s="15"/>
      <c r="AK73" s="135"/>
      <c r="AL73" s="136"/>
      <c r="AM73" s="137"/>
      <c r="AN73" s="137"/>
      <c r="AO73" s="137"/>
      <c r="AP73" s="137"/>
      <c r="AQ73" s="137"/>
      <c r="AR73" s="137"/>
      <c r="AS73" s="137"/>
      <c r="AT73" s="137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F73" s="112"/>
      <c r="BG73" s="112"/>
      <c r="BH73" s="112"/>
      <c r="BI73" s="168"/>
    </row>
    <row r="74" spans="1:94" s="5" customFormat="1" ht="54.95" customHeight="1">
      <c r="D74" s="80">
        <f t="shared" si="16"/>
        <v>26</v>
      </c>
      <c r="E74" s="81" t="str">
        <f t="shared" si="16"/>
        <v>seg</v>
      </c>
      <c r="F74" s="81" t="str">
        <f t="shared" si="16"/>
        <v>REAL</v>
      </c>
      <c r="G74" s="82">
        <f t="shared" si="11"/>
        <v>341668.33</v>
      </c>
      <c r="H74" s="12"/>
      <c r="I74" s="82">
        <f t="shared" si="12"/>
        <v>3171922.7</v>
      </c>
      <c r="J74" s="12"/>
      <c r="K74" s="83">
        <v>104.58</v>
      </c>
      <c r="L74" s="79">
        <v>2830149.79</v>
      </c>
      <c r="M74" s="82">
        <f t="shared" si="13"/>
        <v>2830254.37</v>
      </c>
      <c r="N74" s="12"/>
      <c r="O74" s="83">
        <v>0</v>
      </c>
      <c r="P74" s="79">
        <v>0</v>
      </c>
      <c r="Q74" s="79">
        <v>0</v>
      </c>
      <c r="R74" s="82">
        <f t="shared" si="15"/>
        <v>0</v>
      </c>
      <c r="S74" s="84"/>
      <c r="T74" s="84"/>
      <c r="U74" s="84"/>
      <c r="V74" s="84"/>
      <c r="W74" s="12"/>
      <c r="X74" s="12"/>
      <c r="Y74" s="84"/>
      <c r="Z74" s="12"/>
      <c r="AA74" s="12"/>
      <c r="AB74" s="12"/>
      <c r="AC74" s="84"/>
      <c r="AD74" s="84"/>
      <c r="AE74" s="84"/>
      <c r="AF74" s="84"/>
      <c r="AG74" s="84"/>
      <c r="AH74" s="84"/>
      <c r="AI74" s="84"/>
      <c r="AJ74" s="84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6"/>
      <c r="BF74" s="158" t="s">
        <v>140</v>
      </c>
      <c r="BG74" s="159" t="s">
        <v>102</v>
      </c>
      <c r="BH74" s="159">
        <v>1</v>
      </c>
      <c r="BI74" s="160">
        <v>5646561</v>
      </c>
      <c r="BK74" s="126"/>
      <c r="BL74" s="126"/>
      <c r="BM74" s="126"/>
      <c r="BN74" s="126"/>
      <c r="BO74" s="126"/>
      <c r="BP74" s="126"/>
      <c r="BQ74" s="126"/>
      <c r="BR74" s="126"/>
      <c r="BS74" s="126"/>
      <c r="CO74" s="157"/>
      <c r="CP74" s="157"/>
    </row>
    <row r="75" spans="1:94" s="5" customFormat="1" ht="54.95" customHeight="1">
      <c r="D75" s="80">
        <f t="shared" si="16"/>
        <v>27</v>
      </c>
      <c r="E75" s="81" t="str">
        <f t="shared" si="16"/>
        <v>ter</v>
      </c>
      <c r="F75" s="81" t="str">
        <f t="shared" si="16"/>
        <v>REAL</v>
      </c>
      <c r="G75" s="82">
        <f t="shared" si="11"/>
        <v>3171922.7</v>
      </c>
      <c r="H75" s="12"/>
      <c r="I75" s="82">
        <f t="shared" si="12"/>
        <v>3172034.39</v>
      </c>
      <c r="J75" s="12"/>
      <c r="K75" s="83">
        <v>111.69</v>
      </c>
      <c r="L75" s="79">
        <v>0</v>
      </c>
      <c r="M75" s="82">
        <f t="shared" si="13"/>
        <v>111.69</v>
      </c>
      <c r="N75" s="12"/>
      <c r="O75" s="83">
        <v>0</v>
      </c>
      <c r="P75" s="79">
        <v>0</v>
      </c>
      <c r="Q75" s="79">
        <v>0</v>
      </c>
      <c r="R75" s="82">
        <f t="shared" si="15"/>
        <v>0</v>
      </c>
      <c r="S75" s="84"/>
      <c r="T75" s="84"/>
      <c r="U75" s="84"/>
      <c r="V75" s="84"/>
      <c r="W75" s="12"/>
      <c r="X75" s="12"/>
      <c r="Y75" s="84"/>
      <c r="Z75" s="12"/>
      <c r="AA75" s="12"/>
      <c r="AB75" s="12"/>
      <c r="AC75" s="84"/>
      <c r="AD75" s="84"/>
      <c r="AE75" s="84"/>
      <c r="AF75" s="84"/>
      <c r="AG75" s="84"/>
      <c r="AH75" s="84"/>
      <c r="AI75" s="84"/>
      <c r="AJ75" s="84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6"/>
      <c r="BF75" s="158" t="s">
        <v>141</v>
      </c>
      <c r="BG75" s="159">
        <v>311</v>
      </c>
      <c r="BH75" s="159">
        <v>9</v>
      </c>
      <c r="BI75" s="160">
        <v>5509815</v>
      </c>
      <c r="BK75" s="126"/>
      <c r="BL75" s="126"/>
      <c r="BM75" s="126"/>
      <c r="BN75" s="126"/>
      <c r="BO75" s="126"/>
      <c r="BP75" s="126"/>
      <c r="BQ75" s="126"/>
      <c r="BR75" s="126"/>
      <c r="BS75" s="126"/>
      <c r="CO75" s="157"/>
      <c r="CP75" s="157"/>
    </row>
    <row r="76" spans="1:94" s="5" customFormat="1" ht="54.95" customHeight="1">
      <c r="D76" s="80">
        <f t="shared" si="16"/>
        <v>28</v>
      </c>
      <c r="E76" s="81" t="str">
        <f t="shared" si="16"/>
        <v>qua</v>
      </c>
      <c r="F76" s="81" t="str">
        <f t="shared" si="16"/>
        <v>REAL</v>
      </c>
      <c r="G76" s="82">
        <f t="shared" si="11"/>
        <v>3172034.39</v>
      </c>
      <c r="H76" s="12"/>
      <c r="I76" s="82">
        <f t="shared" si="12"/>
        <v>494666.88999999966</v>
      </c>
      <c r="J76" s="12"/>
      <c r="K76" s="83">
        <v>183.57</v>
      </c>
      <c r="L76" s="79">
        <v>0</v>
      </c>
      <c r="M76" s="82">
        <f t="shared" si="13"/>
        <v>183.57</v>
      </c>
      <c r="N76" s="12"/>
      <c r="O76" s="83">
        <f>2677889.99-338.92</f>
        <v>2677551.0700000003</v>
      </c>
      <c r="P76" s="79">
        <v>0</v>
      </c>
      <c r="Q76" s="79">
        <v>0</v>
      </c>
      <c r="R76" s="82">
        <f t="shared" si="15"/>
        <v>2677551.0700000003</v>
      </c>
      <c r="S76" s="84"/>
      <c r="T76" s="84"/>
      <c r="U76" s="84"/>
      <c r="V76" s="84"/>
      <c r="W76" s="12"/>
      <c r="X76" s="12"/>
      <c r="Y76" s="84"/>
      <c r="Z76" s="12"/>
      <c r="AA76" s="12"/>
      <c r="AB76" s="12"/>
      <c r="AC76" s="84"/>
      <c r="AD76" s="84"/>
      <c r="AE76" s="84"/>
      <c r="AF76" s="84"/>
      <c r="AG76" s="84"/>
      <c r="AH76" s="84"/>
      <c r="AI76" s="84"/>
      <c r="AJ76" s="84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6"/>
      <c r="BF76" s="158" t="s">
        <v>124</v>
      </c>
      <c r="BG76" s="159">
        <v>312</v>
      </c>
      <c r="BH76" s="159">
        <v>9</v>
      </c>
      <c r="BI76" s="160">
        <v>169840</v>
      </c>
      <c r="BK76" s="126"/>
      <c r="BL76" s="126"/>
      <c r="BM76" s="126"/>
      <c r="BN76" s="126"/>
      <c r="BO76" s="126"/>
      <c r="BP76" s="126"/>
      <c r="BQ76" s="126"/>
      <c r="BR76" s="126"/>
      <c r="BS76" s="126"/>
      <c r="CO76" s="157"/>
      <c r="CP76" s="157"/>
    </row>
    <row r="77" spans="1:94" s="5" customFormat="1" ht="54.95" customHeight="1" thickBot="1">
      <c r="D77" s="80">
        <f t="shared" si="16"/>
        <v>29</v>
      </c>
      <c r="E77" s="81" t="str">
        <f t="shared" si="16"/>
        <v>qui</v>
      </c>
      <c r="F77" s="81" t="str">
        <f t="shared" si="16"/>
        <v>REAL</v>
      </c>
      <c r="G77" s="82">
        <f t="shared" si="11"/>
        <v>494666.88999999966</v>
      </c>
      <c r="H77" s="12"/>
      <c r="I77" s="82">
        <f t="shared" si="12"/>
        <v>494741.54999999964</v>
      </c>
      <c r="J77" s="12"/>
      <c r="K77" s="83">
        <v>74.66</v>
      </c>
      <c r="L77" s="79">
        <v>0</v>
      </c>
      <c r="M77" s="82">
        <f t="shared" si="13"/>
        <v>74.66</v>
      </c>
      <c r="N77" s="12"/>
      <c r="O77" s="83">
        <v>0</v>
      </c>
      <c r="P77" s="79">
        <v>0</v>
      </c>
      <c r="Q77" s="79">
        <v>0</v>
      </c>
      <c r="R77" s="82">
        <f t="shared" si="15"/>
        <v>0</v>
      </c>
      <c r="S77" s="84"/>
      <c r="T77" s="84"/>
      <c r="U77" s="84"/>
      <c r="V77" s="84"/>
      <c r="W77" s="12"/>
      <c r="X77" s="12"/>
      <c r="Y77" s="84"/>
      <c r="Z77" s="12"/>
      <c r="AA77" s="12"/>
      <c r="AB77" s="12"/>
      <c r="AC77" s="84"/>
      <c r="AD77" s="84"/>
      <c r="AE77" s="84"/>
      <c r="AF77" s="84"/>
      <c r="AG77" s="84"/>
      <c r="AH77" s="84"/>
      <c r="AI77" s="84"/>
      <c r="AJ77" s="84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6"/>
      <c r="BF77" s="158"/>
      <c r="BG77" s="159"/>
      <c r="BH77" s="159"/>
      <c r="BI77" s="160"/>
      <c r="BK77" s="126"/>
      <c r="BL77" s="126"/>
      <c r="BM77" s="126"/>
      <c r="BN77" s="126"/>
      <c r="BO77" s="126"/>
      <c r="BP77" s="126"/>
      <c r="BQ77" s="126"/>
      <c r="BR77" s="126"/>
      <c r="BS77" s="126"/>
      <c r="CO77" s="157"/>
      <c r="CP77" s="157"/>
    </row>
    <row r="78" spans="1:94" ht="54.95" hidden="1" customHeight="1">
      <c r="A78" s="169" t="s">
        <v>142</v>
      </c>
      <c r="D78" s="95">
        <f t="shared" si="16"/>
        <v>30</v>
      </c>
      <c r="E78" s="96" t="str">
        <f t="shared" si="16"/>
        <v>sex</v>
      </c>
      <c r="F78" s="96">
        <f t="shared" si="16"/>
        <v>0</v>
      </c>
      <c r="G78" s="97">
        <f t="shared" si="11"/>
        <v>494741.54999999964</v>
      </c>
      <c r="H78" s="98"/>
      <c r="I78" s="97">
        <f t="shared" si="12"/>
        <v>494741.54999999964</v>
      </c>
      <c r="J78" s="98"/>
      <c r="K78" s="99">
        <v>0</v>
      </c>
      <c r="L78" s="100">
        <v>0</v>
      </c>
      <c r="M78" s="97">
        <f t="shared" si="13"/>
        <v>0</v>
      </c>
      <c r="N78" s="98"/>
      <c r="O78" s="99">
        <v>0</v>
      </c>
      <c r="P78" s="100">
        <v>0</v>
      </c>
      <c r="Q78" s="100">
        <v>0</v>
      </c>
      <c r="R78" s="97">
        <f t="shared" si="15"/>
        <v>0</v>
      </c>
      <c r="S78" s="15"/>
      <c r="T78" s="15"/>
      <c r="U78" s="15"/>
      <c r="V78" s="15"/>
      <c r="W78" s="10"/>
      <c r="X78" s="10"/>
      <c r="Y78" s="15"/>
      <c r="Z78" s="10"/>
      <c r="AA78" s="10"/>
      <c r="AB78" s="10"/>
      <c r="AC78" s="15"/>
      <c r="AD78" s="15"/>
      <c r="AE78" s="15"/>
      <c r="AF78" s="15"/>
      <c r="AG78" s="15"/>
      <c r="AH78" s="15"/>
      <c r="AI78" s="15"/>
      <c r="AJ78" s="15"/>
      <c r="AK78" s="135"/>
      <c r="AL78" s="136"/>
      <c r="AM78" s="137"/>
      <c r="AN78" s="137"/>
      <c r="AO78" s="137"/>
      <c r="AP78" s="137"/>
      <c r="AQ78" s="137"/>
      <c r="AR78" s="137"/>
      <c r="AS78" s="137"/>
      <c r="AT78" s="137"/>
      <c r="AU78" s="24"/>
      <c r="AV78" s="24"/>
      <c r="AW78" s="24"/>
      <c r="AX78" s="24"/>
      <c r="AY78" s="24"/>
      <c r="AZ78" s="24"/>
      <c r="BA78" s="24"/>
      <c r="BB78" s="24"/>
      <c r="BC78" s="24"/>
      <c r="BD78" s="24"/>
    </row>
    <row r="79" spans="1:94" ht="54.95" hidden="1" customHeight="1" thickBot="1">
      <c r="D79" s="95">
        <f t="shared" si="16"/>
        <v>31</v>
      </c>
      <c r="E79" s="96" t="str">
        <f t="shared" si="16"/>
        <v>sáb</v>
      </c>
      <c r="F79" s="96">
        <f t="shared" si="16"/>
        <v>0</v>
      </c>
      <c r="G79" s="97">
        <f t="shared" si="11"/>
        <v>494741.54999999964</v>
      </c>
      <c r="H79" s="98"/>
      <c r="I79" s="97">
        <f t="shared" si="12"/>
        <v>494741.54999999964</v>
      </c>
      <c r="J79" s="98"/>
      <c r="K79" s="99">
        <v>0</v>
      </c>
      <c r="L79" s="100">
        <v>0</v>
      </c>
      <c r="M79" s="97">
        <f t="shared" si="13"/>
        <v>0</v>
      </c>
      <c r="N79" s="98"/>
      <c r="O79" s="99">
        <v>0</v>
      </c>
      <c r="P79" s="100">
        <v>0</v>
      </c>
      <c r="Q79" s="100">
        <v>0</v>
      </c>
      <c r="R79" s="97">
        <f t="shared" si="15"/>
        <v>0</v>
      </c>
      <c r="S79" s="15"/>
      <c r="T79" s="15"/>
      <c r="U79" s="15"/>
      <c r="V79" s="15"/>
      <c r="W79" s="10"/>
      <c r="X79" s="10"/>
      <c r="Y79" s="15"/>
      <c r="Z79" s="10"/>
      <c r="AA79" s="10"/>
      <c r="AB79" s="10"/>
      <c r="AC79" s="15"/>
      <c r="AD79" s="15"/>
      <c r="AE79" s="15"/>
      <c r="AF79" s="15"/>
      <c r="AG79" s="15"/>
      <c r="AH79" s="15"/>
      <c r="AI79" s="15"/>
      <c r="AJ79" s="15"/>
      <c r="AK79" s="135"/>
      <c r="AL79" s="136"/>
      <c r="AM79" s="137"/>
      <c r="AN79" s="137"/>
      <c r="AO79" s="137"/>
      <c r="AP79" s="137"/>
      <c r="AQ79" s="137"/>
      <c r="AR79" s="137"/>
      <c r="AS79" s="137"/>
      <c r="AT79" s="137"/>
      <c r="AU79" s="24"/>
      <c r="AV79" s="24"/>
      <c r="AW79" s="24"/>
      <c r="AX79" s="24"/>
      <c r="AY79" s="24"/>
      <c r="AZ79" s="24"/>
      <c r="BA79" s="24"/>
      <c r="BB79" s="24"/>
      <c r="BC79" s="24"/>
      <c r="BD79" s="24"/>
    </row>
    <row r="80" spans="1:94" s="5" customFormat="1" ht="54.95" customHeight="1" thickBot="1">
      <c r="D80" s="187" t="s">
        <v>16</v>
      </c>
      <c r="E80" s="188"/>
      <c r="F80" s="189"/>
      <c r="G80" s="120">
        <f>+G49</f>
        <v>357470.37000000052</v>
      </c>
      <c r="H80" s="12"/>
      <c r="I80" s="120">
        <f t="shared" si="12"/>
        <v>494741.55000000075</v>
      </c>
      <c r="J80" s="12"/>
      <c r="K80" s="121">
        <f t="shared" ref="K80:L80" si="17">SUM(K48:K79)</f>
        <v>2844.48</v>
      </c>
      <c r="L80" s="122">
        <f t="shared" si="17"/>
        <v>5646555.8799999999</v>
      </c>
      <c r="M80" s="120">
        <f>SUM(M48:M79)</f>
        <v>5649400.3600000003</v>
      </c>
      <c r="N80" s="12"/>
      <c r="O80" s="121">
        <f>SUM(O48:O79)</f>
        <v>5325667.5500000007</v>
      </c>
      <c r="P80" s="122">
        <f t="shared" ref="P80:R80" si="18">SUM(P48:P79)</f>
        <v>186461.63</v>
      </c>
      <c r="Q80" s="122">
        <f t="shared" si="18"/>
        <v>0</v>
      </c>
      <c r="R80" s="120">
        <f t="shared" si="18"/>
        <v>5512129.1799999997</v>
      </c>
      <c r="S80" s="84"/>
      <c r="T80" s="84"/>
      <c r="U80" s="84"/>
      <c r="V80" s="84"/>
      <c r="W80" s="12"/>
      <c r="X80" s="12"/>
      <c r="Y80" s="84"/>
      <c r="Z80" s="12"/>
      <c r="AA80" s="12"/>
      <c r="AB80" s="12"/>
      <c r="AC80" s="84"/>
      <c r="AD80" s="84"/>
      <c r="AE80" s="84"/>
      <c r="AF80" s="84"/>
      <c r="AG80" s="84"/>
      <c r="AH80" s="84"/>
      <c r="AI80" s="84"/>
      <c r="AJ80" s="84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6"/>
      <c r="BF80" s="157"/>
      <c r="BK80" s="126"/>
      <c r="BL80" s="126"/>
      <c r="BM80" s="126"/>
      <c r="BN80" s="126"/>
      <c r="BO80" s="126"/>
      <c r="BP80" s="126"/>
      <c r="BQ80" s="126"/>
      <c r="BR80" s="126"/>
      <c r="BS80" s="126"/>
      <c r="CO80" s="157"/>
      <c r="CP80" s="157"/>
    </row>
    <row r="81" spans="1:94" ht="54.95" customHeight="1">
      <c r="H81" s="133"/>
      <c r="I81" s="5"/>
      <c r="J81" s="134"/>
      <c r="K81" s="134"/>
      <c r="L81" s="134"/>
      <c r="M81" s="134"/>
      <c r="N81" s="134"/>
      <c r="O81" s="134"/>
      <c r="P81" s="134"/>
      <c r="Q81" s="135"/>
      <c r="R81" s="135"/>
      <c r="S81" s="135"/>
      <c r="T81" s="135"/>
      <c r="U81" s="135"/>
      <c r="V81" s="135"/>
      <c r="W81" s="2"/>
      <c r="X81" s="2"/>
      <c r="Y81" s="135"/>
      <c r="Z81" s="2"/>
      <c r="AA81" s="2"/>
      <c r="AB81" s="2"/>
      <c r="AC81" s="135"/>
      <c r="AD81" s="135"/>
      <c r="AE81" s="135"/>
      <c r="AF81" s="135"/>
      <c r="AG81" s="135"/>
      <c r="AH81" s="135"/>
      <c r="AI81" s="135"/>
      <c r="AJ81" s="135"/>
      <c r="AK81" s="135"/>
      <c r="AL81" s="136"/>
      <c r="AM81" s="137"/>
      <c r="AN81" s="137"/>
      <c r="AO81" s="137"/>
      <c r="AP81" s="137"/>
      <c r="AQ81" s="137"/>
      <c r="AR81" s="137"/>
      <c r="AS81" s="137"/>
      <c r="AT81" s="137"/>
      <c r="AU81" s="24"/>
      <c r="AV81" s="24"/>
      <c r="AW81" s="24"/>
      <c r="AX81" s="24"/>
      <c r="AY81" s="24"/>
      <c r="AZ81" s="24"/>
      <c r="BA81" s="24"/>
      <c r="BB81" s="24"/>
      <c r="BC81" s="24"/>
      <c r="BD81" s="24"/>
    </row>
    <row r="82" spans="1:94" ht="54.95" hidden="1" customHeight="1">
      <c r="G82" s="133"/>
      <c r="H82" s="133"/>
      <c r="I82" s="5"/>
      <c r="J82" s="134"/>
      <c r="K82" s="134"/>
      <c r="L82" s="134"/>
      <c r="M82" s="170"/>
      <c r="N82" s="134"/>
      <c r="O82" s="134"/>
      <c r="P82" s="134"/>
      <c r="Q82" s="135"/>
      <c r="R82" s="135"/>
      <c r="S82" s="135"/>
      <c r="T82" s="135"/>
      <c r="U82" s="135"/>
      <c r="V82" s="135"/>
      <c r="W82" s="2"/>
      <c r="X82" s="2"/>
      <c r="Y82" s="135"/>
      <c r="Z82" s="2"/>
      <c r="AA82" s="2"/>
      <c r="AB82" s="2"/>
      <c r="AC82" s="135"/>
      <c r="AD82" s="135"/>
      <c r="AE82" s="135"/>
      <c r="AF82" s="135"/>
      <c r="AG82" s="135"/>
      <c r="AH82" s="135"/>
      <c r="AI82" s="135"/>
      <c r="AJ82" s="135"/>
      <c r="AK82" s="135"/>
      <c r="AL82" s="136"/>
      <c r="AM82" s="137"/>
      <c r="AN82" s="137"/>
      <c r="AO82" s="137"/>
      <c r="AP82" s="137"/>
      <c r="AQ82" s="137"/>
      <c r="AR82" s="137"/>
      <c r="AS82" s="137"/>
      <c r="AT82" s="137"/>
      <c r="AU82" s="24"/>
      <c r="AV82" s="24"/>
      <c r="AW82" s="24"/>
      <c r="AX82" s="24"/>
      <c r="AY82" s="24"/>
      <c r="AZ82" s="24"/>
      <c r="BA82" s="24"/>
      <c r="BB82" s="24"/>
      <c r="BC82" s="24"/>
      <c r="BD82" s="24"/>
    </row>
    <row r="83" spans="1:94" ht="39.950000000000003" hidden="1" customHeight="1">
      <c r="I83" s="5"/>
      <c r="W83" s="2"/>
      <c r="X83" s="2"/>
      <c r="Z83" s="2"/>
      <c r="AA83" s="2"/>
      <c r="AB83" s="2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</row>
    <row r="84" spans="1:94" ht="39.950000000000003" hidden="1" customHeight="1">
      <c r="I84" s="5"/>
      <c r="W84" s="2"/>
      <c r="X84" s="2"/>
      <c r="Z84" s="2"/>
      <c r="AA84" s="2"/>
      <c r="AB84" s="2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</row>
    <row r="85" spans="1:94" ht="39.950000000000003" hidden="1" customHeight="1" thickBot="1">
      <c r="I85" s="5"/>
      <c r="W85" s="2"/>
      <c r="X85" s="2"/>
      <c r="Z85" s="2"/>
      <c r="AA85" s="2"/>
      <c r="AB85" s="2"/>
    </row>
    <row r="86" spans="1:94" ht="39.950000000000003" hidden="1" customHeight="1" thickBot="1">
      <c r="A86" s="171" t="s">
        <v>143</v>
      </c>
      <c r="B86" s="172"/>
      <c r="C86" s="172"/>
      <c r="D86" s="172"/>
      <c r="E86" s="172"/>
      <c r="F86" s="172"/>
      <c r="G86" s="173">
        <v>42705</v>
      </c>
      <c r="H86" s="173"/>
      <c r="I86" s="174"/>
      <c r="J86" s="175"/>
      <c r="K86" s="176">
        <v>138839</v>
      </c>
      <c r="L86" s="176">
        <v>1761716</v>
      </c>
      <c r="M86" s="176">
        <v>467991</v>
      </c>
      <c r="N86" s="176">
        <v>2741965</v>
      </c>
      <c r="O86" s="176">
        <v>0</v>
      </c>
      <c r="P86" s="176">
        <v>38333360</v>
      </c>
      <c r="Q86" s="176"/>
      <c r="R86" s="176"/>
      <c r="S86" s="176">
        <f>+BI43</f>
        <v>17902351</v>
      </c>
      <c r="T86" s="176">
        <f>+BI52</f>
        <v>1500000</v>
      </c>
      <c r="U86" s="176">
        <f>+BI54</f>
        <v>12048036</v>
      </c>
      <c r="V86" s="176"/>
      <c r="W86" s="176">
        <f>+BI58</f>
        <v>150000</v>
      </c>
      <c r="X86" s="176">
        <f>+BI60</f>
        <v>642860</v>
      </c>
      <c r="Y86" s="176"/>
      <c r="Z86" s="176">
        <f>+BI64</f>
        <v>269260</v>
      </c>
      <c r="AA86" s="176">
        <f>+BI65</f>
        <v>7580186</v>
      </c>
      <c r="AB86" s="176"/>
      <c r="AC86" s="176"/>
      <c r="AD86" s="176"/>
      <c r="AE86" s="176">
        <f>+BI66</f>
        <v>1134559</v>
      </c>
      <c r="AF86" s="176">
        <f>+BI69+BI70+BI71</f>
        <v>1966776</v>
      </c>
      <c r="AG86" s="176">
        <f>+BI71</f>
        <v>31753</v>
      </c>
      <c r="AH86" s="176"/>
      <c r="AI86" s="176"/>
      <c r="AJ86" s="176"/>
      <c r="AK86" s="176"/>
      <c r="AL86" s="176"/>
      <c r="AM86" s="176"/>
      <c r="AN86" s="176"/>
      <c r="AO86" s="176"/>
      <c r="AP86" s="176"/>
      <c r="AQ86" s="176">
        <v>1754050</v>
      </c>
      <c r="AR86" s="176"/>
      <c r="AS86" s="176"/>
      <c r="AT86" s="176"/>
      <c r="AU86" s="176">
        <v>40000</v>
      </c>
      <c r="AV86" s="176"/>
      <c r="AW86" s="176">
        <v>65143</v>
      </c>
      <c r="AX86" s="176"/>
      <c r="AY86" s="176"/>
      <c r="AZ86" s="176"/>
      <c r="BA86" s="176"/>
      <c r="BB86" s="176"/>
      <c r="BC86" s="176"/>
      <c r="BD86" s="177">
        <v>168820</v>
      </c>
    </row>
    <row r="87" spans="1:94" ht="39.950000000000003" hidden="1" customHeight="1" thickBot="1">
      <c r="A87" s="171" t="s">
        <v>144</v>
      </c>
      <c r="B87" s="172"/>
      <c r="C87" s="172"/>
      <c r="D87" s="172"/>
      <c r="E87" s="172"/>
      <c r="F87" s="172"/>
      <c r="G87" s="173">
        <f>+G86</f>
        <v>42705</v>
      </c>
      <c r="H87" s="173"/>
      <c r="I87" s="174"/>
      <c r="J87" s="175"/>
      <c r="K87" s="176">
        <f>+K39-K86</f>
        <v>-63692.350000000006</v>
      </c>
      <c r="L87" s="176">
        <f t="shared" ref="L87:P87" si="19">+L39-L86</f>
        <v>36505.179999999935</v>
      </c>
      <c r="M87" s="176">
        <f t="shared" si="19"/>
        <v>-206567.61</v>
      </c>
      <c r="N87" s="176">
        <f t="shared" si="19"/>
        <v>733226.94</v>
      </c>
      <c r="O87" s="176">
        <f t="shared" si="19"/>
        <v>0</v>
      </c>
      <c r="P87" s="176">
        <f t="shared" si="19"/>
        <v>3549296</v>
      </c>
      <c r="Q87" s="176"/>
      <c r="R87" s="176"/>
      <c r="S87" s="176">
        <f t="shared" ref="S87:U87" si="20">+S39-S86</f>
        <v>-3461167.3199999966</v>
      </c>
      <c r="T87" s="176">
        <f t="shared" si="20"/>
        <v>-1175465.17</v>
      </c>
      <c r="U87" s="176">
        <f t="shared" si="20"/>
        <v>1004526.2599999998</v>
      </c>
      <c r="V87" s="176"/>
      <c r="W87" s="176">
        <f t="shared" ref="W87:X87" si="21">+W39-W86</f>
        <v>348195.11000000004</v>
      </c>
      <c r="X87" s="176">
        <f t="shared" si="21"/>
        <v>762684.19</v>
      </c>
      <c r="Y87" s="176"/>
      <c r="Z87" s="176">
        <f t="shared" ref="Z87:AC87" si="22">+Z39-Z86</f>
        <v>-132805.27000000005</v>
      </c>
      <c r="AA87" s="176">
        <f t="shared" si="22"/>
        <v>-2415974.2799999993</v>
      </c>
      <c r="AB87" s="176">
        <f t="shared" si="22"/>
        <v>320635.56</v>
      </c>
      <c r="AC87" s="176">
        <f t="shared" si="22"/>
        <v>0</v>
      </c>
      <c r="AD87" s="176"/>
      <c r="AE87" s="176">
        <f t="shared" ref="AE87:AG87" si="23">+AE39-AE86</f>
        <v>-14922.84999999986</v>
      </c>
      <c r="AF87" s="176">
        <f t="shared" si="23"/>
        <v>-123901.44999999972</v>
      </c>
      <c r="AG87" s="176">
        <f t="shared" si="23"/>
        <v>405389.18000000005</v>
      </c>
      <c r="AH87" s="176"/>
      <c r="AI87" s="176"/>
      <c r="AJ87" s="176"/>
      <c r="AK87" s="176"/>
      <c r="AL87" s="176"/>
      <c r="AM87" s="176"/>
      <c r="AN87" s="176"/>
      <c r="AO87" s="176"/>
      <c r="AP87" s="176"/>
      <c r="AQ87" s="176">
        <f t="shared" ref="AQ87" si="24">+AQ39-AQ86</f>
        <v>-258637.91000000015</v>
      </c>
      <c r="AR87" s="176"/>
      <c r="AS87" s="176"/>
      <c r="AT87" s="176"/>
      <c r="AU87" s="176">
        <f t="shared" ref="AU87:AW87" si="25">+AU39-AU86</f>
        <v>-34968.239999999998</v>
      </c>
      <c r="AV87" s="176"/>
      <c r="AW87" s="176">
        <f t="shared" si="25"/>
        <v>171927.47999999998</v>
      </c>
      <c r="AX87" s="176"/>
      <c r="AY87" s="176"/>
      <c r="AZ87" s="176"/>
      <c r="BA87" s="176"/>
      <c r="BB87" s="176"/>
      <c r="BC87" s="176"/>
      <c r="BD87" s="177">
        <f t="shared" ref="BD87" si="26">+BD39-BD86</f>
        <v>-167546.70000000001</v>
      </c>
    </row>
    <row r="88" spans="1:94" s="26" customFormat="1" ht="39.950000000000003" hidden="1" customHeight="1">
      <c r="G88" s="89"/>
      <c r="H88" s="89"/>
      <c r="I88" s="89"/>
      <c r="Q88" s="178"/>
      <c r="R88" s="178"/>
      <c r="S88" s="178"/>
      <c r="T88" s="178"/>
      <c r="U88" s="178"/>
      <c r="V88" s="178"/>
      <c r="Y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F88" s="178"/>
      <c r="BK88" s="179"/>
      <c r="BL88" s="179"/>
      <c r="BM88" s="179"/>
      <c r="BN88" s="179"/>
      <c r="BO88" s="179"/>
      <c r="BP88" s="179"/>
      <c r="BQ88" s="179"/>
      <c r="BR88" s="179"/>
      <c r="BS88" s="179"/>
      <c r="CO88" s="178"/>
      <c r="CP88" s="178"/>
    </row>
    <row r="89" spans="1:94" s="26" customFormat="1" ht="39.950000000000003" hidden="1" customHeight="1" thickBot="1">
      <c r="G89" s="89"/>
      <c r="H89" s="89"/>
      <c r="I89" s="89"/>
      <c r="Q89" s="178"/>
      <c r="R89" s="178"/>
      <c r="S89" s="178"/>
      <c r="T89" s="178"/>
      <c r="U89" s="178"/>
      <c r="V89" s="178"/>
      <c r="Y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F89" s="178"/>
      <c r="BK89" s="179"/>
      <c r="BL89" s="179"/>
      <c r="BM89" s="179"/>
      <c r="BN89" s="179"/>
      <c r="BO89" s="179"/>
      <c r="BP89" s="179"/>
      <c r="BQ89" s="179"/>
      <c r="BR89" s="179"/>
      <c r="BS89" s="179"/>
      <c r="CO89" s="178"/>
      <c r="CP89" s="178"/>
    </row>
    <row r="90" spans="1:94" s="26" customFormat="1" ht="39.950000000000003" hidden="1" customHeight="1" thickBot="1">
      <c r="A90" s="171" t="s">
        <v>145</v>
      </c>
      <c r="B90" s="172"/>
      <c r="C90" s="172"/>
      <c r="D90" s="172"/>
      <c r="E90" s="172"/>
      <c r="F90" s="172"/>
      <c r="G90" s="173">
        <f>+G86</f>
        <v>42705</v>
      </c>
      <c r="H90" s="173"/>
      <c r="I90" s="174"/>
      <c r="J90" s="175"/>
      <c r="K90" s="176"/>
      <c r="L90" s="176">
        <f>+BI74</f>
        <v>5646561</v>
      </c>
      <c r="M90" s="176"/>
      <c r="N90" s="176"/>
      <c r="O90" s="176">
        <f>+BI75</f>
        <v>5509815</v>
      </c>
      <c r="P90" s="177">
        <f>+BI76</f>
        <v>169840</v>
      </c>
      <c r="Q90"/>
      <c r="R90"/>
      <c r="S90"/>
      <c r="T90"/>
      <c r="U90" s="178"/>
      <c r="V90" s="178"/>
      <c r="Y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F90" s="178"/>
      <c r="BK90" s="179"/>
      <c r="BL90" s="179"/>
      <c r="BM90" s="179"/>
      <c r="BN90" s="179"/>
      <c r="BO90" s="179"/>
      <c r="BP90" s="179"/>
      <c r="BQ90" s="179"/>
      <c r="BR90" s="179"/>
      <c r="BS90" s="179"/>
      <c r="CO90" s="178"/>
      <c r="CP90" s="178"/>
    </row>
    <row r="91" spans="1:94" s="26" customFormat="1" ht="39.950000000000003" hidden="1" customHeight="1" thickBot="1">
      <c r="A91" s="171" t="s">
        <v>146</v>
      </c>
      <c r="B91" s="172"/>
      <c r="C91" s="172"/>
      <c r="D91" s="172"/>
      <c r="E91" s="172"/>
      <c r="F91" s="172"/>
      <c r="G91" s="173">
        <f>+G86</f>
        <v>42705</v>
      </c>
      <c r="H91" s="173"/>
      <c r="I91" s="174"/>
      <c r="J91" s="175"/>
      <c r="K91" s="176"/>
      <c r="L91" s="176">
        <f>+L80-L90</f>
        <v>-5.1200000001117587</v>
      </c>
      <c r="M91" s="176"/>
      <c r="N91" s="176"/>
      <c r="O91" s="176">
        <f>+O80-O90</f>
        <v>-184147.44999999925</v>
      </c>
      <c r="P91" s="177">
        <f>+P80-P90</f>
        <v>16621.630000000005</v>
      </c>
      <c r="Q91"/>
      <c r="R91"/>
      <c r="S91"/>
      <c r="T91"/>
      <c r="U91" s="180"/>
      <c r="V91" s="178"/>
      <c r="Y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F91" s="178"/>
      <c r="BK91" s="179"/>
      <c r="BL91" s="179"/>
      <c r="BM91" s="179"/>
      <c r="BN91" s="179"/>
      <c r="BO91" s="179"/>
      <c r="BP91" s="179"/>
      <c r="BQ91" s="179"/>
      <c r="BR91" s="179"/>
      <c r="BS91" s="179"/>
      <c r="CO91" s="178"/>
      <c r="CP91" s="178"/>
    </row>
    <row r="92" spans="1:94" s="26" customFormat="1" ht="39.950000000000003" hidden="1" customHeight="1">
      <c r="G92" s="89"/>
      <c r="H92" s="89"/>
      <c r="I92" s="89"/>
      <c r="Q92"/>
      <c r="R92"/>
      <c r="S92"/>
      <c r="T92"/>
      <c r="U92" s="178"/>
      <c r="V92" s="178"/>
      <c r="Y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F92" s="178"/>
      <c r="BK92" s="179"/>
      <c r="BL92" s="179"/>
      <c r="BM92" s="179"/>
      <c r="BN92" s="179"/>
      <c r="BO92" s="179"/>
      <c r="BP92" s="179"/>
      <c r="BQ92" s="179"/>
      <c r="BR92" s="179"/>
      <c r="BS92" s="179"/>
      <c r="CO92" s="178"/>
      <c r="CP92" s="178"/>
    </row>
    <row r="93" spans="1:94" s="26" customFormat="1" ht="39.950000000000003" hidden="1" customHeight="1" thickBot="1">
      <c r="G93" s="89"/>
      <c r="H93" s="89"/>
      <c r="I93" s="89"/>
      <c r="Q93" s="178"/>
      <c r="R93" s="178"/>
      <c r="S93" s="178"/>
      <c r="T93" s="178"/>
      <c r="U93" s="178"/>
      <c r="V93" s="178"/>
      <c r="Y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F93" s="178"/>
      <c r="BK93" s="179"/>
      <c r="BL93" s="179"/>
      <c r="BM93" s="179"/>
      <c r="BN93" s="179"/>
      <c r="BO93" s="179"/>
      <c r="BP93" s="179"/>
      <c r="BQ93" s="179"/>
      <c r="BR93" s="179"/>
      <c r="BS93" s="179"/>
      <c r="CO93" s="178"/>
      <c r="CP93" s="178"/>
    </row>
    <row r="94" spans="1:94" ht="39.950000000000003" hidden="1" customHeight="1" thickBot="1">
      <c r="A94" s="171" t="s">
        <v>143</v>
      </c>
      <c r="B94" s="172"/>
      <c r="C94" s="172"/>
      <c r="D94" s="172"/>
      <c r="E94" s="172"/>
      <c r="F94" s="172"/>
      <c r="G94" s="173">
        <v>42675</v>
      </c>
      <c r="H94" s="173"/>
      <c r="I94" s="174"/>
      <c r="J94" s="175"/>
      <c r="K94" s="176">
        <v>139175</v>
      </c>
      <c r="L94" s="176">
        <v>1856381</v>
      </c>
      <c r="M94" s="176">
        <v>629439</v>
      </c>
      <c r="N94" s="176">
        <v>2201439</v>
      </c>
      <c r="O94" s="176">
        <v>0</v>
      </c>
      <c r="P94" s="176">
        <v>38330488</v>
      </c>
      <c r="Q94" s="176"/>
      <c r="R94" s="176"/>
      <c r="S94" s="176">
        <v>17617759</v>
      </c>
      <c r="T94" s="176">
        <v>100000</v>
      </c>
      <c r="U94" s="176">
        <v>9039515</v>
      </c>
      <c r="V94" s="176"/>
      <c r="W94" s="176">
        <v>300000</v>
      </c>
      <c r="X94" s="176">
        <v>637655</v>
      </c>
      <c r="Y94" s="176"/>
      <c r="Z94" s="176">
        <v>358196</v>
      </c>
      <c r="AA94" s="176">
        <v>11548627</v>
      </c>
      <c r="AB94" s="176"/>
      <c r="AC94" s="176"/>
      <c r="AD94" s="176"/>
      <c r="AE94" s="176">
        <v>1170525</v>
      </c>
      <c r="AF94" s="176">
        <v>2042815</v>
      </c>
      <c r="AG94" s="176">
        <v>33438</v>
      </c>
      <c r="AH94" s="176"/>
      <c r="AI94" s="176"/>
      <c r="AJ94" s="176"/>
      <c r="AK94" s="176"/>
      <c r="AL94" s="176"/>
      <c r="AM94" s="176"/>
      <c r="AN94" s="176"/>
      <c r="AO94" s="176"/>
      <c r="AP94" s="176"/>
      <c r="AQ94" s="176">
        <v>1743442</v>
      </c>
      <c r="AR94" s="176"/>
      <c r="AS94" s="176"/>
      <c r="AT94" s="176"/>
      <c r="AU94" s="176">
        <v>40000</v>
      </c>
      <c r="AV94" s="176"/>
      <c r="AW94" s="176">
        <v>271429</v>
      </c>
      <c r="AX94" s="176"/>
      <c r="AY94" s="176"/>
      <c r="AZ94" s="176"/>
      <c r="BA94" s="176"/>
      <c r="BB94" s="176"/>
      <c r="BC94" s="176"/>
      <c r="BD94" s="177">
        <v>146568</v>
      </c>
    </row>
    <row r="95" spans="1:94" ht="30" hidden="1" customHeight="1">
      <c r="I95" s="5"/>
      <c r="W95" s="2"/>
      <c r="X95" s="2"/>
      <c r="Z95" s="2"/>
      <c r="AA95" s="2"/>
      <c r="AB95" s="2"/>
    </row>
    <row r="96" spans="1:94" ht="30" hidden="1" customHeight="1">
      <c r="I96" s="5"/>
      <c r="W96" s="2"/>
      <c r="X96" s="2"/>
      <c r="Z96" s="2"/>
      <c r="AA96" s="2"/>
      <c r="AB96" s="2"/>
    </row>
    <row r="97" spans="7:94" ht="30" hidden="1" customHeight="1">
      <c r="I97" s="5"/>
      <c r="W97" s="2"/>
      <c r="X97" s="2"/>
      <c r="Z97" s="2"/>
      <c r="AA97" s="2"/>
      <c r="AB97" s="2"/>
    </row>
    <row r="98" spans="7:94" ht="30" hidden="1" customHeight="1">
      <c r="I98" s="5"/>
      <c r="W98" s="2"/>
      <c r="X98" s="2"/>
      <c r="Z98" s="2"/>
      <c r="AA98" s="2"/>
      <c r="AB98" s="2"/>
    </row>
    <row r="99" spans="7:94" ht="30" hidden="1" customHeight="1">
      <c r="I99" s="5"/>
      <c r="W99" s="2"/>
      <c r="X99" s="2"/>
      <c r="Z99" s="2"/>
      <c r="AA99" s="2"/>
      <c r="AB99" s="2"/>
    </row>
    <row r="100" spans="7:94" s="10" customFormat="1" ht="50.1" hidden="1" customHeight="1">
      <c r="G100" s="12"/>
      <c r="H100" s="12"/>
      <c r="I100" s="12"/>
      <c r="Q100" s="15"/>
      <c r="R100" s="15"/>
      <c r="S100" s="15"/>
      <c r="T100" s="15"/>
      <c r="U100" s="15"/>
      <c r="V100" s="15"/>
      <c r="Y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F100" s="15"/>
      <c r="BK100" s="18"/>
      <c r="BL100" s="18"/>
      <c r="BM100" s="18"/>
      <c r="BN100" s="18"/>
      <c r="BO100" s="18"/>
      <c r="BP100" s="18"/>
      <c r="BQ100" s="18"/>
      <c r="BR100" s="18"/>
      <c r="BS100" s="18"/>
      <c r="CO100" s="15"/>
      <c r="CP100" s="15"/>
    </row>
    <row r="101" spans="7:94" s="182" customFormat="1" ht="50.1" hidden="1" customHeight="1">
      <c r="G101" s="181"/>
      <c r="H101" s="181"/>
      <c r="I101" s="181"/>
      <c r="Q101" s="183"/>
      <c r="R101" s="183"/>
      <c r="S101" s="183"/>
      <c r="T101" s="183"/>
      <c r="U101" s="183"/>
      <c r="V101" s="183"/>
      <c r="W101" s="182" t="s">
        <v>147</v>
      </c>
      <c r="Y101" s="183"/>
      <c r="Z101" s="182">
        <v>42705</v>
      </c>
      <c r="AA101" s="182">
        <v>42706</v>
      </c>
      <c r="AB101" s="182">
        <v>42707</v>
      </c>
      <c r="AC101" s="183">
        <v>42708</v>
      </c>
      <c r="AD101" s="183">
        <v>42709</v>
      </c>
      <c r="AE101" s="183">
        <v>42710</v>
      </c>
      <c r="AF101" s="183">
        <v>42711</v>
      </c>
      <c r="AG101" s="183">
        <v>42712</v>
      </c>
      <c r="AH101" s="183">
        <v>42713</v>
      </c>
      <c r="AI101" s="183">
        <v>42714</v>
      </c>
      <c r="AJ101" s="183">
        <v>42715</v>
      </c>
      <c r="AK101" s="183">
        <v>42716</v>
      </c>
      <c r="AL101" s="183">
        <v>42717</v>
      </c>
      <c r="AM101" s="183">
        <v>42718</v>
      </c>
      <c r="AN101" s="183">
        <v>42719</v>
      </c>
      <c r="AO101" s="183">
        <v>42720</v>
      </c>
      <c r="AP101" s="183">
        <v>42721</v>
      </c>
      <c r="AQ101" s="183">
        <v>42722</v>
      </c>
      <c r="AR101" s="183">
        <v>42723</v>
      </c>
      <c r="AS101" s="183">
        <v>42724</v>
      </c>
      <c r="AT101" s="183">
        <v>42725</v>
      </c>
      <c r="AU101" s="183">
        <v>42726</v>
      </c>
      <c r="AV101" s="183">
        <v>42727</v>
      </c>
      <c r="AW101" s="183">
        <v>42728</v>
      </c>
      <c r="AX101" s="183">
        <v>42729</v>
      </c>
      <c r="AY101" s="183">
        <v>42730</v>
      </c>
      <c r="AZ101" s="183">
        <v>42731</v>
      </c>
      <c r="BA101" s="183">
        <v>42732</v>
      </c>
      <c r="BB101" s="183">
        <v>42733</v>
      </c>
      <c r="BC101" s="183">
        <v>42734</v>
      </c>
      <c r="BD101" s="183">
        <v>42735</v>
      </c>
      <c r="BF101" s="183"/>
      <c r="BK101" s="184"/>
      <c r="BL101" s="184"/>
      <c r="BM101" s="184"/>
      <c r="BN101" s="184"/>
      <c r="BO101" s="184"/>
      <c r="BP101" s="184"/>
      <c r="BQ101" s="184"/>
      <c r="BR101" s="184"/>
      <c r="BS101" s="184"/>
      <c r="CO101" s="183"/>
      <c r="CP101" s="183"/>
    </row>
    <row r="102" spans="7:94" s="10" customFormat="1" ht="50.1" hidden="1" customHeight="1">
      <c r="G102" s="12"/>
      <c r="H102" s="12"/>
      <c r="I102" s="12"/>
      <c r="Q102" s="15"/>
      <c r="R102" s="15"/>
      <c r="S102" s="15"/>
      <c r="T102" s="15"/>
      <c r="U102" s="15"/>
      <c r="V102" s="15"/>
      <c r="W102" s="10" t="s">
        <v>148</v>
      </c>
      <c r="Y102" s="15"/>
      <c r="Z102" s="185">
        <v>0</v>
      </c>
      <c r="AA102" s="185">
        <v>0</v>
      </c>
      <c r="AB102" s="185">
        <v>0</v>
      </c>
      <c r="AC102" s="185">
        <v>0</v>
      </c>
      <c r="AD102" s="185">
        <v>0</v>
      </c>
      <c r="AE102" s="185">
        <v>200</v>
      </c>
      <c r="AF102" s="185">
        <v>0</v>
      </c>
      <c r="AG102" s="185">
        <v>0</v>
      </c>
      <c r="AH102" s="185">
        <v>0</v>
      </c>
      <c r="AI102" s="185">
        <v>0</v>
      </c>
      <c r="AJ102" s="185">
        <v>0</v>
      </c>
      <c r="AK102" s="185">
        <v>0</v>
      </c>
      <c r="AL102" s="185">
        <v>0</v>
      </c>
      <c r="AM102" s="185">
        <v>0</v>
      </c>
      <c r="AN102" s="185">
        <v>0</v>
      </c>
      <c r="AO102" s="185">
        <v>7773.37</v>
      </c>
      <c r="AP102" s="185">
        <v>0</v>
      </c>
      <c r="AQ102" s="185">
        <v>0</v>
      </c>
      <c r="AR102" s="185">
        <v>0</v>
      </c>
      <c r="AS102" s="185">
        <v>767.5</v>
      </c>
      <c r="AT102" s="185">
        <v>2440.099999999994</v>
      </c>
      <c r="AU102" s="185">
        <v>0</v>
      </c>
      <c r="AV102" s="185">
        <v>0</v>
      </c>
      <c r="AW102" s="185">
        <v>0</v>
      </c>
      <c r="AX102" s="185">
        <v>0</v>
      </c>
      <c r="AY102" s="185">
        <v>29947.479999999992</v>
      </c>
      <c r="AZ102" s="185">
        <v>0</v>
      </c>
      <c r="BA102" s="185">
        <v>0</v>
      </c>
      <c r="BB102" s="185">
        <v>0</v>
      </c>
      <c r="BC102" s="185">
        <v>0</v>
      </c>
      <c r="BD102" s="185">
        <v>0</v>
      </c>
      <c r="BE102" s="186"/>
      <c r="BF102" s="15"/>
      <c r="BK102" s="18"/>
      <c r="BL102" s="18"/>
      <c r="BM102" s="18"/>
      <c r="BN102" s="18"/>
      <c r="BO102" s="18"/>
      <c r="BP102" s="18"/>
      <c r="BQ102" s="18"/>
      <c r="BR102" s="18"/>
      <c r="BS102" s="18"/>
      <c r="CO102" s="15"/>
      <c r="CP102" s="15"/>
    </row>
    <row r="103" spans="7:94" s="10" customFormat="1" ht="50.1" hidden="1" customHeight="1">
      <c r="G103" s="12"/>
      <c r="H103" s="12"/>
      <c r="I103" s="12"/>
      <c r="Q103" s="15"/>
      <c r="R103" s="15"/>
      <c r="S103" s="15"/>
      <c r="T103" s="15"/>
      <c r="U103" s="15"/>
      <c r="V103" s="15"/>
      <c r="W103" s="10" t="s">
        <v>149</v>
      </c>
      <c r="Y103" s="15"/>
      <c r="Z103" s="185">
        <v>0</v>
      </c>
      <c r="AA103" s="185">
        <v>0</v>
      </c>
      <c r="AB103" s="185">
        <v>0</v>
      </c>
      <c r="AC103" s="185">
        <v>0</v>
      </c>
      <c r="AD103" s="185">
        <v>0</v>
      </c>
      <c r="AE103" s="185">
        <v>0</v>
      </c>
      <c r="AF103" s="185">
        <v>0</v>
      </c>
      <c r="AG103" s="185">
        <v>0</v>
      </c>
      <c r="AH103" s="185">
        <v>0</v>
      </c>
      <c r="AI103" s="185">
        <v>0</v>
      </c>
      <c r="AJ103" s="185">
        <v>0</v>
      </c>
      <c r="AK103" s="185">
        <v>91304.91</v>
      </c>
      <c r="AL103" s="185">
        <v>0</v>
      </c>
      <c r="AM103" s="185">
        <v>0</v>
      </c>
      <c r="AN103" s="185">
        <v>0</v>
      </c>
      <c r="AO103" s="185">
        <v>0</v>
      </c>
      <c r="AP103" s="185">
        <v>0</v>
      </c>
      <c r="AQ103" s="185">
        <v>0</v>
      </c>
      <c r="AR103" s="185">
        <v>0</v>
      </c>
      <c r="AS103" s="185">
        <v>0</v>
      </c>
      <c r="AT103" s="185">
        <v>14980.93</v>
      </c>
      <c r="AU103" s="185">
        <v>18286.620000000003</v>
      </c>
      <c r="AV103" s="185">
        <v>102641.72999999998</v>
      </c>
      <c r="AW103" s="185">
        <v>0</v>
      </c>
      <c r="AX103" s="185">
        <v>0</v>
      </c>
      <c r="AY103" s="185">
        <v>0</v>
      </c>
      <c r="AZ103" s="185">
        <v>0</v>
      </c>
      <c r="BA103" s="185">
        <v>0</v>
      </c>
      <c r="BB103" s="185">
        <v>1127979.0900000001</v>
      </c>
      <c r="BC103" s="185">
        <v>0</v>
      </c>
      <c r="BD103" s="185">
        <v>0</v>
      </c>
      <c r="BF103" s="15"/>
      <c r="BK103" s="18"/>
      <c r="BL103" s="18"/>
      <c r="BM103" s="18"/>
      <c r="BN103" s="18"/>
      <c r="BO103" s="18"/>
      <c r="BP103" s="18"/>
      <c r="BQ103" s="18"/>
      <c r="BR103" s="18"/>
      <c r="BS103" s="18"/>
      <c r="CO103" s="15"/>
      <c r="CP103" s="15"/>
    </row>
    <row r="104" spans="7:94" s="10" customFormat="1" ht="50.1" hidden="1" customHeight="1">
      <c r="G104" s="12"/>
      <c r="H104" s="12"/>
      <c r="I104" s="12"/>
      <c r="Q104" s="15"/>
      <c r="R104" s="15"/>
      <c r="S104" s="15"/>
      <c r="T104" s="15"/>
      <c r="U104" s="15"/>
      <c r="V104" s="15"/>
      <c r="W104" s="10" t="s">
        <v>150</v>
      </c>
      <c r="Y104" s="15"/>
      <c r="Z104" s="185">
        <v>0</v>
      </c>
      <c r="AA104" s="185">
        <v>0</v>
      </c>
      <c r="AB104" s="185">
        <v>0</v>
      </c>
      <c r="AC104" s="185">
        <v>0</v>
      </c>
      <c r="AD104" s="185">
        <v>0</v>
      </c>
      <c r="AE104" s="185">
        <v>0</v>
      </c>
      <c r="AF104" s="185">
        <v>0</v>
      </c>
      <c r="AG104" s="185">
        <v>0</v>
      </c>
      <c r="AH104" s="185">
        <v>0</v>
      </c>
      <c r="AI104" s="185">
        <v>0</v>
      </c>
      <c r="AJ104" s="185">
        <v>0</v>
      </c>
      <c r="AK104" s="185">
        <v>0</v>
      </c>
      <c r="AL104" s="185">
        <v>0</v>
      </c>
      <c r="AM104" s="185">
        <v>0</v>
      </c>
      <c r="AN104" s="185">
        <v>0</v>
      </c>
      <c r="AO104" s="185">
        <v>0</v>
      </c>
      <c r="AP104" s="185">
        <v>0</v>
      </c>
      <c r="AQ104" s="185">
        <v>0</v>
      </c>
      <c r="AR104" s="185">
        <v>0</v>
      </c>
      <c r="AS104" s="185">
        <v>382936.16</v>
      </c>
      <c r="AT104" s="185">
        <v>0</v>
      </c>
      <c r="AU104" s="185">
        <v>0</v>
      </c>
      <c r="AV104" s="185">
        <v>0</v>
      </c>
      <c r="AW104" s="185">
        <v>0</v>
      </c>
      <c r="AX104" s="185">
        <v>0</v>
      </c>
      <c r="AY104" s="185">
        <v>0</v>
      </c>
      <c r="AZ104" s="185">
        <v>0</v>
      </c>
      <c r="BA104" s="185">
        <v>0</v>
      </c>
      <c r="BB104" s="185">
        <v>0</v>
      </c>
      <c r="BC104" s="185">
        <v>0</v>
      </c>
      <c r="BD104" s="185">
        <v>0</v>
      </c>
      <c r="BF104" s="15"/>
      <c r="BK104" s="18"/>
      <c r="BL104" s="18"/>
      <c r="BM104" s="18"/>
      <c r="BN104" s="18"/>
      <c r="BO104" s="18"/>
      <c r="BP104" s="18"/>
      <c r="BQ104" s="18"/>
      <c r="BR104" s="18"/>
      <c r="BS104" s="18"/>
      <c r="CO104" s="15"/>
      <c r="CP104" s="15"/>
    </row>
    <row r="105" spans="7:94" s="10" customFormat="1" ht="50.1" hidden="1" customHeight="1">
      <c r="G105" s="12"/>
      <c r="H105" s="12"/>
      <c r="I105" s="12"/>
      <c r="Q105" s="15"/>
      <c r="R105" s="15"/>
      <c r="S105" s="15"/>
      <c r="T105" s="15"/>
      <c r="U105" s="15"/>
      <c r="V105" s="15"/>
      <c r="Y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F105" s="15"/>
      <c r="BK105" s="18"/>
      <c r="BL105" s="18"/>
      <c r="BM105" s="18"/>
      <c r="BN105" s="18"/>
      <c r="BO105" s="18"/>
      <c r="BP105" s="18"/>
      <c r="BQ105" s="18"/>
      <c r="BR105" s="18"/>
      <c r="BS105" s="18"/>
      <c r="CO105" s="15"/>
      <c r="CP105" s="15"/>
    </row>
    <row r="106" spans="7:94" s="10" customFormat="1" ht="50.1" hidden="1" customHeight="1">
      <c r="G106" s="12"/>
      <c r="H106" s="12"/>
      <c r="I106" s="12"/>
      <c r="Q106" s="15"/>
      <c r="R106" s="15"/>
      <c r="S106" s="15"/>
      <c r="T106" s="15"/>
      <c r="U106" s="15"/>
      <c r="V106" s="15"/>
      <c r="Y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F106" s="15"/>
      <c r="BK106" s="18"/>
      <c r="BL106" s="18"/>
      <c r="BM106" s="18"/>
      <c r="BN106" s="18"/>
      <c r="BO106" s="18"/>
      <c r="BP106" s="18"/>
      <c r="BQ106" s="18"/>
      <c r="BR106" s="18"/>
      <c r="BS106" s="18"/>
      <c r="CO106" s="15"/>
      <c r="CP106" s="15"/>
    </row>
    <row r="107" spans="7:94" ht="30" hidden="1" customHeight="1">
      <c r="I107" s="5"/>
      <c r="W107" s="2"/>
      <c r="X107" s="2"/>
      <c r="Z107" s="2"/>
      <c r="AA107" s="2"/>
      <c r="AB107" s="2"/>
    </row>
    <row r="108" spans="7:94" ht="30" hidden="1" customHeight="1">
      <c r="I108" s="5"/>
      <c r="W108" s="2"/>
      <c r="X108" s="2"/>
      <c r="Z108" s="2"/>
      <c r="AA108" s="2"/>
      <c r="AB108" s="2"/>
    </row>
    <row r="109" spans="7:94" ht="30" hidden="1" customHeight="1">
      <c r="I109" s="5"/>
      <c r="W109" s="2"/>
      <c r="X109" s="2"/>
      <c r="Z109" s="2"/>
      <c r="AA109" s="2"/>
      <c r="AB109" s="2"/>
    </row>
    <row r="110" spans="7:94" ht="30" hidden="1" customHeight="1">
      <c r="I110" s="5"/>
      <c r="W110" s="2"/>
      <c r="X110" s="2"/>
      <c r="Z110" s="2"/>
      <c r="AA110" s="2"/>
      <c r="AB110" s="2"/>
    </row>
    <row r="111" spans="7:94" ht="30" hidden="1" customHeight="1">
      <c r="I111" s="5"/>
      <c r="W111" s="2"/>
      <c r="X111" s="2"/>
      <c r="Z111" s="2"/>
      <c r="AA111" s="2"/>
      <c r="AB111" s="2"/>
    </row>
    <row r="112" spans="7:94" ht="30" hidden="1" customHeight="1">
      <c r="I112" s="5"/>
      <c r="W112" s="2"/>
      <c r="X112" s="2"/>
      <c r="Z112" s="2"/>
      <c r="AA112" s="2"/>
      <c r="AB112" s="2"/>
    </row>
    <row r="113" spans="9:28" ht="30" hidden="1" customHeight="1">
      <c r="I113" s="5"/>
      <c r="W113" s="2"/>
      <c r="X113" s="2"/>
      <c r="Z113" s="2"/>
      <c r="AA113" s="2"/>
      <c r="AB113" s="2"/>
    </row>
    <row r="114" spans="9:28" ht="30" hidden="1" customHeight="1">
      <c r="I114" s="5"/>
      <c r="W114" s="2"/>
      <c r="X114" s="2"/>
      <c r="Z114" s="2"/>
      <c r="AA114" s="2"/>
      <c r="AB114" s="2"/>
    </row>
    <row r="115" spans="9:28" ht="30" hidden="1" customHeight="1">
      <c r="I115" s="5"/>
      <c r="W115" s="2"/>
      <c r="X115" s="2"/>
      <c r="Z115" s="2"/>
      <c r="AA115" s="2"/>
      <c r="AB115" s="2"/>
    </row>
    <row r="116" spans="9:28" ht="30" hidden="1" customHeight="1">
      <c r="I116" s="5"/>
      <c r="W116" s="2"/>
      <c r="X116" s="2"/>
      <c r="Z116" s="2"/>
      <c r="AA116" s="2"/>
      <c r="AB116" s="2"/>
    </row>
    <row r="117" spans="9:28" ht="30" customHeight="1">
      <c r="I117" s="5"/>
      <c r="W117" s="2"/>
      <c r="X117" s="2"/>
      <c r="Z117" s="2"/>
      <c r="AA117" s="2"/>
      <c r="AB117" s="2"/>
    </row>
    <row r="118" spans="9:28" ht="30" customHeight="1">
      <c r="I118" s="5"/>
      <c r="W118" s="2"/>
      <c r="X118" s="2"/>
      <c r="Z118" s="2"/>
      <c r="AA118" s="2"/>
      <c r="AB118" s="2"/>
    </row>
    <row r="119" spans="9:28" ht="30" customHeight="1">
      <c r="I119" s="5"/>
      <c r="W119" s="2"/>
      <c r="X119" s="2"/>
      <c r="Z119" s="2"/>
      <c r="AA119" s="2"/>
      <c r="AB119" s="2"/>
    </row>
    <row r="120" spans="9:28" ht="30" customHeight="1">
      <c r="I120" s="5"/>
      <c r="W120" s="2"/>
      <c r="X120" s="2"/>
      <c r="Z120" s="2"/>
      <c r="AA120" s="2"/>
      <c r="AB120" s="2"/>
    </row>
    <row r="121" spans="9:28" ht="30" customHeight="1">
      <c r="I121" s="5"/>
      <c r="W121" s="2"/>
      <c r="X121" s="2"/>
      <c r="Z121" s="2"/>
      <c r="AA121" s="2"/>
      <c r="AB121" s="2"/>
    </row>
    <row r="122" spans="9:28" ht="30" customHeight="1">
      <c r="I122" s="5"/>
      <c r="W122" s="2"/>
      <c r="X122" s="2"/>
      <c r="Z122" s="2"/>
      <c r="AA122" s="2"/>
      <c r="AB122" s="2"/>
    </row>
    <row r="123" spans="9:28" ht="30" customHeight="1">
      <c r="I123" s="5"/>
      <c r="W123" s="2"/>
      <c r="X123" s="2"/>
      <c r="Z123" s="2"/>
      <c r="AA123" s="2"/>
      <c r="AB123" s="2"/>
    </row>
    <row r="124" spans="9:28" ht="30" customHeight="1">
      <c r="I124" s="5"/>
      <c r="W124" s="2"/>
      <c r="X124" s="2"/>
      <c r="Z124" s="2"/>
      <c r="AA124" s="2"/>
      <c r="AB124" s="2"/>
    </row>
    <row r="125" spans="9:28" ht="30" customHeight="1">
      <c r="I125" s="5"/>
      <c r="W125" s="2"/>
      <c r="X125" s="2"/>
      <c r="Z125" s="2"/>
      <c r="AA125" s="2"/>
      <c r="AB125" s="2"/>
    </row>
    <row r="126" spans="9:28" ht="30" customHeight="1">
      <c r="I126" s="5"/>
      <c r="W126" s="2"/>
      <c r="X126" s="2"/>
      <c r="Z126" s="2"/>
      <c r="AA126" s="2"/>
      <c r="AB126" s="2"/>
    </row>
    <row r="127" spans="9:28" ht="30" customHeight="1">
      <c r="I127" s="5"/>
      <c r="W127" s="2"/>
      <c r="X127" s="2"/>
      <c r="Z127" s="2"/>
      <c r="AA127" s="2"/>
      <c r="AB127" s="2"/>
    </row>
    <row r="128" spans="9:28" ht="30" customHeight="1">
      <c r="I128" s="5"/>
      <c r="W128" s="2"/>
      <c r="X128" s="2"/>
      <c r="Z128" s="2"/>
      <c r="AA128" s="2"/>
      <c r="AB128" s="2"/>
    </row>
    <row r="129" spans="9:28" ht="30" customHeight="1">
      <c r="I129" s="5"/>
      <c r="W129" s="2"/>
      <c r="X129" s="2"/>
      <c r="Z129" s="2"/>
      <c r="AA129" s="2"/>
      <c r="AB129" s="2"/>
    </row>
    <row r="130" spans="9:28" ht="30" customHeight="1">
      <c r="I130" s="5"/>
      <c r="W130" s="2"/>
      <c r="X130" s="2"/>
      <c r="Z130" s="2"/>
      <c r="AA130" s="2"/>
      <c r="AB130" s="2"/>
    </row>
    <row r="131" spans="9:28" ht="30" customHeight="1">
      <c r="I131" s="5"/>
      <c r="W131" s="2"/>
      <c r="X131" s="2"/>
      <c r="Z131" s="2"/>
      <c r="AA131" s="2"/>
      <c r="AB131" s="2"/>
    </row>
    <row r="132" spans="9:28" ht="30" customHeight="1">
      <c r="I132" s="5"/>
      <c r="W132" s="2"/>
      <c r="X132" s="2"/>
      <c r="Z132" s="2"/>
      <c r="AA132" s="2"/>
      <c r="AB132" s="2"/>
    </row>
    <row r="133" spans="9:28" ht="30" customHeight="1">
      <c r="I133" s="5"/>
      <c r="W133" s="2"/>
      <c r="X133" s="2"/>
      <c r="Z133" s="2"/>
      <c r="AA133" s="2"/>
      <c r="AB133" s="2"/>
    </row>
    <row r="134" spans="9:28" ht="30" customHeight="1">
      <c r="I134" s="5"/>
      <c r="W134" s="2"/>
      <c r="X134" s="2"/>
      <c r="Z134" s="2"/>
      <c r="AA134" s="2"/>
      <c r="AB134" s="2"/>
    </row>
    <row r="135" spans="9:28" ht="30" customHeight="1">
      <c r="I135" s="5"/>
      <c r="W135" s="2"/>
      <c r="X135" s="2"/>
      <c r="Z135" s="2"/>
      <c r="AA135" s="2"/>
      <c r="AB135" s="2"/>
    </row>
    <row r="136" spans="9:28" ht="30" customHeight="1">
      <c r="I136" s="5"/>
      <c r="W136" s="2"/>
      <c r="X136" s="2"/>
      <c r="Z136" s="2"/>
      <c r="AA136" s="2"/>
      <c r="AB136" s="2"/>
    </row>
    <row r="137" spans="9:28" ht="30" customHeight="1">
      <c r="I137" s="5"/>
      <c r="W137" s="2"/>
      <c r="X137" s="2"/>
      <c r="Z137" s="2"/>
      <c r="AA137" s="2"/>
      <c r="AB137" s="2"/>
    </row>
    <row r="138" spans="9:28" ht="30" customHeight="1">
      <c r="I138" s="5"/>
      <c r="W138" s="2"/>
      <c r="X138" s="2"/>
      <c r="Z138" s="2"/>
      <c r="AA138" s="2"/>
      <c r="AB138" s="2"/>
    </row>
    <row r="139" spans="9:28" ht="30" customHeight="1">
      <c r="I139" s="5"/>
      <c r="W139" s="2"/>
      <c r="X139" s="2"/>
      <c r="Z139" s="2"/>
      <c r="AA139" s="2"/>
      <c r="AB139" s="2"/>
    </row>
    <row r="140" spans="9:28" ht="30" customHeight="1">
      <c r="I140" s="5"/>
      <c r="W140" s="2"/>
      <c r="X140" s="2"/>
      <c r="Z140" s="2"/>
      <c r="AA140" s="2"/>
      <c r="AB140" s="2"/>
    </row>
    <row r="141" spans="9:28" ht="30" customHeight="1">
      <c r="I141" s="5"/>
      <c r="W141" s="2"/>
      <c r="X141" s="2"/>
      <c r="Z141" s="2"/>
      <c r="AA141" s="2"/>
      <c r="AB141" s="2"/>
    </row>
    <row r="142" spans="9:28" ht="30" customHeight="1">
      <c r="I142" s="5"/>
      <c r="W142" s="2"/>
      <c r="X142" s="2"/>
      <c r="Z142" s="2"/>
      <c r="AA142" s="2"/>
      <c r="AB142" s="2"/>
    </row>
    <row r="143" spans="9:28" ht="30" customHeight="1">
      <c r="I143" s="5"/>
      <c r="W143" s="2"/>
      <c r="X143" s="2"/>
      <c r="Z143" s="2"/>
      <c r="AA143" s="2"/>
      <c r="AB143" s="2"/>
    </row>
    <row r="144" spans="9:28" ht="30" customHeight="1">
      <c r="I144" s="5"/>
      <c r="W144" s="2"/>
      <c r="X144" s="2"/>
      <c r="Z144" s="2"/>
      <c r="AA144" s="2"/>
      <c r="AB144" s="2"/>
    </row>
    <row r="145" spans="9:28" ht="30" customHeight="1">
      <c r="I145" s="5"/>
      <c r="W145" s="2"/>
      <c r="X145" s="2"/>
      <c r="Z145" s="2"/>
      <c r="AA145" s="2"/>
      <c r="AB145" s="2"/>
    </row>
    <row r="146" spans="9:28" ht="30" customHeight="1">
      <c r="I146" s="5"/>
      <c r="W146" s="2"/>
      <c r="X146" s="2"/>
      <c r="Z146" s="2"/>
      <c r="AA146" s="2"/>
      <c r="AB146" s="2"/>
    </row>
    <row r="147" spans="9:28" ht="30" customHeight="1">
      <c r="I147" s="5"/>
      <c r="W147" s="2"/>
      <c r="X147" s="2"/>
      <c r="Z147" s="2"/>
      <c r="AA147" s="2"/>
      <c r="AB147" s="2"/>
    </row>
    <row r="148" spans="9:28" ht="30" customHeight="1">
      <c r="I148" s="5"/>
      <c r="W148" s="2"/>
      <c r="X148" s="2"/>
      <c r="Z148" s="2"/>
      <c r="AA148" s="2"/>
      <c r="AB148" s="2"/>
    </row>
    <row r="149" spans="9:28" ht="30" customHeight="1">
      <c r="I149" s="5"/>
      <c r="W149" s="2"/>
      <c r="X149" s="2"/>
      <c r="Z149" s="2"/>
      <c r="AA149" s="2"/>
      <c r="AB149" s="2"/>
    </row>
    <row r="150" spans="9:28" ht="30" customHeight="1">
      <c r="I150" s="5"/>
      <c r="W150" s="2"/>
      <c r="X150" s="2"/>
      <c r="Z150" s="2"/>
      <c r="AA150" s="2"/>
      <c r="AB150" s="2"/>
    </row>
    <row r="151" spans="9:28" ht="30" customHeight="1">
      <c r="I151" s="5"/>
      <c r="W151" s="2"/>
      <c r="X151" s="2"/>
      <c r="Z151" s="2"/>
      <c r="AA151" s="2"/>
      <c r="AB151" s="2"/>
    </row>
    <row r="152" spans="9:28" ht="30" customHeight="1">
      <c r="I152" s="5"/>
      <c r="W152" s="2"/>
      <c r="X152" s="2"/>
      <c r="Z152" s="2"/>
      <c r="AA152" s="2"/>
      <c r="AB152" s="2"/>
    </row>
    <row r="153" spans="9:28" ht="30" customHeight="1">
      <c r="I153" s="5"/>
      <c r="W153" s="2"/>
      <c r="X153" s="2"/>
      <c r="Z153" s="2"/>
      <c r="AA153" s="2"/>
      <c r="AB153" s="2"/>
    </row>
    <row r="154" spans="9:28" ht="30" customHeight="1">
      <c r="I154" s="5"/>
      <c r="W154" s="2"/>
      <c r="X154" s="2"/>
      <c r="Z154" s="2"/>
      <c r="AA154" s="2"/>
      <c r="AB154" s="2"/>
    </row>
    <row r="155" spans="9:28" ht="30" customHeight="1">
      <c r="I155" s="5"/>
      <c r="W155" s="2"/>
      <c r="X155" s="2"/>
      <c r="Z155" s="2"/>
      <c r="AA155" s="2"/>
      <c r="AB155" s="2"/>
    </row>
    <row r="156" spans="9:28" ht="30" customHeight="1">
      <c r="I156" s="5"/>
      <c r="W156" s="2"/>
      <c r="X156" s="2"/>
      <c r="Z156" s="2"/>
      <c r="AA156" s="2"/>
      <c r="AB156" s="2"/>
    </row>
    <row r="157" spans="9:28" ht="30" customHeight="1">
      <c r="I157" s="5"/>
      <c r="W157" s="2"/>
      <c r="X157" s="2"/>
      <c r="Z157" s="2"/>
      <c r="AA157" s="2"/>
      <c r="AB157" s="2"/>
    </row>
    <row r="158" spans="9:28" ht="30" customHeight="1">
      <c r="I158" s="5"/>
      <c r="W158" s="2"/>
      <c r="X158" s="2"/>
      <c r="Z158" s="2"/>
      <c r="AA158" s="2"/>
      <c r="AB158" s="2"/>
    </row>
    <row r="159" spans="9:28" ht="30" customHeight="1">
      <c r="I159" s="5"/>
      <c r="W159" s="2"/>
      <c r="X159" s="2"/>
      <c r="Z159" s="2"/>
      <c r="AA159" s="2"/>
      <c r="AB159" s="2"/>
    </row>
    <row r="160" spans="9:28" ht="30" customHeight="1">
      <c r="I160" s="5"/>
      <c r="W160" s="2"/>
      <c r="X160" s="2"/>
      <c r="Z160" s="2"/>
      <c r="AA160" s="2"/>
      <c r="AB160" s="2"/>
    </row>
    <row r="161" spans="9:28" ht="30" customHeight="1">
      <c r="I161" s="5"/>
      <c r="W161" s="2"/>
      <c r="X161" s="2"/>
      <c r="Z161" s="2"/>
      <c r="AA161" s="2"/>
      <c r="AB161" s="2"/>
    </row>
    <row r="162" spans="9:28" ht="30" customHeight="1">
      <c r="I162" s="5"/>
      <c r="W162" s="2"/>
      <c r="X162" s="2"/>
      <c r="Z162" s="2"/>
      <c r="AA162" s="2"/>
      <c r="AB162" s="2"/>
    </row>
    <row r="163" spans="9:28" ht="30" customHeight="1">
      <c r="I163" s="5"/>
      <c r="W163" s="2"/>
      <c r="X163" s="2"/>
      <c r="Z163" s="2"/>
      <c r="AA163" s="2"/>
      <c r="AB163" s="2"/>
    </row>
    <row r="164" spans="9:28" ht="30" customHeight="1">
      <c r="I164" s="5"/>
      <c r="W164" s="2"/>
      <c r="X164" s="2"/>
      <c r="Z164" s="2"/>
      <c r="AA164" s="2"/>
      <c r="AB164" s="2"/>
    </row>
    <row r="165" spans="9:28" ht="30" customHeight="1">
      <c r="I165" s="5"/>
      <c r="W165" s="2"/>
      <c r="X165" s="2"/>
      <c r="Z165" s="2"/>
      <c r="AA165" s="2"/>
      <c r="AB165" s="2"/>
    </row>
    <row r="166" spans="9:28" ht="30" customHeight="1">
      <c r="I166" s="5"/>
      <c r="W166" s="2"/>
      <c r="X166" s="2"/>
      <c r="Z166" s="2"/>
      <c r="AA166" s="2"/>
      <c r="AB166" s="2"/>
    </row>
    <row r="167" spans="9:28" ht="30" customHeight="1">
      <c r="I167" s="5"/>
      <c r="W167" s="2"/>
      <c r="X167" s="2"/>
      <c r="Z167" s="2"/>
      <c r="AA167" s="2"/>
      <c r="AB167" s="2"/>
    </row>
    <row r="168" spans="9:28" ht="30" customHeight="1">
      <c r="I168" s="5"/>
      <c r="W168" s="2"/>
      <c r="X168" s="2"/>
      <c r="Z168" s="2"/>
      <c r="AA168" s="2"/>
      <c r="AB168" s="2"/>
    </row>
    <row r="169" spans="9:28" ht="30" customHeight="1">
      <c r="I169" s="5"/>
      <c r="W169" s="2"/>
      <c r="X169" s="2"/>
      <c r="Z169" s="2"/>
      <c r="AA169" s="2"/>
      <c r="AB169" s="2"/>
    </row>
    <row r="170" spans="9:28" ht="30" customHeight="1">
      <c r="I170" s="5"/>
      <c r="W170" s="2"/>
      <c r="X170" s="2"/>
      <c r="Z170" s="2"/>
      <c r="AA170" s="2"/>
      <c r="AB170" s="2"/>
    </row>
    <row r="171" spans="9:28" ht="30" customHeight="1">
      <c r="I171" s="5"/>
      <c r="W171" s="2"/>
      <c r="X171" s="2"/>
      <c r="Z171" s="2"/>
      <c r="AA171" s="2"/>
      <c r="AB171" s="2"/>
    </row>
    <row r="172" spans="9:28" ht="30" customHeight="1">
      <c r="I172" s="5"/>
      <c r="W172" s="2"/>
      <c r="X172" s="2"/>
      <c r="Z172" s="2"/>
      <c r="AA172" s="2"/>
      <c r="AB172" s="2"/>
    </row>
    <row r="173" spans="9:28" ht="30" customHeight="1">
      <c r="I173" s="5"/>
      <c r="W173" s="2"/>
      <c r="X173" s="2"/>
      <c r="Z173" s="2"/>
      <c r="AA173" s="2"/>
      <c r="AB173" s="2"/>
    </row>
    <row r="174" spans="9:28" ht="30" customHeight="1">
      <c r="I174" s="5"/>
      <c r="W174" s="2"/>
      <c r="X174" s="2"/>
      <c r="Z174" s="2"/>
      <c r="AA174" s="2"/>
      <c r="AB174" s="2"/>
    </row>
    <row r="175" spans="9:28" ht="30" customHeight="1">
      <c r="I175" s="5"/>
      <c r="W175" s="2"/>
      <c r="X175" s="2"/>
      <c r="Z175" s="2"/>
      <c r="AA175" s="2"/>
      <c r="AB175" s="2"/>
    </row>
    <row r="176" spans="9:28" ht="30" customHeight="1">
      <c r="I176" s="5"/>
      <c r="W176" s="2"/>
      <c r="X176" s="2"/>
      <c r="Z176" s="2"/>
      <c r="AA176" s="2"/>
      <c r="AB176" s="2"/>
    </row>
    <row r="177" spans="9:28" ht="30" customHeight="1">
      <c r="I177" s="5"/>
      <c r="W177" s="2"/>
      <c r="X177" s="2"/>
      <c r="Z177" s="2"/>
      <c r="AA177" s="2"/>
      <c r="AB177" s="2"/>
    </row>
    <row r="178" spans="9:28" ht="30" customHeight="1">
      <c r="I178" s="5"/>
      <c r="W178" s="2"/>
      <c r="X178" s="2"/>
      <c r="Z178" s="2"/>
      <c r="AA178" s="2"/>
      <c r="AB178" s="2"/>
    </row>
    <row r="179" spans="9:28" ht="30" customHeight="1">
      <c r="I179" s="5"/>
      <c r="W179" s="2"/>
      <c r="X179" s="2"/>
      <c r="Z179" s="2"/>
      <c r="AA179" s="2"/>
      <c r="AB179" s="2"/>
    </row>
    <row r="180" spans="9:28" ht="30" customHeight="1">
      <c r="I180" s="5"/>
      <c r="W180" s="2"/>
      <c r="X180" s="2"/>
      <c r="Z180" s="2"/>
      <c r="AA180" s="2"/>
      <c r="AB180" s="2"/>
    </row>
    <row r="181" spans="9:28" ht="30" customHeight="1">
      <c r="I181" s="5"/>
      <c r="W181" s="2"/>
      <c r="X181" s="2"/>
      <c r="Z181" s="2"/>
      <c r="AA181" s="2"/>
      <c r="AB181" s="2"/>
    </row>
    <row r="182" spans="9:28" ht="30" customHeight="1">
      <c r="I182" s="5"/>
      <c r="W182" s="2"/>
      <c r="X182" s="2"/>
      <c r="Z182" s="2"/>
      <c r="AA182" s="2"/>
      <c r="AB182" s="2"/>
    </row>
    <row r="183" spans="9:28" ht="30" customHeight="1">
      <c r="I183" s="5"/>
      <c r="W183" s="2"/>
      <c r="X183" s="2"/>
      <c r="Z183" s="2"/>
      <c r="AA183" s="2"/>
      <c r="AB183" s="2"/>
    </row>
    <row r="184" spans="9:28" ht="30" customHeight="1">
      <c r="I184" s="5"/>
      <c r="W184" s="2"/>
      <c r="X184" s="2"/>
      <c r="Z184" s="2"/>
      <c r="AA184" s="2"/>
      <c r="AB184" s="2"/>
    </row>
    <row r="185" spans="9:28" ht="30" customHeight="1">
      <c r="I185" s="5"/>
      <c r="W185" s="2"/>
      <c r="X185" s="2"/>
      <c r="Z185" s="2"/>
      <c r="AA185" s="2"/>
      <c r="AB185" s="2"/>
    </row>
    <row r="186" spans="9:28" ht="30" customHeight="1">
      <c r="I186" s="5"/>
      <c r="W186" s="2"/>
      <c r="X186" s="2"/>
      <c r="Z186" s="2"/>
      <c r="AA186" s="2"/>
      <c r="AB186" s="2"/>
    </row>
    <row r="187" spans="9:28" ht="30" customHeight="1">
      <c r="I187" s="5"/>
      <c r="W187" s="2"/>
      <c r="X187" s="2"/>
      <c r="Z187" s="2"/>
      <c r="AA187" s="2"/>
      <c r="AB187" s="2"/>
    </row>
    <row r="188" spans="9:28" ht="30" customHeight="1">
      <c r="I188" s="5"/>
      <c r="W188" s="2"/>
      <c r="X188" s="2"/>
      <c r="Z188" s="2"/>
      <c r="AA188" s="2"/>
      <c r="AB188" s="2"/>
    </row>
    <row r="189" spans="9:28" ht="30" customHeight="1">
      <c r="I189" s="5"/>
      <c r="W189" s="2"/>
      <c r="X189" s="2"/>
      <c r="Z189" s="2"/>
      <c r="AA189" s="2"/>
      <c r="AB189" s="2"/>
    </row>
    <row r="190" spans="9:28" ht="30" customHeight="1">
      <c r="I190" s="5"/>
      <c r="W190" s="2"/>
      <c r="X190" s="2"/>
      <c r="Z190" s="2"/>
      <c r="AA190" s="2"/>
      <c r="AB190" s="2"/>
    </row>
    <row r="191" spans="9:28" ht="30" customHeight="1">
      <c r="I191" s="5"/>
      <c r="W191" s="2"/>
      <c r="X191" s="2"/>
      <c r="Z191" s="2"/>
      <c r="AA191" s="2"/>
      <c r="AB191" s="2"/>
    </row>
    <row r="192" spans="9:28" ht="30" customHeight="1">
      <c r="I192" s="5"/>
      <c r="W192" s="2"/>
      <c r="X192" s="2"/>
      <c r="Z192" s="2"/>
      <c r="AA192" s="2"/>
      <c r="AB192" s="2"/>
    </row>
    <row r="193" spans="9:28" ht="30" customHeight="1">
      <c r="I193" s="5"/>
      <c r="W193" s="2"/>
      <c r="X193" s="2"/>
      <c r="Z193" s="2"/>
      <c r="AA193" s="2"/>
      <c r="AB193" s="2"/>
    </row>
    <row r="194" spans="9:28" ht="30" customHeight="1">
      <c r="I194" s="5"/>
      <c r="W194" s="2"/>
      <c r="X194" s="2"/>
      <c r="Z194" s="2"/>
      <c r="AA194" s="2"/>
      <c r="AB194" s="2"/>
    </row>
    <row r="195" spans="9:28" ht="30" customHeight="1">
      <c r="I195" s="5"/>
      <c r="W195" s="2"/>
      <c r="X195" s="2"/>
      <c r="Z195" s="2"/>
      <c r="AA195" s="2"/>
      <c r="AB195" s="2"/>
    </row>
    <row r="196" spans="9:28" ht="30" customHeight="1">
      <c r="I196" s="5"/>
      <c r="W196" s="2"/>
      <c r="X196" s="2"/>
      <c r="Z196" s="2"/>
      <c r="AA196" s="2"/>
      <c r="AB196" s="2"/>
    </row>
    <row r="197" spans="9:28" ht="30" customHeight="1">
      <c r="I197" s="5"/>
      <c r="W197" s="2"/>
      <c r="X197" s="2"/>
      <c r="Z197" s="2"/>
      <c r="AA197" s="2"/>
      <c r="AB197" s="2"/>
    </row>
    <row r="198" spans="9:28" ht="30" customHeight="1">
      <c r="I198" s="5"/>
      <c r="W198" s="2"/>
      <c r="X198" s="2"/>
      <c r="Z198" s="2"/>
      <c r="AA198" s="2"/>
      <c r="AB198" s="2"/>
    </row>
    <row r="199" spans="9:28" ht="30" customHeight="1">
      <c r="I199" s="5"/>
      <c r="W199" s="2"/>
      <c r="X199" s="2"/>
      <c r="Z199" s="2"/>
      <c r="AA199" s="2"/>
      <c r="AB199" s="2"/>
    </row>
    <row r="200" spans="9:28" ht="30" customHeight="1">
      <c r="I200" s="5"/>
      <c r="W200" s="2"/>
      <c r="X200" s="2"/>
      <c r="Z200" s="2"/>
      <c r="AA200" s="2"/>
      <c r="AB200" s="2"/>
    </row>
    <row r="201" spans="9:28" ht="30" customHeight="1">
      <c r="I201" s="5"/>
      <c r="W201" s="2"/>
      <c r="X201" s="2"/>
      <c r="Z201" s="2"/>
      <c r="AA201" s="2"/>
      <c r="AB201" s="2"/>
    </row>
    <row r="202" spans="9:28" ht="30" customHeight="1">
      <c r="I202" s="5"/>
      <c r="W202" s="2"/>
      <c r="X202" s="2"/>
      <c r="Z202" s="2"/>
      <c r="AA202" s="2"/>
      <c r="AB202" s="2"/>
    </row>
    <row r="203" spans="9:28" ht="30" customHeight="1">
      <c r="I203" s="5"/>
      <c r="W203" s="2"/>
      <c r="X203" s="2"/>
      <c r="Z203" s="2"/>
      <c r="AA203" s="2"/>
      <c r="AB203" s="2"/>
    </row>
    <row r="204" spans="9:28" ht="30" customHeight="1">
      <c r="I204" s="5"/>
      <c r="W204" s="2"/>
      <c r="X204" s="2"/>
      <c r="Z204" s="2"/>
      <c r="AA204" s="2"/>
      <c r="AB204" s="2"/>
    </row>
    <row r="205" spans="9:28" ht="30" customHeight="1">
      <c r="I205" s="5"/>
      <c r="W205" s="2"/>
      <c r="X205" s="2"/>
      <c r="Z205" s="2"/>
      <c r="AA205" s="2"/>
      <c r="AB205" s="2"/>
    </row>
    <row r="206" spans="9:28" ht="30" customHeight="1">
      <c r="I206" s="5"/>
      <c r="W206" s="2"/>
      <c r="X206" s="2"/>
      <c r="Z206" s="2"/>
      <c r="AA206" s="2"/>
      <c r="AB206" s="2"/>
    </row>
    <row r="207" spans="9:28" ht="30" customHeight="1">
      <c r="I207" s="5"/>
      <c r="W207" s="2"/>
      <c r="X207" s="2"/>
      <c r="Z207" s="2"/>
      <c r="AA207" s="2"/>
      <c r="AB207" s="2"/>
    </row>
    <row r="208" spans="9:28" ht="30" customHeight="1">
      <c r="I208" s="5"/>
      <c r="W208" s="2"/>
      <c r="X208" s="2"/>
      <c r="Z208" s="2"/>
      <c r="AA208" s="2"/>
      <c r="AB208" s="2"/>
    </row>
    <row r="209" spans="9:28" ht="30" customHeight="1">
      <c r="I209" s="5"/>
      <c r="W209" s="2"/>
      <c r="X209" s="2"/>
      <c r="Z209" s="2"/>
      <c r="AA209" s="2"/>
      <c r="AB209" s="2"/>
    </row>
    <row r="210" spans="9:28" ht="30" customHeight="1">
      <c r="I210" s="5"/>
      <c r="W210" s="2"/>
      <c r="X210" s="2"/>
      <c r="Z210" s="2"/>
      <c r="AA210" s="2"/>
      <c r="AB210" s="2"/>
    </row>
    <row r="211" spans="9:28" ht="30" customHeight="1">
      <c r="I211" s="5"/>
      <c r="W211" s="2"/>
      <c r="X211" s="2"/>
      <c r="Z211" s="2"/>
      <c r="AA211" s="2"/>
      <c r="AB211" s="2"/>
    </row>
    <row r="212" spans="9:28" ht="30" customHeight="1">
      <c r="I212" s="5"/>
      <c r="W212" s="2"/>
      <c r="X212" s="2"/>
      <c r="Z212" s="2"/>
      <c r="AA212" s="2"/>
      <c r="AB212" s="2"/>
    </row>
    <row r="213" spans="9:28" ht="30" customHeight="1">
      <c r="I213" s="5"/>
      <c r="W213" s="2"/>
      <c r="X213" s="2"/>
      <c r="Z213" s="2"/>
      <c r="AA213" s="2"/>
      <c r="AB213" s="2"/>
    </row>
    <row r="214" spans="9:28" ht="30" customHeight="1">
      <c r="I214" s="5"/>
      <c r="W214" s="2"/>
      <c r="X214" s="2"/>
      <c r="Z214" s="2"/>
      <c r="AA214" s="2"/>
      <c r="AB214" s="2"/>
    </row>
    <row r="215" spans="9:28" ht="30" customHeight="1">
      <c r="I215" s="5"/>
      <c r="W215" s="2"/>
      <c r="X215" s="2"/>
      <c r="Z215" s="2"/>
      <c r="AA215" s="2"/>
      <c r="AB215" s="2"/>
    </row>
    <row r="216" spans="9:28" ht="30" customHeight="1">
      <c r="I216" s="5"/>
      <c r="W216" s="2"/>
      <c r="X216" s="2"/>
      <c r="Z216" s="2"/>
      <c r="AA216" s="2"/>
      <c r="AB216" s="2"/>
    </row>
    <row r="217" spans="9:28" ht="30" customHeight="1">
      <c r="I217" s="5"/>
      <c r="W217" s="2"/>
      <c r="X217" s="2"/>
      <c r="Z217" s="2"/>
      <c r="AA217" s="2"/>
      <c r="AB217" s="2"/>
    </row>
    <row r="218" spans="9:28" ht="30" customHeight="1">
      <c r="I218" s="5"/>
      <c r="W218" s="2"/>
      <c r="X218" s="2"/>
      <c r="Z218" s="2"/>
      <c r="AA218" s="2"/>
      <c r="AB218" s="2"/>
    </row>
    <row r="219" spans="9:28" ht="30" customHeight="1">
      <c r="I219" s="5"/>
      <c r="W219" s="2"/>
      <c r="X219" s="2"/>
      <c r="Z219" s="2"/>
      <c r="AA219" s="2"/>
      <c r="AB219" s="2"/>
    </row>
    <row r="220" spans="9:28" ht="30" customHeight="1">
      <c r="I220" s="5"/>
      <c r="W220" s="2"/>
      <c r="X220" s="2"/>
      <c r="Z220" s="2"/>
      <c r="AA220" s="2"/>
      <c r="AB220" s="2"/>
    </row>
    <row r="221" spans="9:28" ht="30" customHeight="1">
      <c r="I221" s="5"/>
      <c r="W221" s="2"/>
      <c r="X221" s="2"/>
      <c r="Z221" s="2"/>
      <c r="AA221" s="2"/>
      <c r="AB221" s="2"/>
    </row>
    <row r="222" spans="9:28" ht="30" customHeight="1">
      <c r="I222" s="5"/>
      <c r="W222" s="2"/>
      <c r="X222" s="2"/>
      <c r="Z222" s="2"/>
      <c r="AA222" s="2"/>
      <c r="AB222" s="2"/>
    </row>
    <row r="223" spans="9:28" ht="30" customHeight="1">
      <c r="I223" s="5"/>
      <c r="W223" s="2"/>
      <c r="X223" s="2"/>
      <c r="Z223" s="2"/>
      <c r="AA223" s="2"/>
      <c r="AB223" s="2"/>
    </row>
    <row r="224" spans="9:28" ht="30" customHeight="1">
      <c r="I224" s="5"/>
      <c r="W224" s="2"/>
      <c r="X224" s="2"/>
      <c r="Z224" s="2"/>
      <c r="AA224" s="2"/>
      <c r="AB224" s="2"/>
    </row>
    <row r="225" spans="9:28" ht="30" customHeight="1">
      <c r="I225" s="5"/>
      <c r="W225" s="2"/>
      <c r="X225" s="2"/>
      <c r="Z225" s="2"/>
      <c r="AA225" s="2"/>
      <c r="AB225" s="2"/>
    </row>
    <row r="226" spans="9:28" ht="30" customHeight="1">
      <c r="I226" s="5"/>
      <c r="W226" s="2"/>
      <c r="X226" s="2"/>
      <c r="Z226" s="2"/>
      <c r="AA226" s="2"/>
      <c r="AB226" s="2"/>
    </row>
    <row r="227" spans="9:28" ht="30" customHeight="1">
      <c r="I227" s="5"/>
      <c r="W227" s="2"/>
      <c r="X227" s="2"/>
      <c r="Z227" s="2"/>
      <c r="AA227" s="2"/>
      <c r="AB227" s="2"/>
    </row>
    <row r="228" spans="9:28" ht="30" customHeight="1">
      <c r="I228" s="5"/>
      <c r="W228" s="2"/>
      <c r="X228" s="2"/>
      <c r="Z228" s="2"/>
      <c r="AA228" s="2"/>
      <c r="AB228" s="2"/>
    </row>
    <row r="229" spans="9:28" ht="30" customHeight="1">
      <c r="I229" s="5"/>
      <c r="W229" s="2"/>
      <c r="X229" s="2"/>
      <c r="Z229" s="2"/>
      <c r="AA229" s="2"/>
      <c r="AB229" s="2"/>
    </row>
    <row r="230" spans="9:28" ht="30" customHeight="1">
      <c r="I230" s="5"/>
      <c r="W230" s="2"/>
      <c r="X230" s="2"/>
      <c r="Z230" s="2"/>
      <c r="AA230" s="2"/>
      <c r="AB230" s="2"/>
    </row>
    <row r="231" spans="9:28" ht="30" customHeight="1">
      <c r="I231" s="5"/>
      <c r="W231" s="2"/>
      <c r="X231" s="2"/>
      <c r="Z231" s="2"/>
      <c r="AA231" s="2"/>
      <c r="AB231" s="2"/>
    </row>
    <row r="232" spans="9:28" ht="30" customHeight="1">
      <c r="I232" s="5"/>
      <c r="W232" s="2"/>
      <c r="X232" s="2"/>
      <c r="Z232" s="2"/>
      <c r="AA232" s="2"/>
      <c r="AB232" s="2"/>
    </row>
    <row r="233" spans="9:28" ht="30" customHeight="1">
      <c r="I233" s="5"/>
      <c r="W233" s="2"/>
      <c r="X233" s="2"/>
      <c r="Z233" s="2"/>
      <c r="AA233" s="2"/>
      <c r="AB233" s="2"/>
    </row>
    <row r="234" spans="9:28" ht="30" customHeight="1">
      <c r="I234" s="5"/>
      <c r="W234" s="2"/>
      <c r="X234" s="2"/>
      <c r="Z234" s="2"/>
      <c r="AA234" s="2"/>
      <c r="AB234" s="2"/>
    </row>
    <row r="235" spans="9:28" ht="30" customHeight="1">
      <c r="I235" s="5"/>
      <c r="W235" s="2"/>
      <c r="X235" s="2"/>
      <c r="Z235" s="2"/>
      <c r="AA235" s="2"/>
      <c r="AB235" s="2"/>
    </row>
    <row r="236" spans="9:28" ht="30" customHeight="1">
      <c r="I236" s="5"/>
      <c r="W236" s="2"/>
      <c r="X236" s="2"/>
      <c r="Z236" s="2"/>
      <c r="AA236" s="2"/>
      <c r="AB236" s="2"/>
    </row>
    <row r="237" spans="9:28" ht="30" customHeight="1">
      <c r="I237" s="5"/>
      <c r="W237" s="2"/>
      <c r="X237" s="2"/>
      <c r="Z237" s="2"/>
      <c r="AA237" s="2"/>
      <c r="AB237" s="2"/>
    </row>
    <row r="238" spans="9:28" ht="30" customHeight="1">
      <c r="I238" s="5"/>
      <c r="W238" s="2"/>
      <c r="X238" s="2"/>
      <c r="Z238" s="2"/>
      <c r="AA238" s="2"/>
      <c r="AB238" s="2"/>
    </row>
    <row r="239" spans="9:28" ht="30" customHeight="1">
      <c r="I239" s="5"/>
      <c r="W239" s="2"/>
      <c r="X239" s="2"/>
      <c r="Z239" s="2"/>
      <c r="AA239" s="2"/>
      <c r="AB239" s="2"/>
    </row>
    <row r="240" spans="9:28" ht="30" customHeight="1">
      <c r="I240" s="5"/>
      <c r="W240" s="2"/>
      <c r="X240" s="2"/>
      <c r="Z240" s="2"/>
      <c r="AA240" s="2"/>
      <c r="AB240" s="2"/>
    </row>
    <row r="241" spans="9:28" ht="30" customHeight="1">
      <c r="I241" s="5"/>
      <c r="W241" s="2"/>
      <c r="X241" s="2"/>
      <c r="Z241" s="2"/>
      <c r="AA241" s="2"/>
      <c r="AB241" s="2"/>
    </row>
    <row r="242" spans="9:28" ht="30" customHeight="1">
      <c r="I242" s="5"/>
      <c r="W242" s="2"/>
      <c r="X242" s="2"/>
      <c r="Z242" s="2"/>
      <c r="AA242" s="2"/>
      <c r="AB242" s="2"/>
    </row>
    <row r="243" spans="9:28" ht="30" customHeight="1">
      <c r="I243" s="5"/>
      <c r="W243" s="2"/>
      <c r="X243" s="2"/>
      <c r="Z243" s="2"/>
      <c r="AA243" s="2"/>
      <c r="AB243" s="2"/>
    </row>
    <row r="244" spans="9:28" ht="30" customHeight="1">
      <c r="I244" s="5"/>
      <c r="W244" s="2"/>
      <c r="X244" s="2"/>
      <c r="Z244" s="2"/>
      <c r="AA244" s="2"/>
      <c r="AB244" s="2"/>
    </row>
    <row r="245" spans="9:28" ht="30" customHeight="1">
      <c r="I245" s="5"/>
      <c r="W245" s="2"/>
      <c r="X245" s="2"/>
      <c r="Z245" s="2"/>
      <c r="AA245" s="2"/>
      <c r="AB245" s="2"/>
    </row>
    <row r="246" spans="9:28" ht="30" customHeight="1">
      <c r="I246" s="5"/>
      <c r="W246" s="2"/>
      <c r="X246" s="2"/>
      <c r="Z246" s="2"/>
      <c r="AA246" s="2"/>
      <c r="AB246" s="2"/>
    </row>
    <row r="247" spans="9:28" ht="30" customHeight="1">
      <c r="I247" s="5"/>
      <c r="W247" s="2"/>
      <c r="X247" s="2"/>
      <c r="Z247" s="2"/>
      <c r="AA247" s="2"/>
      <c r="AB247" s="2"/>
    </row>
    <row r="248" spans="9:28" ht="30" customHeight="1">
      <c r="I248" s="5"/>
      <c r="W248" s="2"/>
      <c r="X248" s="2"/>
      <c r="Z248" s="2"/>
      <c r="AA248" s="2"/>
      <c r="AB248" s="2"/>
    </row>
    <row r="249" spans="9:28" ht="30" customHeight="1">
      <c r="I249" s="5"/>
      <c r="W249" s="2"/>
      <c r="X249" s="2"/>
      <c r="Z249" s="2"/>
      <c r="AA249" s="2"/>
      <c r="AB249" s="2"/>
    </row>
    <row r="250" spans="9:28" ht="30" customHeight="1">
      <c r="I250" s="5"/>
      <c r="W250" s="2"/>
      <c r="X250" s="2"/>
      <c r="Z250" s="2"/>
      <c r="AA250" s="2"/>
      <c r="AB250" s="2"/>
    </row>
    <row r="251" spans="9:28" ht="30" customHeight="1">
      <c r="I251" s="5"/>
      <c r="W251" s="2"/>
      <c r="X251" s="2"/>
      <c r="Z251" s="2"/>
      <c r="AA251" s="2"/>
      <c r="AB251" s="2"/>
    </row>
    <row r="252" spans="9:28" ht="30" customHeight="1">
      <c r="I252" s="5"/>
      <c r="W252" s="2"/>
      <c r="X252" s="2"/>
      <c r="Z252" s="2"/>
      <c r="AA252" s="2"/>
      <c r="AB252" s="2"/>
    </row>
    <row r="253" spans="9:28" ht="30" customHeight="1">
      <c r="I253" s="5"/>
      <c r="W253" s="2"/>
      <c r="X253" s="2"/>
      <c r="Z253" s="2"/>
      <c r="AA253" s="2"/>
      <c r="AB253" s="2"/>
    </row>
    <row r="254" spans="9:28" ht="30" customHeight="1">
      <c r="I254" s="5"/>
      <c r="W254" s="2"/>
      <c r="X254" s="2"/>
      <c r="Z254" s="2"/>
      <c r="AA254" s="2"/>
      <c r="AB254" s="2"/>
    </row>
    <row r="255" spans="9:28" ht="30" customHeight="1">
      <c r="I255" s="5"/>
      <c r="W255" s="2"/>
      <c r="X255" s="2"/>
      <c r="Z255" s="2"/>
      <c r="AA255" s="2"/>
      <c r="AB255" s="2"/>
    </row>
    <row r="256" spans="9:28" ht="30" customHeight="1">
      <c r="I256" s="5"/>
      <c r="W256" s="2"/>
      <c r="X256" s="2"/>
      <c r="Z256" s="2"/>
      <c r="AA256" s="2"/>
      <c r="AB256" s="2"/>
    </row>
    <row r="257" spans="9:28" ht="30" customHeight="1">
      <c r="I257" s="5"/>
      <c r="W257" s="2"/>
      <c r="X257" s="2"/>
      <c r="Z257" s="2"/>
      <c r="AA257" s="2"/>
      <c r="AB257" s="2"/>
    </row>
    <row r="258" spans="9:28" ht="30" customHeight="1">
      <c r="I258" s="5"/>
      <c r="W258" s="2"/>
      <c r="X258" s="2"/>
      <c r="Z258" s="2"/>
      <c r="AA258" s="2"/>
      <c r="AB258" s="2"/>
    </row>
    <row r="259" spans="9:28" ht="30" customHeight="1">
      <c r="I259" s="5"/>
      <c r="W259" s="2"/>
      <c r="X259" s="2"/>
      <c r="Z259" s="2"/>
      <c r="AA259" s="2"/>
      <c r="AB259" s="2"/>
    </row>
    <row r="260" spans="9:28" ht="30" customHeight="1">
      <c r="I260" s="5"/>
      <c r="W260" s="2"/>
      <c r="X260" s="2"/>
      <c r="Z260" s="2"/>
      <c r="AA260" s="2"/>
      <c r="AB260" s="2"/>
    </row>
    <row r="261" spans="9:28">
      <c r="I261" s="5"/>
      <c r="W261" s="2"/>
      <c r="X261" s="2"/>
      <c r="Z261" s="2"/>
      <c r="AA261" s="2"/>
      <c r="AB261" s="2"/>
    </row>
    <row r="262" spans="9:28">
      <c r="I262" s="5"/>
      <c r="W262" s="2"/>
      <c r="X262" s="2"/>
      <c r="Z262" s="2"/>
      <c r="AA262" s="2"/>
      <c r="AB262" s="2"/>
    </row>
    <row r="263" spans="9:28">
      <c r="I263" s="5"/>
      <c r="W263" s="2"/>
      <c r="X263" s="2"/>
      <c r="Z263" s="2"/>
      <c r="AA263" s="2"/>
      <c r="AB263" s="2"/>
    </row>
    <row r="264" spans="9:28">
      <c r="I264" s="5"/>
      <c r="W264" s="2"/>
      <c r="X264" s="2"/>
      <c r="Z264" s="2"/>
      <c r="AA264" s="2"/>
      <c r="AB264" s="2"/>
    </row>
    <row r="265" spans="9:28">
      <c r="I265" s="5"/>
      <c r="W265" s="2"/>
      <c r="X265" s="2"/>
      <c r="Z265" s="2"/>
      <c r="AA265" s="2"/>
      <c r="AB265" s="2"/>
    </row>
    <row r="266" spans="9:28">
      <c r="I266" s="5"/>
      <c r="W266" s="2"/>
      <c r="X266" s="2"/>
      <c r="Z266" s="2"/>
      <c r="AA266" s="2"/>
      <c r="AB266" s="2"/>
    </row>
    <row r="267" spans="9:28">
      <c r="I267" s="5"/>
      <c r="W267" s="2"/>
      <c r="X267" s="2"/>
      <c r="Z267" s="2"/>
      <c r="AA267" s="2"/>
      <c r="AB267" s="2"/>
    </row>
    <row r="268" spans="9:28">
      <c r="I268" s="5"/>
      <c r="W268" s="2"/>
      <c r="X268" s="2"/>
      <c r="Z268" s="2"/>
      <c r="AA268" s="2"/>
      <c r="AB268" s="2"/>
    </row>
    <row r="269" spans="9:28">
      <c r="I269" s="5"/>
      <c r="W269" s="2"/>
      <c r="X269" s="2"/>
      <c r="Z269" s="2"/>
      <c r="AA269" s="2"/>
      <c r="AB269" s="2"/>
    </row>
    <row r="270" spans="9:28">
      <c r="I270" s="5"/>
      <c r="W270" s="2"/>
      <c r="X270" s="2"/>
      <c r="Z270" s="2"/>
      <c r="AA270" s="2"/>
      <c r="AB270" s="2"/>
    </row>
    <row r="271" spans="9:28">
      <c r="I271" s="5"/>
      <c r="W271" s="2"/>
      <c r="X271" s="2"/>
      <c r="Z271" s="2"/>
      <c r="AA271" s="2"/>
      <c r="AB271" s="2"/>
    </row>
    <row r="272" spans="9:28">
      <c r="I272" s="5"/>
      <c r="W272" s="2"/>
      <c r="X272" s="2"/>
      <c r="Z272" s="2"/>
      <c r="AA272" s="2"/>
      <c r="AB272" s="2"/>
    </row>
    <row r="273" spans="9:28">
      <c r="I273" s="5"/>
      <c r="W273" s="2"/>
      <c r="X273" s="2"/>
      <c r="Z273" s="2"/>
      <c r="AA273" s="2"/>
      <c r="AB273" s="2"/>
    </row>
    <row r="274" spans="9:28">
      <c r="I274" s="5"/>
      <c r="W274" s="2"/>
      <c r="X274" s="2"/>
      <c r="Z274" s="2"/>
      <c r="AA274" s="2"/>
      <c r="AB274" s="2"/>
    </row>
    <row r="275" spans="9:28">
      <c r="I275" s="5"/>
      <c r="W275" s="2"/>
      <c r="X275" s="2"/>
      <c r="Z275" s="2"/>
      <c r="AA275" s="2"/>
      <c r="AB275" s="2"/>
    </row>
    <row r="276" spans="9:28">
      <c r="I276" s="5"/>
      <c r="W276" s="2"/>
      <c r="X276" s="2"/>
      <c r="Z276" s="2"/>
      <c r="AA276" s="2"/>
      <c r="AB276" s="2"/>
    </row>
    <row r="277" spans="9:28">
      <c r="I277" s="5"/>
      <c r="W277" s="2"/>
      <c r="X277" s="2"/>
      <c r="Z277" s="2"/>
      <c r="AA277" s="2"/>
      <c r="AB277" s="2"/>
    </row>
    <row r="278" spans="9:28">
      <c r="I278" s="5"/>
      <c r="W278" s="2"/>
      <c r="X278" s="2"/>
      <c r="Z278" s="2"/>
      <c r="AA278" s="2"/>
      <c r="AB278" s="2"/>
    </row>
    <row r="279" spans="9:28">
      <c r="I279" s="5"/>
      <c r="W279" s="2"/>
      <c r="X279" s="2"/>
      <c r="Z279" s="2"/>
      <c r="AA279" s="2"/>
      <c r="AB279" s="2"/>
    </row>
    <row r="280" spans="9:28">
      <c r="I280" s="5"/>
      <c r="W280" s="2"/>
      <c r="X280" s="2"/>
      <c r="Z280" s="2"/>
      <c r="AA280" s="2"/>
      <c r="AB280" s="2"/>
    </row>
    <row r="281" spans="9:28">
      <c r="I281" s="5"/>
      <c r="W281" s="2"/>
      <c r="X281" s="2"/>
      <c r="Z281" s="2"/>
      <c r="AA281" s="2"/>
      <c r="AB281" s="2"/>
    </row>
    <row r="282" spans="9:28">
      <c r="I282" s="5"/>
      <c r="W282" s="2"/>
      <c r="X282" s="2"/>
      <c r="Z282" s="2"/>
      <c r="AA282" s="2"/>
      <c r="AB282" s="2"/>
    </row>
    <row r="283" spans="9:28">
      <c r="I283" s="5"/>
      <c r="W283" s="2"/>
      <c r="X283" s="2"/>
      <c r="Z283" s="2"/>
      <c r="AA283" s="2"/>
      <c r="AB283" s="2"/>
    </row>
    <row r="284" spans="9:28">
      <c r="I284" s="5"/>
      <c r="W284" s="2"/>
      <c r="X284" s="2"/>
      <c r="Z284" s="2"/>
      <c r="AA284" s="2"/>
      <c r="AB284" s="2"/>
    </row>
    <row r="285" spans="9:28">
      <c r="I285" s="5"/>
      <c r="W285" s="2"/>
      <c r="X285" s="2"/>
      <c r="Z285" s="2"/>
      <c r="AA285" s="2"/>
      <c r="AB285" s="2"/>
    </row>
    <row r="286" spans="9:28">
      <c r="I286" s="5"/>
      <c r="W286" s="2"/>
      <c r="X286" s="2"/>
      <c r="Z286" s="2"/>
      <c r="AA286" s="2"/>
      <c r="AB286" s="2"/>
    </row>
    <row r="287" spans="9:28">
      <c r="I287" s="5"/>
      <c r="W287" s="2"/>
      <c r="X287" s="2"/>
      <c r="Z287" s="2"/>
      <c r="AA287" s="2"/>
      <c r="AB287" s="2"/>
    </row>
    <row r="288" spans="9:28">
      <c r="I288" s="5"/>
      <c r="W288" s="2"/>
      <c r="X288" s="2"/>
      <c r="Z288" s="2"/>
      <c r="AA288" s="2"/>
      <c r="AB288" s="2"/>
    </row>
    <row r="289" spans="9:28">
      <c r="I289" s="5"/>
      <c r="W289" s="2"/>
      <c r="X289" s="2"/>
      <c r="Z289" s="2"/>
      <c r="AA289" s="2"/>
      <c r="AB289" s="2"/>
    </row>
    <row r="290" spans="9:28">
      <c r="I290" s="5"/>
      <c r="W290" s="2"/>
      <c r="X290" s="2"/>
      <c r="Z290" s="2"/>
      <c r="AA290" s="2"/>
      <c r="AB290" s="2"/>
    </row>
    <row r="291" spans="9:28">
      <c r="I291" s="5"/>
      <c r="W291" s="2"/>
      <c r="X291" s="2"/>
      <c r="Z291" s="2"/>
      <c r="AA291" s="2"/>
      <c r="AB291" s="2"/>
    </row>
    <row r="292" spans="9:28">
      <c r="I292" s="5"/>
      <c r="W292" s="2"/>
      <c r="X292" s="2"/>
      <c r="Z292" s="2"/>
      <c r="AA292" s="2"/>
      <c r="AB292" s="2"/>
    </row>
    <row r="293" spans="9:28">
      <c r="I293" s="5"/>
      <c r="W293" s="2"/>
      <c r="X293" s="2"/>
      <c r="Z293" s="2"/>
      <c r="AA293" s="2"/>
      <c r="AB293" s="2"/>
    </row>
    <row r="294" spans="9:28">
      <c r="I294" s="5"/>
      <c r="W294" s="2"/>
      <c r="X294" s="2"/>
      <c r="Z294" s="2"/>
      <c r="AA294" s="2"/>
      <c r="AB294" s="2"/>
    </row>
    <row r="295" spans="9:28">
      <c r="I295" s="5"/>
      <c r="W295" s="2"/>
      <c r="X295" s="2"/>
      <c r="Z295" s="2"/>
      <c r="AA295" s="2"/>
      <c r="AB295" s="2"/>
    </row>
    <row r="296" spans="9:28">
      <c r="I296" s="5"/>
      <c r="W296" s="2"/>
      <c r="X296" s="2"/>
      <c r="Z296" s="2"/>
      <c r="AA296" s="2"/>
      <c r="AB296" s="2"/>
    </row>
    <row r="297" spans="9:28">
      <c r="I297" s="5"/>
      <c r="W297" s="2"/>
      <c r="X297" s="2"/>
      <c r="Z297" s="2"/>
      <c r="AA297" s="2"/>
      <c r="AB297" s="2"/>
    </row>
    <row r="298" spans="9:28">
      <c r="I298" s="5"/>
      <c r="W298" s="2"/>
      <c r="X298" s="2"/>
      <c r="Z298" s="2"/>
      <c r="AA298" s="2"/>
      <c r="AB298" s="2"/>
    </row>
    <row r="299" spans="9:28">
      <c r="I299" s="5"/>
      <c r="W299" s="2"/>
      <c r="X299" s="2"/>
      <c r="Z299" s="2"/>
      <c r="AA299" s="2"/>
      <c r="AB299" s="2"/>
    </row>
    <row r="300" spans="9:28">
      <c r="I300" s="5"/>
      <c r="W300" s="2"/>
      <c r="X300" s="2"/>
      <c r="Z300" s="2"/>
      <c r="AA300" s="2"/>
      <c r="AB300" s="2"/>
    </row>
    <row r="301" spans="9:28">
      <c r="I301" s="5"/>
      <c r="W301" s="2"/>
      <c r="X301" s="2"/>
      <c r="Z301" s="2"/>
      <c r="AA301" s="2"/>
      <c r="AB301" s="2"/>
    </row>
  </sheetData>
  <mergeCells count="13">
    <mergeCell ref="D80:F80"/>
    <mergeCell ref="K4:Q4"/>
    <mergeCell ref="S4:AK4"/>
    <mergeCell ref="AM4:BD4"/>
    <mergeCell ref="K5:M5"/>
    <mergeCell ref="O5:P5"/>
    <mergeCell ref="Z5:AB5"/>
    <mergeCell ref="AE5:AH5"/>
    <mergeCell ref="D7:F7"/>
    <mergeCell ref="D39:F39"/>
    <mergeCell ref="K45:M45"/>
    <mergeCell ref="O45:R45"/>
    <mergeCell ref="D48:F48"/>
  </mergeCells>
  <pageMargins left="0" right="0" top="0.39370078740157483" bottom="0.39370078740157483" header="0.31496062992125984" footer="0.31496062992125984"/>
  <pageSetup paperSize="8" scale="25" orientation="landscape" r:id="rId1"/>
  <headerFooter>
    <oddFooter>&amp;L&amp;"Arial,Negrito"&amp;22&amp;D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gestao</vt:lpstr>
      <vt:lpstr>gestao!Area_de_impressao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s1213946</dc:creator>
  <cp:lastModifiedBy>s894486</cp:lastModifiedBy>
  <dcterms:created xsi:type="dcterms:W3CDTF">2017-01-03T11:20:02Z</dcterms:created>
  <dcterms:modified xsi:type="dcterms:W3CDTF">2017-01-11T14:08:56Z</dcterms:modified>
</cp:coreProperties>
</file>