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<sst xmlns="http://schemas.openxmlformats.org/spreadsheetml/2006/main" count="105" uniqueCount="103">
  <si>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</si>
  <si>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</si>
  <si>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</si>
  <si>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</si>
  <si>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</si>
  <si>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</si>
  <si>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</si>
  <si>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</si>
  <si>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</si>
  <si>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</si>
  <si>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</si>
  <si>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</si>
  <si>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</si>
  <si>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</si>
  <si>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</si>
  <si>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</si>
  <si>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</si>
  <si>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</si>
  <si>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</si>
  <si>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</si>
  <si>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</si>
  <si>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</si>
  <si>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</si>
  <si>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</si>
  <si>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</si>
  <si>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</si>
  <si>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</si>
  <si>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</si>
  <si>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</si>
  <si>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</si>
  <si>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</si>
  <si>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</si>
  <si>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</si>
  <si>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</si>
  <si>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</si>
  <si>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</si>
  <si>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</si>
  <si>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</si>
  <si>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</si>
  <si>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</si>
  <si>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</si>
  <si>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</si>
  <si>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</si>
  <si>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</si>
  <si>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</si>
  <si>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</si>
  <si>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OPERAÇÃO 28/04/16 - VENCIMENTO 05/05/16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</si>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</sst>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4" sqref="A24:A26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7.753906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1">
      <c r="A2" s="71" t="s">
        <v>46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2" t="s">
        <v>1</v>
      </c>
      <c r="B4" s="72" t="s">
        <v>42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 t="s">
        <v>2</v>
      </c>
    </row>
    <row r="5" spans="1:14" ht="42" customHeight="1">
      <c r="A5" s="72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2"/>
    </row>
    <row r="6" spans="1:14" ht="20.25" customHeight="1">
      <c r="A6" s="72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2"/>
    </row>
    <row r="7" spans="1:25" ht="18.75" customHeight="1">
      <c r="A7" s="9" t="s">
        <v>3</v>
      </c>
      <c r="B7" s="10">
        <f>B8+B20+B24</f>
        <v>517469</v>
      </c>
      <c r="C7" s="10">
        <f>C8+C20+C24</f>
        <v>379672</v>
      </c>
      <c r="D7" s="10">
        <f>D8+D20+D24</f>
        <v>382197</v>
      </c>
      <c r="E7" s="10">
        <f>E8+E20+E24</f>
        <v>64887</v>
      </c>
      <c r="F7" s="10">
        <f aca="true" t="shared" si="0" ref="F7:M7">F8+F20+F24</f>
        <v>324921</v>
      </c>
      <c r="G7" s="10">
        <f t="shared" si="0"/>
        <v>522773</v>
      </c>
      <c r="H7" s="10">
        <f t="shared" si="0"/>
        <v>478866</v>
      </c>
      <c r="I7" s="10">
        <f t="shared" si="0"/>
        <v>429640</v>
      </c>
      <c r="J7" s="10">
        <f t="shared" si="0"/>
        <v>312170</v>
      </c>
      <c r="K7" s="10">
        <f t="shared" si="0"/>
        <v>361075</v>
      </c>
      <c r="L7" s="10">
        <f t="shared" si="0"/>
        <v>158645</v>
      </c>
      <c r="M7" s="10">
        <f t="shared" si="0"/>
        <v>89790</v>
      </c>
      <c r="N7" s="10">
        <f>+N8+N20+N24</f>
        <v>4022105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225949</v>
      </c>
      <c r="C8" s="12">
        <f>+C9+C12+C16</f>
        <v>178312</v>
      </c>
      <c r="D8" s="12">
        <f>+D9+D12+D16</f>
        <v>196984</v>
      </c>
      <c r="E8" s="12">
        <f>+E9+E12+E16</f>
        <v>30709</v>
      </c>
      <c r="F8" s="12">
        <f aca="true" t="shared" si="1" ref="F8:M8">+F9+F12+F16</f>
        <v>150988</v>
      </c>
      <c r="G8" s="12">
        <f t="shared" si="1"/>
        <v>254264</v>
      </c>
      <c r="H8" s="12">
        <f t="shared" si="1"/>
        <v>227817</v>
      </c>
      <c r="I8" s="12">
        <f t="shared" si="1"/>
        <v>207680</v>
      </c>
      <c r="J8" s="12">
        <f t="shared" si="1"/>
        <v>152411</v>
      </c>
      <c r="K8" s="12">
        <f t="shared" si="1"/>
        <v>165837</v>
      </c>
      <c r="L8" s="12">
        <f t="shared" si="1"/>
        <v>82278</v>
      </c>
      <c r="M8" s="12">
        <f t="shared" si="1"/>
        <v>48615</v>
      </c>
      <c r="N8" s="12">
        <f>SUM(B8:M8)</f>
        <v>1921844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19689</v>
      </c>
      <c r="C9" s="14">
        <v>19761</v>
      </c>
      <c r="D9" s="14">
        <v>13154</v>
      </c>
      <c r="E9" s="14">
        <v>2436</v>
      </c>
      <c r="F9" s="14">
        <v>11058</v>
      </c>
      <c r="G9" s="14">
        <v>21981</v>
      </c>
      <c r="H9" s="14">
        <v>26772</v>
      </c>
      <c r="I9" s="14">
        <v>12009</v>
      </c>
      <c r="J9" s="14">
        <v>16533</v>
      </c>
      <c r="K9" s="14">
        <v>12292</v>
      </c>
      <c r="L9" s="14">
        <v>9483</v>
      </c>
      <c r="M9" s="14">
        <v>5771</v>
      </c>
      <c r="N9" s="12">
        <f aca="true" t="shared" si="2" ref="N9:N19">SUM(B9:M9)</f>
        <v>170939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19689</v>
      </c>
      <c r="C10" s="14">
        <f>+C9-C11</f>
        <v>19761</v>
      </c>
      <c r="D10" s="14">
        <f>+D9-D11</f>
        <v>13154</v>
      </c>
      <c r="E10" s="14">
        <f>+E9-E11</f>
        <v>2436</v>
      </c>
      <c r="F10" s="14">
        <f aca="true" t="shared" si="3" ref="F10:M10">+F9-F11</f>
        <v>11058</v>
      </c>
      <c r="G10" s="14">
        <f t="shared" si="3"/>
        <v>21981</v>
      </c>
      <c r="H10" s="14">
        <f t="shared" si="3"/>
        <v>26772</v>
      </c>
      <c r="I10" s="14">
        <f t="shared" si="3"/>
        <v>12009</v>
      </c>
      <c r="J10" s="14">
        <f t="shared" si="3"/>
        <v>16533</v>
      </c>
      <c r="K10" s="14">
        <f t="shared" si="3"/>
        <v>12292</v>
      </c>
      <c r="L10" s="14">
        <f t="shared" si="3"/>
        <v>9483</v>
      </c>
      <c r="M10" s="14">
        <f t="shared" si="3"/>
        <v>5771</v>
      </c>
      <c r="N10" s="12">
        <f t="shared" si="2"/>
        <v>170939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183705</v>
      </c>
      <c r="C12" s="14">
        <f>C13+C14+C15</f>
        <v>143217</v>
      </c>
      <c r="D12" s="14">
        <f>D13+D14+D15</f>
        <v>167196</v>
      </c>
      <c r="E12" s="14">
        <f>E13+E14+E15</f>
        <v>25657</v>
      </c>
      <c r="F12" s="14">
        <f aca="true" t="shared" si="4" ref="F12:M12">F13+F14+F15</f>
        <v>125672</v>
      </c>
      <c r="G12" s="14">
        <f t="shared" si="4"/>
        <v>208221</v>
      </c>
      <c r="H12" s="14">
        <f t="shared" si="4"/>
        <v>180625</v>
      </c>
      <c r="I12" s="14">
        <f t="shared" si="4"/>
        <v>174878</v>
      </c>
      <c r="J12" s="14">
        <f t="shared" si="4"/>
        <v>121893</v>
      </c>
      <c r="K12" s="14">
        <f t="shared" si="4"/>
        <v>135957</v>
      </c>
      <c r="L12" s="14">
        <f t="shared" si="4"/>
        <v>65894</v>
      </c>
      <c r="M12" s="14">
        <f t="shared" si="4"/>
        <v>39493</v>
      </c>
      <c r="N12" s="12">
        <f t="shared" si="2"/>
        <v>1572408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93710</v>
      </c>
      <c r="C13" s="14">
        <v>73892</v>
      </c>
      <c r="D13" s="14">
        <v>83510</v>
      </c>
      <c r="E13" s="14">
        <v>13032</v>
      </c>
      <c r="F13" s="14">
        <v>63092</v>
      </c>
      <c r="G13" s="14">
        <v>105757</v>
      </c>
      <c r="H13" s="14">
        <v>96511</v>
      </c>
      <c r="I13" s="14">
        <v>92097</v>
      </c>
      <c r="J13" s="14">
        <v>62015</v>
      </c>
      <c r="K13" s="14">
        <v>69318</v>
      </c>
      <c r="L13" s="14">
        <v>33104</v>
      </c>
      <c r="M13" s="14">
        <v>19258</v>
      </c>
      <c r="N13" s="12">
        <f t="shared" si="2"/>
        <v>805296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84747</v>
      </c>
      <c r="C14" s="14">
        <v>62821</v>
      </c>
      <c r="D14" s="14">
        <v>80025</v>
      </c>
      <c r="E14" s="14">
        <v>11687</v>
      </c>
      <c r="F14" s="14">
        <v>58058</v>
      </c>
      <c r="G14" s="14">
        <v>93314</v>
      </c>
      <c r="H14" s="14">
        <v>77457</v>
      </c>
      <c r="I14" s="14">
        <v>79360</v>
      </c>
      <c r="J14" s="14">
        <v>56030</v>
      </c>
      <c r="K14" s="14">
        <v>63229</v>
      </c>
      <c r="L14" s="14">
        <v>30709</v>
      </c>
      <c r="M14" s="14">
        <v>19258</v>
      </c>
      <c r="N14" s="12">
        <f t="shared" si="2"/>
        <v>716695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5248</v>
      </c>
      <c r="C15" s="14">
        <v>6504</v>
      </c>
      <c r="D15" s="14">
        <v>3661</v>
      </c>
      <c r="E15" s="14">
        <v>938</v>
      </c>
      <c r="F15" s="14">
        <v>4522</v>
      </c>
      <c r="G15" s="14">
        <v>9150</v>
      </c>
      <c r="H15" s="14">
        <v>6657</v>
      </c>
      <c r="I15" s="14">
        <v>3421</v>
      </c>
      <c r="J15" s="14">
        <v>3848</v>
      </c>
      <c r="K15" s="14">
        <v>3410</v>
      </c>
      <c r="L15" s="14">
        <v>2081</v>
      </c>
      <c r="M15" s="14">
        <v>977</v>
      </c>
      <c r="N15" s="12">
        <f t="shared" si="2"/>
        <v>50417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22555</v>
      </c>
      <c r="C16" s="14">
        <f>C17+C18+C19</f>
        <v>15334</v>
      </c>
      <c r="D16" s="14">
        <f>D17+D18+D19</f>
        <v>16634</v>
      </c>
      <c r="E16" s="14">
        <f>E17+E18+E19</f>
        <v>2616</v>
      </c>
      <c r="F16" s="14">
        <f aca="true" t="shared" si="5" ref="F16:M16">F17+F18+F19</f>
        <v>14258</v>
      </c>
      <c r="G16" s="14">
        <f t="shared" si="5"/>
        <v>24062</v>
      </c>
      <c r="H16" s="14">
        <f t="shared" si="5"/>
        <v>20420</v>
      </c>
      <c r="I16" s="14">
        <f t="shared" si="5"/>
        <v>20793</v>
      </c>
      <c r="J16" s="14">
        <f t="shared" si="5"/>
        <v>13985</v>
      </c>
      <c r="K16" s="14">
        <f t="shared" si="5"/>
        <v>17588</v>
      </c>
      <c r="L16" s="14">
        <f t="shared" si="5"/>
        <v>6901</v>
      </c>
      <c r="M16" s="14">
        <f t="shared" si="5"/>
        <v>3351</v>
      </c>
      <c r="N16" s="12">
        <f t="shared" si="2"/>
        <v>178497</v>
      </c>
    </row>
    <row r="17" spans="1:25" ht="18.75" customHeight="1">
      <c r="A17" s="15" t="s">
        <v>16</v>
      </c>
      <c r="B17" s="14">
        <v>14740</v>
      </c>
      <c r="C17" s="14">
        <v>10699</v>
      </c>
      <c r="D17" s="14">
        <v>10038</v>
      </c>
      <c r="E17" s="14">
        <v>1736</v>
      </c>
      <c r="F17" s="14">
        <v>9369</v>
      </c>
      <c r="G17" s="14">
        <v>15943</v>
      </c>
      <c r="H17" s="14">
        <v>13594</v>
      </c>
      <c r="I17" s="14">
        <v>13606</v>
      </c>
      <c r="J17" s="14">
        <v>8974</v>
      </c>
      <c r="K17" s="14">
        <v>11291</v>
      </c>
      <c r="L17" s="14">
        <v>4517</v>
      </c>
      <c r="M17" s="14">
        <v>2198</v>
      </c>
      <c r="N17" s="12">
        <f t="shared" si="2"/>
        <v>116705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6412</v>
      </c>
      <c r="C18" s="14">
        <v>3035</v>
      </c>
      <c r="D18" s="14">
        <v>5646</v>
      </c>
      <c r="E18" s="14">
        <v>691</v>
      </c>
      <c r="F18" s="14">
        <v>3541</v>
      </c>
      <c r="G18" s="14">
        <v>5700</v>
      </c>
      <c r="H18" s="14">
        <v>5210</v>
      </c>
      <c r="I18" s="14">
        <v>6353</v>
      </c>
      <c r="J18" s="14">
        <v>4113</v>
      </c>
      <c r="K18" s="14">
        <v>5568</v>
      </c>
      <c r="L18" s="14">
        <v>2009</v>
      </c>
      <c r="M18" s="14">
        <v>964</v>
      </c>
      <c r="N18" s="12">
        <f t="shared" si="2"/>
        <v>49242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f>81428-B26</f>
        <v>1403</v>
      </c>
      <c r="C19" s="14">
        <f>58038-C26</f>
        <v>1600</v>
      </c>
      <c r="D19" s="14">
        <f>52796-D26</f>
        <v>950</v>
      </c>
      <c r="E19" s="14">
        <f>9419-E26</f>
        <v>189</v>
      </c>
      <c r="F19" s="14">
        <f>54322-F26</f>
        <v>1348</v>
      </c>
      <c r="G19" s="14">
        <f>76321-G26</f>
        <v>2419</v>
      </c>
      <c r="H19" s="14">
        <f>60966-H26</f>
        <v>1616</v>
      </c>
      <c r="I19" s="14">
        <f>57171-I26</f>
        <v>834</v>
      </c>
      <c r="J19" s="14">
        <f>40831-J26</f>
        <v>898</v>
      </c>
      <c r="K19" s="14">
        <f>47513-K26</f>
        <v>729</v>
      </c>
      <c r="L19" s="14">
        <f>16787-L26</f>
        <v>375</v>
      </c>
      <c r="M19" s="14">
        <f>10055-M26</f>
        <v>189</v>
      </c>
      <c r="N19" s="12">
        <f t="shared" si="2"/>
        <v>12550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136443</v>
      </c>
      <c r="C20" s="18">
        <f>C21+C22+C23</f>
        <v>84815</v>
      </c>
      <c r="D20" s="18">
        <f>D21+D22+D23</f>
        <v>78546</v>
      </c>
      <c r="E20" s="18">
        <f>E21+E22+E23</f>
        <v>13264</v>
      </c>
      <c r="F20" s="18">
        <f aca="true" t="shared" si="6" ref="F20:M20">F21+F22+F23</f>
        <v>66615</v>
      </c>
      <c r="G20" s="18">
        <f t="shared" si="6"/>
        <v>108675</v>
      </c>
      <c r="H20" s="18">
        <f t="shared" si="6"/>
        <v>116251</v>
      </c>
      <c r="I20" s="18">
        <f t="shared" si="6"/>
        <v>112185</v>
      </c>
      <c r="J20" s="18">
        <f t="shared" si="6"/>
        <v>73606</v>
      </c>
      <c r="K20" s="18">
        <f t="shared" si="6"/>
        <v>106470</v>
      </c>
      <c r="L20" s="18">
        <f t="shared" si="6"/>
        <v>44460</v>
      </c>
      <c r="M20" s="18">
        <f t="shared" si="6"/>
        <v>23868</v>
      </c>
      <c r="N20" s="12">
        <f aca="true" t="shared" si="7" ref="N20:N26">SUM(B20:M20)</f>
        <v>965198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76099</v>
      </c>
      <c r="C21" s="14">
        <v>50509</v>
      </c>
      <c r="D21" s="14">
        <v>45639</v>
      </c>
      <c r="E21" s="14">
        <v>7810</v>
      </c>
      <c r="F21" s="14">
        <v>38508</v>
      </c>
      <c r="G21" s="14">
        <v>64482</v>
      </c>
      <c r="H21" s="14">
        <v>70279</v>
      </c>
      <c r="I21" s="14">
        <v>65814</v>
      </c>
      <c r="J21" s="14">
        <v>42496</v>
      </c>
      <c r="K21" s="14">
        <v>59789</v>
      </c>
      <c r="L21" s="14">
        <v>25214</v>
      </c>
      <c r="M21" s="14">
        <v>13179</v>
      </c>
      <c r="N21" s="12">
        <f t="shared" si="7"/>
        <v>559818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57551</v>
      </c>
      <c r="C22" s="14">
        <v>31935</v>
      </c>
      <c r="D22" s="14">
        <v>31528</v>
      </c>
      <c r="E22" s="14">
        <v>5133</v>
      </c>
      <c r="F22" s="14">
        <v>26516</v>
      </c>
      <c r="G22" s="14">
        <v>40945</v>
      </c>
      <c r="H22" s="14">
        <v>43488</v>
      </c>
      <c r="I22" s="14">
        <v>44545</v>
      </c>
      <c r="J22" s="14">
        <v>29516</v>
      </c>
      <c r="K22" s="14">
        <v>44762</v>
      </c>
      <c r="L22" s="14">
        <v>18335</v>
      </c>
      <c r="M22" s="14">
        <v>10305</v>
      </c>
      <c r="N22" s="12">
        <f t="shared" si="7"/>
        <v>384559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2793</v>
      </c>
      <c r="C23" s="14">
        <v>2371</v>
      </c>
      <c r="D23" s="14">
        <v>1379</v>
      </c>
      <c r="E23" s="14">
        <v>321</v>
      </c>
      <c r="F23" s="14">
        <v>1591</v>
      </c>
      <c r="G23" s="14">
        <v>3248</v>
      </c>
      <c r="H23" s="14">
        <v>2484</v>
      </c>
      <c r="I23" s="14">
        <v>1826</v>
      </c>
      <c r="J23" s="14">
        <v>1594</v>
      </c>
      <c r="K23" s="14">
        <v>1919</v>
      </c>
      <c r="L23" s="14">
        <v>911</v>
      </c>
      <c r="M23" s="14">
        <v>384</v>
      </c>
      <c r="N23" s="12">
        <f t="shared" si="7"/>
        <v>20821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155077</v>
      </c>
      <c r="C24" s="14">
        <f>C25+C26</f>
        <v>116545</v>
      </c>
      <c r="D24" s="14">
        <f>D25+D26</f>
        <v>106667</v>
      </c>
      <c r="E24" s="14">
        <f>E25+E26</f>
        <v>20914</v>
      </c>
      <c r="F24" s="14">
        <f aca="true" t="shared" si="8" ref="F24:M24">F25+F26</f>
        <v>107318</v>
      </c>
      <c r="G24" s="14">
        <f t="shared" si="8"/>
        <v>159834</v>
      </c>
      <c r="H24" s="14">
        <f t="shared" si="8"/>
        <v>134798</v>
      </c>
      <c r="I24" s="14">
        <f t="shared" si="8"/>
        <v>109775</v>
      </c>
      <c r="J24" s="14">
        <f t="shared" si="8"/>
        <v>86153</v>
      </c>
      <c r="K24" s="14">
        <f t="shared" si="8"/>
        <v>88768</v>
      </c>
      <c r="L24" s="14">
        <f t="shared" si="8"/>
        <v>31907</v>
      </c>
      <c r="M24" s="14">
        <f t="shared" si="8"/>
        <v>17307</v>
      </c>
      <c r="N24" s="12">
        <f t="shared" si="7"/>
        <v>1135063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47</v>
      </c>
      <c r="B25" s="14">
        <v>75052</v>
      </c>
      <c r="C25" s="14">
        <v>60107</v>
      </c>
      <c r="D25" s="14">
        <v>54821</v>
      </c>
      <c r="E25" s="14">
        <v>11684</v>
      </c>
      <c r="F25" s="14">
        <v>54344</v>
      </c>
      <c r="G25" s="14">
        <v>85932</v>
      </c>
      <c r="H25" s="14">
        <v>75448</v>
      </c>
      <c r="I25" s="14">
        <v>53438</v>
      </c>
      <c r="J25" s="14">
        <v>46220</v>
      </c>
      <c r="K25" s="14">
        <v>41984</v>
      </c>
      <c r="L25" s="14">
        <v>15495</v>
      </c>
      <c r="M25" s="14">
        <v>7441</v>
      </c>
      <c r="N25" s="12">
        <f t="shared" si="7"/>
        <v>581966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48</v>
      </c>
      <c r="B26" s="14">
        <f>53122+26903</f>
        <v>80025</v>
      </c>
      <c r="C26" s="14">
        <f>40066+16372</f>
        <v>56438</v>
      </c>
      <c r="D26" s="14">
        <f>38246+13600</f>
        <v>51846</v>
      </c>
      <c r="E26" s="14">
        <f>6678+2552</f>
        <v>9230</v>
      </c>
      <c r="F26" s="14">
        <f>38970+14004</f>
        <v>52974</v>
      </c>
      <c r="G26" s="14">
        <f>53865+20037</f>
        <v>73902</v>
      </c>
      <c r="H26" s="14">
        <f>44325+15025</f>
        <v>59350</v>
      </c>
      <c r="I26" s="14">
        <f>38774+17563</f>
        <v>56337</v>
      </c>
      <c r="J26" s="14">
        <f>28626+11307</f>
        <v>39933</v>
      </c>
      <c r="K26" s="14">
        <f>31813+14971</f>
        <v>46784</v>
      </c>
      <c r="L26" s="14">
        <f>11313+5099</f>
        <v>16412</v>
      </c>
      <c r="M26" s="14">
        <f>7165+2701</f>
        <v>9866</v>
      </c>
      <c r="N26" s="12">
        <f t="shared" si="7"/>
        <v>553097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25" ht="18.75" customHeight="1">
      <c r="A28" s="2" t="s">
        <v>49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50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51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52</v>
      </c>
      <c r="B32" s="57">
        <v>3257.0800000000004</v>
      </c>
      <c r="C32" s="57">
        <v>2478.1200000000003</v>
      </c>
      <c r="D32" s="57">
        <v>2161.4</v>
      </c>
      <c r="E32" s="57">
        <v>646.2800000000001</v>
      </c>
      <c r="F32" s="57">
        <v>2161.4</v>
      </c>
      <c r="G32" s="57">
        <v>2662.1600000000003</v>
      </c>
      <c r="H32" s="57">
        <v>2897.56</v>
      </c>
      <c r="I32" s="57">
        <v>2546.6000000000004</v>
      </c>
      <c r="J32" s="57">
        <v>2118.6</v>
      </c>
      <c r="K32" s="57">
        <v>2602.2400000000002</v>
      </c>
      <c r="L32" s="57">
        <v>1271.16</v>
      </c>
      <c r="M32" s="57">
        <v>719.0400000000001</v>
      </c>
      <c r="N32" s="25">
        <f>SUM(B32:M32)</f>
        <v>25521.64</v>
      </c>
    </row>
    <row r="33" spans="1:25" ht="18.75" customHeight="1">
      <c r="A33" s="53" t="s">
        <v>53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54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55</v>
      </c>
      <c r="B36" s="61">
        <f>B37+B38+B39+B40</f>
        <v>972013.6202807401</v>
      </c>
      <c r="C36" s="61">
        <f aca="true" t="shared" si="9" ref="C36:M36">C37+C38+C39+C40</f>
        <v>689152.8992</v>
      </c>
      <c r="D36" s="61">
        <f t="shared" si="9"/>
        <v>652432.98275985</v>
      </c>
      <c r="E36" s="61">
        <f t="shared" si="9"/>
        <v>151697.9212208</v>
      </c>
      <c r="F36" s="61">
        <f t="shared" si="9"/>
        <v>637460.6021280499</v>
      </c>
      <c r="G36" s="61">
        <f t="shared" si="9"/>
        <v>812542.0916</v>
      </c>
      <c r="H36" s="61">
        <f t="shared" si="9"/>
        <v>871991.4634</v>
      </c>
      <c r="I36" s="61">
        <f t="shared" si="9"/>
        <v>763658.9297519999</v>
      </c>
      <c r="J36" s="61">
        <f t="shared" si="9"/>
        <v>624939.674431</v>
      </c>
      <c r="K36" s="61">
        <f t="shared" si="9"/>
        <v>691334.662092</v>
      </c>
      <c r="L36" s="61">
        <f t="shared" si="9"/>
        <v>360686.39371235</v>
      </c>
      <c r="M36" s="61">
        <f t="shared" si="9"/>
        <v>199898.2719024</v>
      </c>
      <c r="N36" s="61">
        <f>N37+N38+N39+N40</f>
        <v>7427809.512479189</v>
      </c>
    </row>
    <row r="37" spans="1:14" ht="18.75" customHeight="1">
      <c r="A37" s="58" t="s">
        <v>56</v>
      </c>
      <c r="B37" s="55">
        <f aca="true" t="shared" si="10" ref="B37:M37">B29*B7</f>
        <v>971962.0227000001</v>
      </c>
      <c r="C37" s="55">
        <f t="shared" si="10"/>
        <v>688952.8112</v>
      </c>
      <c r="D37" s="55">
        <f t="shared" si="10"/>
        <v>642473.157</v>
      </c>
      <c r="E37" s="55">
        <f t="shared" si="10"/>
        <v>151459.2354</v>
      </c>
      <c r="F37" s="55">
        <f t="shared" si="10"/>
        <v>637365.0336</v>
      </c>
      <c r="G37" s="55">
        <f t="shared" si="10"/>
        <v>812546.0739</v>
      </c>
      <c r="H37" s="55">
        <f t="shared" si="10"/>
        <v>871775.553</v>
      </c>
      <c r="I37" s="55">
        <f t="shared" si="10"/>
        <v>763556.208</v>
      </c>
      <c r="J37" s="55">
        <f t="shared" si="10"/>
        <v>624808.255</v>
      </c>
      <c r="K37" s="55">
        <f t="shared" si="10"/>
        <v>690989.2275</v>
      </c>
      <c r="L37" s="55">
        <f t="shared" si="10"/>
        <v>360584.2205</v>
      </c>
      <c r="M37" s="55">
        <f t="shared" si="10"/>
        <v>199836.624</v>
      </c>
      <c r="N37" s="57">
        <f>SUM(B37:M37)</f>
        <v>7416308.4218</v>
      </c>
    </row>
    <row r="38" spans="1:14" ht="18.75" customHeight="1">
      <c r="A38" s="58" t="s">
        <v>57</v>
      </c>
      <c r="B38" s="55">
        <f aca="true" t="shared" si="11" ref="B38:M38">B30*B7</f>
        <v>-3205.48241926</v>
      </c>
      <c r="C38" s="55">
        <f t="shared" si="11"/>
        <v>-2278.032</v>
      </c>
      <c r="D38" s="55">
        <f t="shared" si="11"/>
        <v>-2121.17424015</v>
      </c>
      <c r="E38" s="55">
        <f t="shared" si="11"/>
        <v>-407.5941792</v>
      </c>
      <c r="F38" s="55">
        <f t="shared" si="11"/>
        <v>-2065.83147195</v>
      </c>
      <c r="G38" s="55">
        <f t="shared" si="11"/>
        <v>-2666.1423</v>
      </c>
      <c r="H38" s="55">
        <f t="shared" si="11"/>
        <v>-2681.6496</v>
      </c>
      <c r="I38" s="55">
        <f t="shared" si="11"/>
        <v>-2443.878248</v>
      </c>
      <c r="J38" s="55">
        <f t="shared" si="11"/>
        <v>-1987.180569</v>
      </c>
      <c r="K38" s="55">
        <f t="shared" si="11"/>
        <v>-2256.8054079999997</v>
      </c>
      <c r="L38" s="55">
        <f t="shared" si="11"/>
        <v>-1168.98678765</v>
      </c>
      <c r="M38" s="55">
        <f t="shared" si="11"/>
        <v>-657.3920976</v>
      </c>
      <c r="N38" s="25">
        <f>SUM(B38:M38)</f>
        <v>-23940.14932081</v>
      </c>
    </row>
    <row r="39" spans="1:14" ht="18.75" customHeight="1">
      <c r="A39" s="58" t="s">
        <v>58</v>
      </c>
      <c r="B39" s="55">
        <f aca="true" t="shared" si="12" ref="B39:M39">B32</f>
        <v>3257.0800000000004</v>
      </c>
      <c r="C39" s="55">
        <f t="shared" si="12"/>
        <v>2478.1200000000003</v>
      </c>
      <c r="D39" s="55">
        <f t="shared" si="12"/>
        <v>2161.4</v>
      </c>
      <c r="E39" s="55">
        <f t="shared" si="12"/>
        <v>646.2800000000001</v>
      </c>
      <c r="F39" s="55">
        <f t="shared" si="12"/>
        <v>2161.4</v>
      </c>
      <c r="G39" s="55">
        <f t="shared" si="12"/>
        <v>2662.1600000000003</v>
      </c>
      <c r="H39" s="55">
        <f t="shared" si="12"/>
        <v>2897.56</v>
      </c>
      <c r="I39" s="55">
        <f t="shared" si="12"/>
        <v>2546.6000000000004</v>
      </c>
      <c r="J39" s="55">
        <f t="shared" si="12"/>
        <v>2118.6</v>
      </c>
      <c r="K39" s="55">
        <f t="shared" si="12"/>
        <v>2602.2400000000002</v>
      </c>
      <c r="L39" s="55">
        <f t="shared" si="12"/>
        <v>1271.16</v>
      </c>
      <c r="M39" s="55">
        <f t="shared" si="12"/>
        <v>719.0400000000001</v>
      </c>
      <c r="N39" s="57">
        <f>SUM(B39:M39)</f>
        <v>25521.64</v>
      </c>
    </row>
    <row r="40" spans="1:25" ht="18.75" customHeight="1">
      <c r="A40" s="2" t="s">
        <v>59</v>
      </c>
      <c r="B40" s="55">
        <v>0</v>
      </c>
      <c r="C40" s="55">
        <v>0</v>
      </c>
      <c r="D40" s="55">
        <v>9919.6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9919.6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60</v>
      </c>
      <c r="B42" s="25">
        <f>+B43+B46+B54+B55</f>
        <v>-75027.92</v>
      </c>
      <c r="C42" s="25">
        <f aca="true" t="shared" si="13" ref="C42:M42">+C43+C46+C54+C55</f>
        <v>-75211.64</v>
      </c>
      <c r="D42" s="25">
        <f t="shared" si="13"/>
        <v>-50083.64</v>
      </c>
      <c r="E42" s="25">
        <f t="shared" si="13"/>
        <v>-9299.599999999999</v>
      </c>
      <c r="F42" s="25">
        <f t="shared" si="13"/>
        <v>-42041.8</v>
      </c>
      <c r="G42" s="25">
        <f t="shared" si="13"/>
        <v>-83583.44</v>
      </c>
      <c r="H42" s="25">
        <f t="shared" si="13"/>
        <v>-101733.6</v>
      </c>
      <c r="I42" s="25">
        <f t="shared" si="13"/>
        <v>-45736.92</v>
      </c>
      <c r="J42" s="25">
        <f t="shared" si="13"/>
        <v>-63030.840000000004</v>
      </c>
      <c r="K42" s="25">
        <f t="shared" si="13"/>
        <v>-46808.04</v>
      </c>
      <c r="L42" s="25">
        <f t="shared" si="13"/>
        <v>-36121</v>
      </c>
      <c r="M42" s="25">
        <f t="shared" si="13"/>
        <v>-21972.6</v>
      </c>
      <c r="N42" s="25">
        <f>+N43+N46+N54+N55</f>
        <v>-650651.04</v>
      </c>
    </row>
    <row r="43" spans="1:14" ht="18.75" customHeight="1">
      <c r="A43" s="17" t="s">
        <v>61</v>
      </c>
      <c r="B43" s="26">
        <f>B44+B45</f>
        <v>-74818.2</v>
      </c>
      <c r="C43" s="26">
        <f>C44+C45</f>
        <v>-75091.8</v>
      </c>
      <c r="D43" s="26">
        <f>D44+D45</f>
        <v>-49985.2</v>
      </c>
      <c r="E43" s="26">
        <f>E44+E45</f>
        <v>-9256.8</v>
      </c>
      <c r="F43" s="26">
        <f aca="true" t="shared" si="14" ref="F43:M43">F44+F45</f>
        <v>-42020.4</v>
      </c>
      <c r="G43" s="26">
        <f t="shared" si="14"/>
        <v>-83527.8</v>
      </c>
      <c r="H43" s="26">
        <f t="shared" si="14"/>
        <v>-101733.6</v>
      </c>
      <c r="I43" s="26">
        <f t="shared" si="14"/>
        <v>-45634.2</v>
      </c>
      <c r="J43" s="26">
        <f t="shared" si="14"/>
        <v>-62825.4</v>
      </c>
      <c r="K43" s="26">
        <f t="shared" si="14"/>
        <v>-46709.6</v>
      </c>
      <c r="L43" s="26">
        <f t="shared" si="14"/>
        <v>-36035.4</v>
      </c>
      <c r="M43" s="26">
        <f t="shared" si="14"/>
        <v>-21929.8</v>
      </c>
      <c r="N43" s="25">
        <f aca="true" t="shared" si="15" ref="N43:N55">SUM(B43:M43)</f>
        <v>-649568.2000000001</v>
      </c>
    </row>
    <row r="44" spans="1:25" ht="18.75" customHeight="1">
      <c r="A44" s="13" t="s">
        <v>62</v>
      </c>
      <c r="B44" s="20">
        <f>ROUND(-B9*$D$3,2)</f>
        <v>-74818.2</v>
      </c>
      <c r="C44" s="20">
        <f>ROUND(-C9*$D$3,2)</f>
        <v>-75091.8</v>
      </c>
      <c r="D44" s="20">
        <f>ROUND(-D9*$D$3,2)</f>
        <v>-49985.2</v>
      </c>
      <c r="E44" s="20">
        <f>ROUND(-E9*$D$3,2)</f>
        <v>-9256.8</v>
      </c>
      <c r="F44" s="20">
        <f aca="true" t="shared" si="16" ref="F44:M44">ROUND(-F9*$D$3,2)</f>
        <v>-42020.4</v>
      </c>
      <c r="G44" s="20">
        <f t="shared" si="16"/>
        <v>-83527.8</v>
      </c>
      <c r="H44" s="20">
        <f t="shared" si="16"/>
        <v>-101733.6</v>
      </c>
      <c r="I44" s="20">
        <f t="shared" si="16"/>
        <v>-45634.2</v>
      </c>
      <c r="J44" s="20">
        <f t="shared" si="16"/>
        <v>-62825.4</v>
      </c>
      <c r="K44" s="20">
        <f t="shared" si="16"/>
        <v>-46709.6</v>
      </c>
      <c r="L44" s="20">
        <f t="shared" si="16"/>
        <v>-36035.4</v>
      </c>
      <c r="M44" s="20">
        <f t="shared" si="16"/>
        <v>-21929.8</v>
      </c>
      <c r="N44" s="47">
        <f t="shared" si="15"/>
        <v>-649568.2000000001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63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7" ref="F45:M45">ROUND(F11*$D$3,2)</f>
        <v>0</v>
      </c>
      <c r="G45" s="20">
        <f t="shared" si="17"/>
        <v>0</v>
      </c>
      <c r="H45" s="20">
        <f t="shared" si="17"/>
        <v>0</v>
      </c>
      <c r="I45" s="20">
        <f t="shared" si="17"/>
        <v>0</v>
      </c>
      <c r="J45" s="20">
        <f t="shared" si="17"/>
        <v>0</v>
      </c>
      <c r="K45" s="20">
        <f t="shared" si="17"/>
        <v>0</v>
      </c>
      <c r="L45" s="20">
        <f t="shared" si="17"/>
        <v>0</v>
      </c>
      <c r="M45" s="20">
        <f t="shared" si="17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64</v>
      </c>
      <c r="B46" s="26">
        <f>SUM(B47:B53)</f>
        <v>-209.72</v>
      </c>
      <c r="C46" s="26">
        <f aca="true" t="shared" si="18" ref="C46:M46">SUM(C47:C53)</f>
        <v>-119.84</v>
      </c>
      <c r="D46" s="26">
        <f t="shared" si="18"/>
        <v>-98.44</v>
      </c>
      <c r="E46" s="26">
        <f t="shared" si="18"/>
        <v>-42.8</v>
      </c>
      <c r="F46" s="26">
        <f t="shared" si="18"/>
        <v>-21.4</v>
      </c>
      <c r="G46" s="26">
        <f t="shared" si="18"/>
        <v>-55.64</v>
      </c>
      <c r="H46" s="26">
        <f t="shared" si="18"/>
        <v>0</v>
      </c>
      <c r="I46" s="26">
        <f t="shared" si="18"/>
        <v>-102.72</v>
      </c>
      <c r="J46" s="26">
        <f t="shared" si="18"/>
        <v>-205.44</v>
      </c>
      <c r="K46" s="26">
        <f t="shared" si="18"/>
        <v>-98.44</v>
      </c>
      <c r="L46" s="26">
        <f t="shared" si="18"/>
        <v>-85.6</v>
      </c>
      <c r="M46" s="26">
        <f t="shared" si="18"/>
        <v>-42.8</v>
      </c>
      <c r="N46" s="26">
        <f>SUM(N47:N53)</f>
        <v>-1082.84</v>
      </c>
    </row>
    <row r="47" spans="1:25" ht="18.75" customHeight="1">
      <c r="A47" s="13" t="s">
        <v>65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5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66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5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67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5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68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5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69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5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70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5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71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5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72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5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5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74</v>
      </c>
      <c r="B57" s="29">
        <f aca="true" t="shared" si="19" ref="B57:M57">+B36+B42</f>
        <v>896985.70028074</v>
      </c>
      <c r="C57" s="29">
        <f t="shared" si="19"/>
        <v>613941.2592</v>
      </c>
      <c r="D57" s="29">
        <f t="shared" si="19"/>
        <v>602349.34275985</v>
      </c>
      <c r="E57" s="29">
        <f t="shared" si="19"/>
        <v>142398.3212208</v>
      </c>
      <c r="F57" s="29">
        <f t="shared" si="19"/>
        <v>595418.8021280499</v>
      </c>
      <c r="G57" s="29">
        <f t="shared" si="19"/>
        <v>728958.6516</v>
      </c>
      <c r="H57" s="29">
        <f t="shared" si="19"/>
        <v>770257.8634</v>
      </c>
      <c r="I57" s="29">
        <f t="shared" si="19"/>
        <v>717922.0097519999</v>
      </c>
      <c r="J57" s="29">
        <f t="shared" si="19"/>
        <v>561908.834431</v>
      </c>
      <c r="K57" s="29">
        <f t="shared" si="19"/>
        <v>644526.622092</v>
      </c>
      <c r="L57" s="29">
        <f t="shared" si="19"/>
        <v>324565.39371235</v>
      </c>
      <c r="M57" s="29">
        <f t="shared" si="19"/>
        <v>177925.6719024</v>
      </c>
      <c r="N57" s="29">
        <f>SUM(B57:M57)</f>
        <v>6777158.472479191</v>
      </c>
      <c r="O57"/>
      <c r="P57"/>
      <c r="Q57"/>
      <c r="R57"/>
      <c r="S57"/>
      <c r="T57"/>
      <c r="U57"/>
      <c r="V57"/>
      <c r="W57"/>
      <c r="X57"/>
      <c r="Y57"/>
    </row>
    <row r="58" spans="1:16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  <c r="P58" s="67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75</v>
      </c>
      <c r="B60" s="36">
        <f>SUM(B61:B74)</f>
        <v>896985.71</v>
      </c>
      <c r="C60" s="36">
        <f aca="true" t="shared" si="20" ref="C60:M60">SUM(C61:C74)</f>
        <v>613941.25</v>
      </c>
      <c r="D60" s="36">
        <f t="shared" si="20"/>
        <v>602349.35</v>
      </c>
      <c r="E60" s="36">
        <f t="shared" si="20"/>
        <v>142398.33</v>
      </c>
      <c r="F60" s="36">
        <f t="shared" si="20"/>
        <v>595418.8</v>
      </c>
      <c r="G60" s="36">
        <f t="shared" si="20"/>
        <v>728958.65</v>
      </c>
      <c r="H60" s="36">
        <f t="shared" si="20"/>
        <v>770257.8700000001</v>
      </c>
      <c r="I60" s="36">
        <f t="shared" si="20"/>
        <v>717922.01</v>
      </c>
      <c r="J60" s="36">
        <f t="shared" si="20"/>
        <v>561908.84</v>
      </c>
      <c r="K60" s="36">
        <f t="shared" si="20"/>
        <v>644526.62</v>
      </c>
      <c r="L60" s="36">
        <f t="shared" si="20"/>
        <v>324565.39</v>
      </c>
      <c r="M60" s="36">
        <f t="shared" si="20"/>
        <v>177925.67</v>
      </c>
      <c r="N60" s="29">
        <f>SUM(N61:N74)</f>
        <v>6777158.489999999</v>
      </c>
    </row>
    <row r="61" spans="1:15" ht="18.75" customHeight="1">
      <c r="A61" s="17" t="s">
        <v>76</v>
      </c>
      <c r="B61" s="36">
        <v>183238.73</v>
      </c>
      <c r="C61" s="36">
        <v>175110.8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358349.53</v>
      </c>
      <c r="O61"/>
    </row>
    <row r="62" spans="1:15" ht="18.75" customHeight="1">
      <c r="A62" s="17" t="s">
        <v>77</v>
      </c>
      <c r="B62" s="36">
        <v>713746.98</v>
      </c>
      <c r="C62" s="36">
        <v>438830.45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1" ref="N62:N73">SUM(B62:M62)</f>
        <v>1152577.43</v>
      </c>
      <c r="O62"/>
    </row>
    <row r="63" spans="1:16" ht="18.75" customHeight="1">
      <c r="A63" s="17" t="s">
        <v>78</v>
      </c>
      <c r="B63" s="35">
        <v>0</v>
      </c>
      <c r="C63" s="35">
        <v>0</v>
      </c>
      <c r="D63" s="26">
        <v>602349.35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1"/>
        <v>602349.35</v>
      </c>
      <c r="P63"/>
    </row>
    <row r="64" spans="1:17" ht="18.75" customHeight="1">
      <c r="A64" s="17" t="s">
        <v>79</v>
      </c>
      <c r="B64" s="35">
        <v>0</v>
      </c>
      <c r="C64" s="35">
        <v>0</v>
      </c>
      <c r="D64" s="35">
        <v>0</v>
      </c>
      <c r="E64" s="26">
        <v>142398.33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1"/>
        <v>142398.33</v>
      </c>
      <c r="Q64"/>
    </row>
    <row r="65" spans="1:18" ht="18.75" customHeight="1">
      <c r="A65" s="17" t="s">
        <v>80</v>
      </c>
      <c r="B65" s="35">
        <v>0</v>
      </c>
      <c r="C65" s="35">
        <v>0</v>
      </c>
      <c r="D65" s="35">
        <v>0</v>
      </c>
      <c r="E65" s="35">
        <v>0</v>
      </c>
      <c r="F65" s="26">
        <v>595418.8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1"/>
        <v>595418.8</v>
      </c>
      <c r="R65"/>
    </row>
    <row r="66" spans="1:19" ht="18.75" customHeight="1">
      <c r="A66" s="17" t="s">
        <v>81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728958.65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1"/>
        <v>728958.65</v>
      </c>
      <c r="S66"/>
    </row>
    <row r="67" spans="1:20" ht="18.75" customHeight="1">
      <c r="A67" s="17" t="s">
        <v>82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595806.42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1"/>
        <v>595806.42</v>
      </c>
      <c r="T67"/>
    </row>
    <row r="68" spans="1:20" ht="18.75" customHeight="1">
      <c r="A68" s="17" t="s">
        <v>83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174451.45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1"/>
        <v>174451.45</v>
      </c>
      <c r="T68"/>
    </row>
    <row r="69" spans="1:21" ht="18.75" customHeight="1">
      <c r="A69" s="17" t="s">
        <v>84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717922.01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1"/>
        <v>717922.01</v>
      </c>
      <c r="U69"/>
    </row>
    <row r="70" spans="1:22" ht="18.75" customHeight="1">
      <c r="A70" s="17" t="s">
        <v>85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561908.84</v>
      </c>
      <c r="K70" s="35">
        <v>0</v>
      </c>
      <c r="L70" s="35">
        <v>0</v>
      </c>
      <c r="M70" s="35">
        <v>0</v>
      </c>
      <c r="N70" s="29">
        <f t="shared" si="21"/>
        <v>561908.84</v>
      </c>
      <c r="V70"/>
    </row>
    <row r="71" spans="1:23" ht="18.75" customHeight="1">
      <c r="A71" s="17" t="s">
        <v>86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644526.62</v>
      </c>
      <c r="L71" s="35">
        <v>0</v>
      </c>
      <c r="M71" s="62"/>
      <c r="N71" s="26">
        <f t="shared" si="21"/>
        <v>644526.62</v>
      </c>
      <c r="W71"/>
    </row>
    <row r="72" spans="1:24" ht="18.75" customHeight="1">
      <c r="A72" s="17" t="s">
        <v>87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324565.39</v>
      </c>
      <c r="M72" s="35">
        <v>0</v>
      </c>
      <c r="N72" s="29">
        <f t="shared" si="21"/>
        <v>324565.39</v>
      </c>
      <c r="X72"/>
    </row>
    <row r="73" spans="1:25" ht="18.75" customHeight="1">
      <c r="A73" s="17" t="s">
        <v>88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177925.67</v>
      </c>
      <c r="N73" s="26">
        <f t="shared" si="21"/>
        <v>177925.67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8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90</v>
      </c>
      <c r="B78" s="45">
        <v>2.0887943055540785</v>
      </c>
      <c r="C78" s="45">
        <v>2.081241729123761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91</v>
      </c>
      <c r="B79" s="45">
        <v>1.8316734643270434</v>
      </c>
      <c r="C79" s="45">
        <v>1.7273169983956507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92</v>
      </c>
      <c r="B80" s="45">
        <v>0</v>
      </c>
      <c r="C80" s="45">
        <v>0</v>
      </c>
      <c r="D80" s="22">
        <f>(D$37+D$38+D$39)/D$7</f>
        <v>1.6811052487587552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93</v>
      </c>
      <c r="B81" s="45">
        <v>0</v>
      </c>
      <c r="C81" s="45">
        <v>0</v>
      </c>
      <c r="D81" s="45">
        <v>0</v>
      </c>
      <c r="E81" s="22">
        <f>(E$37+E$38+E$39)/E$7</f>
        <v>2.3378784844545133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94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1.9618941285052365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95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1.554292382353335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96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1.8306479738147796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97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1.7895023782097854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98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1.7774390879620146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99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2.0019209867411987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100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1.9146566837693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101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2.2735440367635285</v>
      </c>
      <c r="M89" s="45">
        <v>0</v>
      </c>
      <c r="N89" s="63"/>
      <c r="X89"/>
    </row>
    <row r="90" spans="1:25" ht="18.75" customHeight="1">
      <c r="A90" s="34" t="s">
        <v>102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2.226286578710324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2016-05-06T20:27:11Z</dcterms:modified>
  <cp:category/>
  <cp:version/>
  <cp:contentType/>
  <cp:contentStatus/>
</cp:coreProperties>
</file>