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<sst xmlns="http://schemas.openxmlformats.org/spreadsheetml/2006/main" count="105" uniqueCount="103">
  <si>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</si>
  <si>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</si>
  <si>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</si>
  <si>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</si>
  <si>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</si>
  <si>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</si>
  <si>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</si>
  <si>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</si>
  <si>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</si>
  <si>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</si>
  <si>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</si>
  <si>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</si>
  <si>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</si>
  <si>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</si>
  <si>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</si>
  <si>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</si>
  <si>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</si>
  <si>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</si>
  <si>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</si>
  <si>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</si>
  <si>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</si>
  <si>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</si>
  <si>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</si>
  <si>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</si>
  <si>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</si>
  <si>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</si>
  <si>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</si>
  <si>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</si>
  <si>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</si>
  <si>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</si>
  <si>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</si>
  <si>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</si>
  <si>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</si>
  <si>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</si>
  <si>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</si>
  <si>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</si>
  <si>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</si>
  <si>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</si>
  <si>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</si>
  <si>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</si>
  <si>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</si>
  <si>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</si>
  <si>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</si>
  <si>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</si>
  <si>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</si>
  <si>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</si>
  <si>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25/04/16 - VENCIMENTO 02/05/16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</si>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</sst>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516659</v>
      </c>
      <c r="C7" s="10">
        <f>C8+C20+C24</f>
        <v>376112</v>
      </c>
      <c r="D7" s="10">
        <f>D8+D20+D24</f>
        <v>370734</v>
      </c>
      <c r="E7" s="10">
        <f>E8+E20+E24</f>
        <v>66303</v>
      </c>
      <c r="F7" s="10">
        <f aca="true" t="shared" si="0" ref="F7:M7">F8+F20+F24</f>
        <v>306601</v>
      </c>
      <c r="G7" s="10">
        <f t="shared" si="0"/>
        <v>505749</v>
      </c>
      <c r="H7" s="10">
        <f t="shared" si="0"/>
        <v>482151</v>
      </c>
      <c r="I7" s="10">
        <f t="shared" si="0"/>
        <v>419656</v>
      </c>
      <c r="J7" s="10">
        <f t="shared" si="0"/>
        <v>306125</v>
      </c>
      <c r="K7" s="10">
        <f t="shared" si="0"/>
        <v>357415</v>
      </c>
      <c r="L7" s="10">
        <f t="shared" si="0"/>
        <v>155227</v>
      </c>
      <c r="M7" s="10">
        <f t="shared" si="0"/>
        <v>88746</v>
      </c>
      <c r="N7" s="10">
        <f>+N8+N20+N24</f>
        <v>3951478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225265</v>
      </c>
      <c r="C8" s="12">
        <f>+C9+C12+C16</f>
        <v>176028</v>
      </c>
      <c r="D8" s="12">
        <f>+D9+D12+D16</f>
        <v>189958</v>
      </c>
      <c r="E8" s="12">
        <f>+E9+E12+E16</f>
        <v>31038</v>
      </c>
      <c r="F8" s="12">
        <f aca="true" t="shared" si="1" ref="F8:M8">+F9+F12+F16</f>
        <v>141834</v>
      </c>
      <c r="G8" s="12">
        <f t="shared" si="1"/>
        <v>245113</v>
      </c>
      <c r="H8" s="12">
        <f t="shared" si="1"/>
        <v>228070</v>
      </c>
      <c r="I8" s="12">
        <f t="shared" si="1"/>
        <v>203560</v>
      </c>
      <c r="J8" s="12">
        <f t="shared" si="1"/>
        <v>149496</v>
      </c>
      <c r="K8" s="12">
        <f t="shared" si="1"/>
        <v>163713</v>
      </c>
      <c r="L8" s="12">
        <f t="shared" si="1"/>
        <v>80748</v>
      </c>
      <c r="M8" s="12">
        <f t="shared" si="1"/>
        <v>48258</v>
      </c>
      <c r="N8" s="12">
        <f>SUM(B8:M8)</f>
        <v>1883081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22486</v>
      </c>
      <c r="C9" s="14">
        <v>22402</v>
      </c>
      <c r="D9" s="14">
        <v>15147</v>
      </c>
      <c r="E9" s="14">
        <v>2791</v>
      </c>
      <c r="F9" s="14">
        <v>12442</v>
      </c>
      <c r="G9" s="14">
        <v>24878</v>
      </c>
      <c r="H9" s="14">
        <v>29434</v>
      </c>
      <c r="I9" s="14">
        <v>14215</v>
      </c>
      <c r="J9" s="14">
        <v>18381</v>
      </c>
      <c r="K9" s="14">
        <v>13960</v>
      </c>
      <c r="L9" s="14">
        <v>10463</v>
      </c>
      <c r="M9" s="14">
        <v>6509</v>
      </c>
      <c r="N9" s="12">
        <f aca="true" t="shared" si="2" ref="N9:N19">SUM(B9:M9)</f>
        <v>193108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22486</v>
      </c>
      <c r="C10" s="14">
        <f>+C9-C11</f>
        <v>22402</v>
      </c>
      <c r="D10" s="14">
        <f>+D9-D11</f>
        <v>15147</v>
      </c>
      <c r="E10" s="14">
        <f>+E9-E11</f>
        <v>2791</v>
      </c>
      <c r="F10" s="14">
        <f aca="true" t="shared" si="3" ref="F10:M10">+F9-F11</f>
        <v>12442</v>
      </c>
      <c r="G10" s="14">
        <f t="shared" si="3"/>
        <v>24878</v>
      </c>
      <c r="H10" s="14">
        <f t="shared" si="3"/>
        <v>29434</v>
      </c>
      <c r="I10" s="14">
        <f t="shared" si="3"/>
        <v>14215</v>
      </c>
      <c r="J10" s="14">
        <f t="shared" si="3"/>
        <v>18381</v>
      </c>
      <c r="K10" s="14">
        <f t="shared" si="3"/>
        <v>13960</v>
      </c>
      <c r="L10" s="14">
        <f t="shared" si="3"/>
        <v>10463</v>
      </c>
      <c r="M10" s="14">
        <f t="shared" si="3"/>
        <v>6509</v>
      </c>
      <c r="N10" s="12">
        <f t="shared" si="2"/>
        <v>193108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181011</v>
      </c>
      <c r="C12" s="14">
        <f>C13+C14+C15</f>
        <v>138753</v>
      </c>
      <c r="D12" s="14">
        <f>D13+D14+D15</f>
        <v>159038</v>
      </c>
      <c r="E12" s="14">
        <f>E13+E14+E15</f>
        <v>25602</v>
      </c>
      <c r="F12" s="14">
        <f aca="true" t="shared" si="4" ref="F12:M12">F13+F14+F15</f>
        <v>116086</v>
      </c>
      <c r="G12" s="14">
        <f t="shared" si="4"/>
        <v>197634</v>
      </c>
      <c r="H12" s="14">
        <f t="shared" si="4"/>
        <v>178616</v>
      </c>
      <c r="I12" s="14">
        <f t="shared" si="4"/>
        <v>169608</v>
      </c>
      <c r="J12" s="14">
        <f t="shared" si="4"/>
        <v>117432</v>
      </c>
      <c r="K12" s="14">
        <f t="shared" si="4"/>
        <v>132528</v>
      </c>
      <c r="L12" s="14">
        <f t="shared" si="4"/>
        <v>63932</v>
      </c>
      <c r="M12" s="14">
        <f t="shared" si="4"/>
        <v>38462</v>
      </c>
      <c r="N12" s="12">
        <f t="shared" si="2"/>
        <v>1518702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91551</v>
      </c>
      <c r="C13" s="14">
        <v>70687</v>
      </c>
      <c r="D13" s="14">
        <v>79044</v>
      </c>
      <c r="E13" s="14">
        <v>12897</v>
      </c>
      <c r="F13" s="14">
        <v>57729</v>
      </c>
      <c r="G13" s="14">
        <v>99329</v>
      </c>
      <c r="H13" s="14">
        <v>94442</v>
      </c>
      <c r="I13" s="14">
        <v>88847</v>
      </c>
      <c r="J13" s="14">
        <v>58805</v>
      </c>
      <c r="K13" s="14">
        <v>67143</v>
      </c>
      <c r="L13" s="14">
        <v>32043</v>
      </c>
      <c r="M13" s="14">
        <v>18609</v>
      </c>
      <c r="N13" s="12">
        <f t="shared" si="2"/>
        <v>771126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84331</v>
      </c>
      <c r="C14" s="14">
        <v>61525</v>
      </c>
      <c r="D14" s="14">
        <v>76404</v>
      </c>
      <c r="E14" s="14">
        <v>11726</v>
      </c>
      <c r="F14" s="14">
        <v>54159</v>
      </c>
      <c r="G14" s="14">
        <v>89494</v>
      </c>
      <c r="H14" s="14">
        <v>77479</v>
      </c>
      <c r="I14" s="14">
        <v>77423</v>
      </c>
      <c r="J14" s="14">
        <v>54759</v>
      </c>
      <c r="K14" s="14">
        <v>61982</v>
      </c>
      <c r="L14" s="14">
        <v>29785</v>
      </c>
      <c r="M14" s="14">
        <v>18905</v>
      </c>
      <c r="N14" s="12">
        <f t="shared" si="2"/>
        <v>697972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5129</v>
      </c>
      <c r="C15" s="14">
        <v>6541</v>
      </c>
      <c r="D15" s="14">
        <v>3590</v>
      </c>
      <c r="E15" s="14">
        <v>979</v>
      </c>
      <c r="F15" s="14">
        <v>4198</v>
      </c>
      <c r="G15" s="14">
        <v>8811</v>
      </c>
      <c r="H15" s="14">
        <v>6695</v>
      </c>
      <c r="I15" s="14">
        <v>3338</v>
      </c>
      <c r="J15" s="14">
        <v>3868</v>
      </c>
      <c r="K15" s="14">
        <v>3403</v>
      </c>
      <c r="L15" s="14">
        <v>2104</v>
      </c>
      <c r="M15" s="14">
        <v>948</v>
      </c>
      <c r="N15" s="12">
        <f t="shared" si="2"/>
        <v>49604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21768</v>
      </c>
      <c r="C16" s="14">
        <f>C17+C18+C19</f>
        <v>14873</v>
      </c>
      <c r="D16" s="14">
        <f>D17+D18+D19</f>
        <v>15773</v>
      </c>
      <c r="E16" s="14">
        <f>E17+E18+E19</f>
        <v>2645</v>
      </c>
      <c r="F16" s="14">
        <f aca="true" t="shared" si="5" ref="F16:M16">F17+F18+F19</f>
        <v>13306</v>
      </c>
      <c r="G16" s="14">
        <f t="shared" si="5"/>
        <v>22601</v>
      </c>
      <c r="H16" s="14">
        <f t="shared" si="5"/>
        <v>20020</v>
      </c>
      <c r="I16" s="14">
        <f t="shared" si="5"/>
        <v>19737</v>
      </c>
      <c r="J16" s="14">
        <f t="shared" si="5"/>
        <v>13683</v>
      </c>
      <c r="K16" s="14">
        <f t="shared" si="5"/>
        <v>17225</v>
      </c>
      <c r="L16" s="14">
        <f t="shared" si="5"/>
        <v>6353</v>
      </c>
      <c r="M16" s="14">
        <f t="shared" si="5"/>
        <v>3287</v>
      </c>
      <c r="N16" s="12">
        <f t="shared" si="2"/>
        <v>171271</v>
      </c>
    </row>
    <row r="17" spans="1:25" ht="18.75" customHeight="1">
      <c r="A17" s="15" t="s">
        <v>16</v>
      </c>
      <c r="B17" s="14">
        <v>14159</v>
      </c>
      <c r="C17" s="14">
        <v>10479</v>
      </c>
      <c r="D17" s="14">
        <v>9645</v>
      </c>
      <c r="E17" s="14">
        <v>1770</v>
      </c>
      <c r="F17" s="14">
        <v>8720</v>
      </c>
      <c r="G17" s="14">
        <v>14958</v>
      </c>
      <c r="H17" s="14">
        <v>13119</v>
      </c>
      <c r="I17" s="14">
        <v>13032</v>
      </c>
      <c r="J17" s="14">
        <v>8781</v>
      </c>
      <c r="K17" s="14">
        <v>11051</v>
      </c>
      <c r="L17" s="14">
        <v>4156</v>
      </c>
      <c r="M17" s="14">
        <v>2115</v>
      </c>
      <c r="N17" s="12">
        <f t="shared" si="2"/>
        <v>111985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6204</v>
      </c>
      <c r="C18" s="14">
        <v>2801</v>
      </c>
      <c r="D18" s="14">
        <v>5183</v>
      </c>
      <c r="E18" s="14">
        <v>659</v>
      </c>
      <c r="F18" s="14">
        <v>3332</v>
      </c>
      <c r="G18" s="14">
        <v>5371</v>
      </c>
      <c r="H18" s="14">
        <v>5279</v>
      </c>
      <c r="I18" s="14">
        <v>5907</v>
      </c>
      <c r="J18" s="14">
        <v>3984</v>
      </c>
      <c r="K18" s="14">
        <v>5465</v>
      </c>
      <c r="L18" s="14">
        <v>1841</v>
      </c>
      <c r="M18" s="14">
        <v>976</v>
      </c>
      <c r="N18" s="12">
        <f t="shared" si="2"/>
        <v>47002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f>83551-B26</f>
        <v>1405</v>
      </c>
      <c r="C19" s="14">
        <f>57953-C26</f>
        <v>1593</v>
      </c>
      <c r="D19" s="14">
        <f>51717-D26</f>
        <v>945</v>
      </c>
      <c r="E19" s="14">
        <f>9830-E26</f>
        <v>216</v>
      </c>
      <c r="F19" s="14">
        <f>52253-F26</f>
        <v>1254</v>
      </c>
      <c r="G19" s="14">
        <f>74317-G26</f>
        <v>2272</v>
      </c>
      <c r="H19" s="14">
        <f>62715-H26</f>
        <v>1622</v>
      </c>
      <c r="I19" s="14">
        <f>55773-I26</f>
        <v>798</v>
      </c>
      <c r="J19" s="14">
        <f>40139-J26</f>
        <v>918</v>
      </c>
      <c r="K19" s="14">
        <f>47711-K26</f>
        <v>709</v>
      </c>
      <c r="L19" s="14">
        <f>16623-L26</f>
        <v>356</v>
      </c>
      <c r="M19" s="14">
        <f>10012-M26</f>
        <v>196</v>
      </c>
      <c r="N19" s="12">
        <f t="shared" si="2"/>
        <v>12284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135905</v>
      </c>
      <c r="C20" s="18">
        <f>C21+C22+C23</f>
        <v>83562</v>
      </c>
      <c r="D20" s="18">
        <f>D21+D22+D23</f>
        <v>75779</v>
      </c>
      <c r="E20" s="18">
        <f>E21+E22+E23</f>
        <v>13477</v>
      </c>
      <c r="F20" s="18">
        <f aca="true" t="shared" si="6" ref="F20:M20">F21+F22+F23</f>
        <v>61729</v>
      </c>
      <c r="G20" s="18">
        <f t="shared" si="6"/>
        <v>104544</v>
      </c>
      <c r="H20" s="18">
        <f t="shared" si="6"/>
        <v>116644</v>
      </c>
      <c r="I20" s="18">
        <f t="shared" si="6"/>
        <v>107723</v>
      </c>
      <c r="J20" s="18">
        <f t="shared" si="6"/>
        <v>71622</v>
      </c>
      <c r="K20" s="18">
        <f t="shared" si="6"/>
        <v>105110</v>
      </c>
      <c r="L20" s="18">
        <f t="shared" si="6"/>
        <v>43076</v>
      </c>
      <c r="M20" s="18">
        <f t="shared" si="6"/>
        <v>23490</v>
      </c>
      <c r="N20" s="12">
        <f aca="true" t="shared" si="7" ref="N20:N26">SUM(B20:M20)</f>
        <v>942661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76330</v>
      </c>
      <c r="C21" s="14">
        <v>49356</v>
      </c>
      <c r="D21" s="14">
        <v>45234</v>
      </c>
      <c r="E21" s="14">
        <v>8079</v>
      </c>
      <c r="F21" s="14">
        <v>36098</v>
      </c>
      <c r="G21" s="14">
        <v>62259</v>
      </c>
      <c r="H21" s="14">
        <v>70363</v>
      </c>
      <c r="I21" s="14">
        <v>63615</v>
      </c>
      <c r="J21" s="14">
        <v>41234</v>
      </c>
      <c r="K21" s="14">
        <v>58796</v>
      </c>
      <c r="L21" s="14">
        <v>24356</v>
      </c>
      <c r="M21" s="14">
        <v>12950</v>
      </c>
      <c r="N21" s="12">
        <f t="shared" si="7"/>
        <v>548670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56787</v>
      </c>
      <c r="C22" s="14">
        <v>31725</v>
      </c>
      <c r="D22" s="14">
        <v>29210</v>
      </c>
      <c r="E22" s="14">
        <v>5052</v>
      </c>
      <c r="F22" s="14">
        <v>24120</v>
      </c>
      <c r="G22" s="14">
        <v>39079</v>
      </c>
      <c r="H22" s="14">
        <v>43746</v>
      </c>
      <c r="I22" s="14">
        <v>42287</v>
      </c>
      <c r="J22" s="14">
        <v>28742</v>
      </c>
      <c r="K22" s="14">
        <v>44377</v>
      </c>
      <c r="L22" s="14">
        <v>17823</v>
      </c>
      <c r="M22" s="14">
        <v>10132</v>
      </c>
      <c r="N22" s="12">
        <f t="shared" si="7"/>
        <v>373080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2788</v>
      </c>
      <c r="C23" s="14">
        <v>2481</v>
      </c>
      <c r="D23" s="14">
        <v>1335</v>
      </c>
      <c r="E23" s="14">
        <v>346</v>
      </c>
      <c r="F23" s="14">
        <v>1511</v>
      </c>
      <c r="G23" s="14">
        <v>3206</v>
      </c>
      <c r="H23" s="14">
        <v>2535</v>
      </c>
      <c r="I23" s="14">
        <v>1821</v>
      </c>
      <c r="J23" s="14">
        <v>1646</v>
      </c>
      <c r="K23" s="14">
        <v>1937</v>
      </c>
      <c r="L23" s="14">
        <v>897</v>
      </c>
      <c r="M23" s="14">
        <v>408</v>
      </c>
      <c r="N23" s="12">
        <f t="shared" si="7"/>
        <v>20911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155489</v>
      </c>
      <c r="C24" s="14">
        <f>C25+C26</f>
        <v>116522</v>
      </c>
      <c r="D24" s="14">
        <f>D25+D26</f>
        <v>104997</v>
      </c>
      <c r="E24" s="14">
        <f>E25+E26</f>
        <v>21788</v>
      </c>
      <c r="F24" s="14">
        <f aca="true" t="shared" si="8" ref="F24:M24">F25+F26</f>
        <v>103038</v>
      </c>
      <c r="G24" s="14">
        <f t="shared" si="8"/>
        <v>156092</v>
      </c>
      <c r="H24" s="14">
        <f t="shared" si="8"/>
        <v>137437</v>
      </c>
      <c r="I24" s="14">
        <f t="shared" si="8"/>
        <v>108373</v>
      </c>
      <c r="J24" s="14">
        <f t="shared" si="8"/>
        <v>85007</v>
      </c>
      <c r="K24" s="14">
        <f t="shared" si="8"/>
        <v>88592</v>
      </c>
      <c r="L24" s="14">
        <f t="shared" si="8"/>
        <v>31403</v>
      </c>
      <c r="M24" s="14">
        <f t="shared" si="8"/>
        <v>16998</v>
      </c>
      <c r="N24" s="12">
        <f t="shared" si="7"/>
        <v>1125736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101</v>
      </c>
      <c r="B25" s="14">
        <v>73343</v>
      </c>
      <c r="C25" s="14">
        <v>60162</v>
      </c>
      <c r="D25" s="14">
        <v>54225</v>
      </c>
      <c r="E25" s="14">
        <v>12174</v>
      </c>
      <c r="F25" s="14">
        <v>52039</v>
      </c>
      <c r="G25" s="14">
        <v>84047</v>
      </c>
      <c r="H25" s="14">
        <v>76344</v>
      </c>
      <c r="I25" s="14">
        <v>53398</v>
      </c>
      <c r="J25" s="14">
        <v>45786</v>
      </c>
      <c r="K25" s="14">
        <v>41590</v>
      </c>
      <c r="L25" s="14">
        <v>15136</v>
      </c>
      <c r="M25" s="14">
        <v>7182</v>
      </c>
      <c r="N25" s="12">
        <f t="shared" si="7"/>
        <v>575426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102</v>
      </c>
      <c r="B26" s="14">
        <f>53267+28879</f>
        <v>82146</v>
      </c>
      <c r="C26" s="14">
        <f>38524+17836</f>
        <v>56360</v>
      </c>
      <c r="D26" s="14">
        <f>36379+14393</f>
        <v>50772</v>
      </c>
      <c r="E26" s="14">
        <f>6677+2937</f>
        <v>9614</v>
      </c>
      <c r="F26" s="14">
        <f>36820+14179</f>
        <v>50999</v>
      </c>
      <c r="G26" s="14">
        <f>50813+21232</f>
        <v>72045</v>
      </c>
      <c r="H26" s="14">
        <f>44683+16410</f>
        <v>61093</v>
      </c>
      <c r="I26" s="14">
        <f>36539+18436</f>
        <v>54975</v>
      </c>
      <c r="J26" s="14">
        <f>27390+11831</f>
        <v>39221</v>
      </c>
      <c r="K26" s="14">
        <f>31340+15662</f>
        <v>47002</v>
      </c>
      <c r="L26" s="14">
        <f>10842+5425</f>
        <v>16267</v>
      </c>
      <c r="M26" s="14">
        <f>6942+2874</f>
        <v>9816</v>
      </c>
      <c r="N26" s="12">
        <f t="shared" si="7"/>
        <v>550310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25" ht="18.75" customHeight="1">
      <c r="A28" s="2" t="s">
        <v>47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49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50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51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52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53</v>
      </c>
      <c r="B36" s="61">
        <f>B37+B38+B39+B40</f>
        <v>970497.21485814</v>
      </c>
      <c r="C36" s="61">
        <f aca="true" t="shared" si="9" ref="C36:M36">C37+C38+C39+C40</f>
        <v>682714.2832</v>
      </c>
      <c r="D36" s="61">
        <f t="shared" si="9"/>
        <v>633227.2988367</v>
      </c>
      <c r="E36" s="61">
        <f t="shared" si="9"/>
        <v>154994.2536752</v>
      </c>
      <c r="F36" s="61">
        <f t="shared" si="9"/>
        <v>601640.56777205</v>
      </c>
      <c r="G36" s="61">
        <f t="shared" si="9"/>
        <v>786168.5108</v>
      </c>
      <c r="H36" s="61">
        <f t="shared" si="9"/>
        <v>877953.4099000001</v>
      </c>
      <c r="I36" s="61">
        <f t="shared" si="9"/>
        <v>745972.1559407999</v>
      </c>
      <c r="J36" s="61">
        <f t="shared" si="9"/>
        <v>612879.0875875</v>
      </c>
      <c r="K36" s="61">
        <f t="shared" si="9"/>
        <v>684353.3959704</v>
      </c>
      <c r="L36" s="61">
        <f t="shared" si="9"/>
        <v>352942.80728460994</v>
      </c>
      <c r="M36" s="61">
        <f t="shared" si="9"/>
        <v>197582.38908576002</v>
      </c>
      <c r="N36" s="61">
        <f>N37+N38+N39+N40</f>
        <v>7300925.374911159</v>
      </c>
    </row>
    <row r="37" spans="1:14" ht="18.75" customHeight="1">
      <c r="A37" s="58" t="s">
        <v>54</v>
      </c>
      <c r="B37" s="55">
        <f aca="true" t="shared" si="10" ref="B37:M37">B29*B7</f>
        <v>970440.5997</v>
      </c>
      <c r="C37" s="55">
        <f t="shared" si="10"/>
        <v>682492.8352</v>
      </c>
      <c r="D37" s="55">
        <f t="shared" si="10"/>
        <v>623203.854</v>
      </c>
      <c r="E37" s="55">
        <f t="shared" si="10"/>
        <v>154764.4626</v>
      </c>
      <c r="F37" s="55">
        <f t="shared" si="10"/>
        <v>601428.5216</v>
      </c>
      <c r="G37" s="55">
        <f t="shared" si="10"/>
        <v>786085.6707</v>
      </c>
      <c r="H37" s="55">
        <f t="shared" si="10"/>
        <v>877755.8955</v>
      </c>
      <c r="I37" s="55">
        <f t="shared" si="10"/>
        <v>745812.6431999999</v>
      </c>
      <c r="J37" s="55">
        <f t="shared" si="10"/>
        <v>612709.1875</v>
      </c>
      <c r="K37" s="55">
        <f t="shared" si="10"/>
        <v>683985.0854999999</v>
      </c>
      <c r="L37" s="55">
        <f t="shared" si="10"/>
        <v>352815.4483</v>
      </c>
      <c r="M37" s="55">
        <f t="shared" si="10"/>
        <v>197513.0976</v>
      </c>
      <c r="N37" s="57">
        <f>SUM(B37:M37)</f>
        <v>7289007.3014</v>
      </c>
    </row>
    <row r="38" spans="1:14" ht="18.75" customHeight="1">
      <c r="A38" s="58" t="s">
        <v>55</v>
      </c>
      <c r="B38" s="55">
        <f aca="true" t="shared" si="11" ref="B38:M38">B30*B7</f>
        <v>-3200.46484186</v>
      </c>
      <c r="C38" s="55">
        <f t="shared" si="11"/>
        <v>-2256.672</v>
      </c>
      <c r="D38" s="55">
        <f t="shared" si="11"/>
        <v>-2057.5551633</v>
      </c>
      <c r="E38" s="55">
        <f t="shared" si="11"/>
        <v>-416.4889248</v>
      </c>
      <c r="F38" s="55">
        <f t="shared" si="11"/>
        <v>-1949.35382795</v>
      </c>
      <c r="G38" s="55">
        <f t="shared" si="11"/>
        <v>-2579.3199</v>
      </c>
      <c r="H38" s="55">
        <f t="shared" si="11"/>
        <v>-2700.0456</v>
      </c>
      <c r="I38" s="55">
        <f t="shared" si="11"/>
        <v>-2387.0872592</v>
      </c>
      <c r="J38" s="55">
        <f t="shared" si="11"/>
        <v>-1948.6999125</v>
      </c>
      <c r="K38" s="55">
        <f t="shared" si="11"/>
        <v>-2233.9295296</v>
      </c>
      <c r="L38" s="55">
        <f t="shared" si="11"/>
        <v>-1143.80101539</v>
      </c>
      <c r="M38" s="55">
        <f t="shared" si="11"/>
        <v>-649.7485142400001</v>
      </c>
      <c r="N38" s="25">
        <f>SUM(B38:M38)</f>
        <v>-23523.166488839997</v>
      </c>
    </row>
    <row r="39" spans="1:14" ht="18.75" customHeight="1">
      <c r="A39" s="58" t="s">
        <v>56</v>
      </c>
      <c r="B39" s="55">
        <f aca="true" t="shared" si="12" ref="B39:M39">B32</f>
        <v>3257.0800000000004</v>
      </c>
      <c r="C39" s="55">
        <f t="shared" si="12"/>
        <v>2478.1200000000003</v>
      </c>
      <c r="D39" s="55">
        <f t="shared" si="12"/>
        <v>2161.4</v>
      </c>
      <c r="E39" s="55">
        <f t="shared" si="12"/>
        <v>646.2800000000001</v>
      </c>
      <c r="F39" s="55">
        <f t="shared" si="12"/>
        <v>2161.4</v>
      </c>
      <c r="G39" s="55">
        <f t="shared" si="12"/>
        <v>2662.1600000000003</v>
      </c>
      <c r="H39" s="55">
        <f t="shared" si="12"/>
        <v>2897.56</v>
      </c>
      <c r="I39" s="55">
        <f t="shared" si="12"/>
        <v>2546.6000000000004</v>
      </c>
      <c r="J39" s="55">
        <f t="shared" si="12"/>
        <v>2118.6</v>
      </c>
      <c r="K39" s="55">
        <f t="shared" si="12"/>
        <v>2602.2400000000002</v>
      </c>
      <c r="L39" s="55">
        <f t="shared" si="12"/>
        <v>1271.16</v>
      </c>
      <c r="M39" s="55">
        <f t="shared" si="12"/>
        <v>719.0400000000001</v>
      </c>
      <c r="N39" s="57">
        <f>SUM(B39:M39)</f>
        <v>25521.64</v>
      </c>
    </row>
    <row r="40" spans="1:25" ht="18.75" customHeight="1">
      <c r="A40" s="2" t="s">
        <v>57</v>
      </c>
      <c r="B40" s="55">
        <v>0</v>
      </c>
      <c r="C40" s="55">
        <v>0</v>
      </c>
      <c r="D40" s="55">
        <v>9919.6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9919.6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58</v>
      </c>
      <c r="B42" s="25">
        <f>+B43+B46+B54+B55</f>
        <v>-85656.52</v>
      </c>
      <c r="C42" s="25">
        <f aca="true" t="shared" si="13" ref="C42:M42">+C43+C46+C54+C55</f>
        <v>-85247.44</v>
      </c>
      <c r="D42" s="25">
        <f t="shared" si="13"/>
        <v>-57657.04</v>
      </c>
      <c r="E42" s="25">
        <f t="shared" si="13"/>
        <v>-10648.599999999999</v>
      </c>
      <c r="F42" s="25">
        <f t="shared" si="13"/>
        <v>-47301</v>
      </c>
      <c r="G42" s="25">
        <f t="shared" si="13"/>
        <v>-94592.04</v>
      </c>
      <c r="H42" s="25">
        <f t="shared" si="13"/>
        <v>-111849.2</v>
      </c>
      <c r="I42" s="25">
        <f t="shared" si="13"/>
        <v>-54119.72</v>
      </c>
      <c r="J42" s="25">
        <f t="shared" si="13"/>
        <v>-70053.24</v>
      </c>
      <c r="K42" s="25">
        <f t="shared" si="13"/>
        <v>-53146.44</v>
      </c>
      <c r="L42" s="25">
        <f t="shared" si="13"/>
        <v>-39845</v>
      </c>
      <c r="M42" s="25">
        <f t="shared" si="13"/>
        <v>-24777</v>
      </c>
      <c r="N42" s="25">
        <f>+N43+N46+N54+N55</f>
        <v>-734893.24</v>
      </c>
    </row>
    <row r="43" spans="1:14" ht="18.75" customHeight="1">
      <c r="A43" s="17" t="s">
        <v>59</v>
      </c>
      <c r="B43" s="26">
        <f>B44+B45</f>
        <v>-85446.8</v>
      </c>
      <c r="C43" s="26">
        <f>C44+C45</f>
        <v>-85127.6</v>
      </c>
      <c r="D43" s="26">
        <f>D44+D45</f>
        <v>-57558.6</v>
      </c>
      <c r="E43" s="26">
        <f>E44+E45</f>
        <v>-10605.8</v>
      </c>
      <c r="F43" s="26">
        <f aca="true" t="shared" si="14" ref="F43:M43">F44+F45</f>
        <v>-47279.6</v>
      </c>
      <c r="G43" s="26">
        <f t="shared" si="14"/>
        <v>-94536.4</v>
      </c>
      <c r="H43" s="26">
        <f t="shared" si="14"/>
        <v>-111849.2</v>
      </c>
      <c r="I43" s="26">
        <f t="shared" si="14"/>
        <v>-54017</v>
      </c>
      <c r="J43" s="26">
        <f t="shared" si="14"/>
        <v>-69847.8</v>
      </c>
      <c r="K43" s="26">
        <f t="shared" si="14"/>
        <v>-53048</v>
      </c>
      <c r="L43" s="26">
        <f t="shared" si="14"/>
        <v>-39759.4</v>
      </c>
      <c r="M43" s="26">
        <f t="shared" si="14"/>
        <v>-24734.2</v>
      </c>
      <c r="N43" s="25">
        <f aca="true" t="shared" si="15" ref="N43:N55">SUM(B43:M43)</f>
        <v>-733810.4</v>
      </c>
    </row>
    <row r="44" spans="1:25" ht="18.75" customHeight="1">
      <c r="A44" s="13" t="s">
        <v>60</v>
      </c>
      <c r="B44" s="20">
        <f>ROUND(-B9*$D$3,2)</f>
        <v>-85446.8</v>
      </c>
      <c r="C44" s="20">
        <f>ROUND(-C9*$D$3,2)</f>
        <v>-85127.6</v>
      </c>
      <c r="D44" s="20">
        <f>ROUND(-D9*$D$3,2)</f>
        <v>-57558.6</v>
      </c>
      <c r="E44" s="20">
        <f>ROUND(-E9*$D$3,2)</f>
        <v>-10605.8</v>
      </c>
      <c r="F44" s="20">
        <f aca="true" t="shared" si="16" ref="F44:M44">ROUND(-F9*$D$3,2)</f>
        <v>-47279.6</v>
      </c>
      <c r="G44" s="20">
        <f t="shared" si="16"/>
        <v>-94536.4</v>
      </c>
      <c r="H44" s="20">
        <f t="shared" si="16"/>
        <v>-111849.2</v>
      </c>
      <c r="I44" s="20">
        <f t="shared" si="16"/>
        <v>-54017</v>
      </c>
      <c r="J44" s="20">
        <f t="shared" si="16"/>
        <v>-69847.8</v>
      </c>
      <c r="K44" s="20">
        <f t="shared" si="16"/>
        <v>-53048</v>
      </c>
      <c r="L44" s="20">
        <f t="shared" si="16"/>
        <v>-39759.4</v>
      </c>
      <c r="M44" s="20">
        <f t="shared" si="16"/>
        <v>-24734.2</v>
      </c>
      <c r="N44" s="47">
        <f t="shared" si="15"/>
        <v>-733810.4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7" ref="F45:M45">ROUND(F11*$D$3,2)</f>
        <v>0</v>
      </c>
      <c r="G45" s="20">
        <f t="shared" si="17"/>
        <v>0</v>
      </c>
      <c r="H45" s="20">
        <f t="shared" si="17"/>
        <v>0</v>
      </c>
      <c r="I45" s="20">
        <f t="shared" si="17"/>
        <v>0</v>
      </c>
      <c r="J45" s="20">
        <f t="shared" si="17"/>
        <v>0</v>
      </c>
      <c r="K45" s="20">
        <f t="shared" si="17"/>
        <v>0</v>
      </c>
      <c r="L45" s="20">
        <f t="shared" si="17"/>
        <v>0</v>
      </c>
      <c r="M45" s="20">
        <f t="shared" si="17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-209.72</v>
      </c>
      <c r="C46" s="26">
        <f aca="true" t="shared" si="18" ref="C46:M46">SUM(C47:C53)</f>
        <v>-119.84</v>
      </c>
      <c r="D46" s="26">
        <f t="shared" si="18"/>
        <v>-98.44</v>
      </c>
      <c r="E46" s="26">
        <f t="shared" si="18"/>
        <v>-42.8</v>
      </c>
      <c r="F46" s="26">
        <f t="shared" si="18"/>
        <v>-21.4</v>
      </c>
      <c r="G46" s="26">
        <f t="shared" si="18"/>
        <v>-55.64</v>
      </c>
      <c r="H46" s="26">
        <f t="shared" si="18"/>
        <v>0</v>
      </c>
      <c r="I46" s="26">
        <f t="shared" si="18"/>
        <v>-102.72</v>
      </c>
      <c r="J46" s="26">
        <f t="shared" si="18"/>
        <v>-205.44</v>
      </c>
      <c r="K46" s="26">
        <f t="shared" si="18"/>
        <v>-98.44</v>
      </c>
      <c r="L46" s="26">
        <f t="shared" si="18"/>
        <v>-85.6</v>
      </c>
      <c r="M46" s="26">
        <f t="shared" si="18"/>
        <v>-42.8</v>
      </c>
      <c r="N46" s="26">
        <f>SUM(N47:N53)</f>
        <v>-1082.84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5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5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5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5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5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5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5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70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5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5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72</v>
      </c>
      <c r="B57" s="29">
        <f aca="true" t="shared" si="19" ref="B57:M57">+B36+B42</f>
        <v>884840.69485814</v>
      </c>
      <c r="C57" s="29">
        <f t="shared" si="19"/>
        <v>597466.8432</v>
      </c>
      <c r="D57" s="29">
        <f t="shared" si="19"/>
        <v>575570.2588367</v>
      </c>
      <c r="E57" s="29">
        <f t="shared" si="19"/>
        <v>144345.65367519998</v>
      </c>
      <c r="F57" s="29">
        <f t="shared" si="19"/>
        <v>554339.56777205</v>
      </c>
      <c r="G57" s="29">
        <f t="shared" si="19"/>
        <v>691576.4708</v>
      </c>
      <c r="H57" s="29">
        <f t="shared" si="19"/>
        <v>766104.2099000001</v>
      </c>
      <c r="I57" s="29">
        <f t="shared" si="19"/>
        <v>691852.4359407999</v>
      </c>
      <c r="J57" s="29">
        <f t="shared" si="19"/>
        <v>542825.8475875</v>
      </c>
      <c r="K57" s="29">
        <f t="shared" si="19"/>
        <v>631206.9559704</v>
      </c>
      <c r="L57" s="29">
        <f t="shared" si="19"/>
        <v>313097.80728460994</v>
      </c>
      <c r="M57" s="29">
        <f t="shared" si="19"/>
        <v>172805.38908576002</v>
      </c>
      <c r="N57" s="29">
        <f>SUM(B57:M57)</f>
        <v>6566032.134911161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73</v>
      </c>
      <c r="B60" s="36">
        <f>SUM(B61:B74)</f>
        <v>884840.7</v>
      </c>
      <c r="C60" s="36">
        <f aca="true" t="shared" si="20" ref="C60:M60">SUM(C61:C74)</f>
        <v>597466.85</v>
      </c>
      <c r="D60" s="36">
        <f t="shared" si="20"/>
        <v>575570.25</v>
      </c>
      <c r="E60" s="36">
        <f t="shared" si="20"/>
        <v>144345.65</v>
      </c>
      <c r="F60" s="36">
        <f t="shared" si="20"/>
        <v>554339.57</v>
      </c>
      <c r="G60" s="36">
        <f t="shared" si="20"/>
        <v>691576.47</v>
      </c>
      <c r="H60" s="36">
        <f t="shared" si="20"/>
        <v>766104.21</v>
      </c>
      <c r="I60" s="36">
        <f t="shared" si="20"/>
        <v>691852.44</v>
      </c>
      <c r="J60" s="36">
        <f t="shared" si="20"/>
        <v>542825.85</v>
      </c>
      <c r="K60" s="36">
        <f t="shared" si="20"/>
        <v>631206.96</v>
      </c>
      <c r="L60" s="36">
        <f t="shared" si="20"/>
        <v>313097.81</v>
      </c>
      <c r="M60" s="36">
        <f t="shared" si="20"/>
        <v>172805.39</v>
      </c>
      <c r="N60" s="29">
        <f>SUM(N61:N74)</f>
        <v>6566032.149999998</v>
      </c>
    </row>
    <row r="61" spans="1:15" ht="18.75" customHeight="1">
      <c r="A61" s="17" t="s">
        <v>74</v>
      </c>
      <c r="B61" s="36">
        <v>180047.45</v>
      </c>
      <c r="C61" s="36">
        <v>173257.22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353304.67000000004</v>
      </c>
      <c r="O61"/>
    </row>
    <row r="62" spans="1:15" ht="18.75" customHeight="1">
      <c r="A62" s="17" t="s">
        <v>75</v>
      </c>
      <c r="B62" s="36">
        <v>704793.25</v>
      </c>
      <c r="C62" s="36">
        <v>424209.63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1" ref="N62:N73">SUM(B62:M62)</f>
        <v>1129002.88</v>
      </c>
      <c r="O62"/>
    </row>
    <row r="63" spans="1:16" ht="18.75" customHeight="1">
      <c r="A63" s="17" t="s">
        <v>76</v>
      </c>
      <c r="B63" s="35">
        <v>0</v>
      </c>
      <c r="C63" s="35">
        <v>0</v>
      </c>
      <c r="D63" s="26">
        <v>575570.25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1"/>
        <v>575570.25</v>
      </c>
      <c r="P63"/>
    </row>
    <row r="64" spans="1:17" ht="18.75" customHeight="1">
      <c r="A64" s="17" t="s">
        <v>77</v>
      </c>
      <c r="B64" s="35">
        <v>0</v>
      </c>
      <c r="C64" s="35">
        <v>0</v>
      </c>
      <c r="D64" s="35">
        <v>0</v>
      </c>
      <c r="E64" s="26">
        <v>144345.65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1"/>
        <v>144345.65</v>
      </c>
      <c r="Q64"/>
    </row>
    <row r="65" spans="1:18" ht="18.75" customHeight="1">
      <c r="A65" s="17" t="s">
        <v>78</v>
      </c>
      <c r="B65" s="35">
        <v>0</v>
      </c>
      <c r="C65" s="35">
        <v>0</v>
      </c>
      <c r="D65" s="35">
        <v>0</v>
      </c>
      <c r="E65" s="35">
        <v>0</v>
      </c>
      <c r="F65" s="26">
        <v>554339.57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1"/>
        <v>554339.57</v>
      </c>
      <c r="R65"/>
    </row>
    <row r="66" spans="1:19" ht="18.75" customHeight="1">
      <c r="A66" s="17" t="s">
        <v>79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691576.47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1"/>
        <v>691576.47</v>
      </c>
      <c r="S66"/>
    </row>
    <row r="67" spans="1:20" ht="18.75" customHeight="1">
      <c r="A67" s="17" t="s">
        <v>80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594383.51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1"/>
        <v>594383.51</v>
      </c>
      <c r="T67"/>
    </row>
    <row r="68" spans="1:20" ht="18.75" customHeight="1">
      <c r="A68" s="17" t="s">
        <v>81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171720.7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1"/>
        <v>171720.7</v>
      </c>
      <c r="T68"/>
    </row>
    <row r="69" spans="1:21" ht="18.75" customHeight="1">
      <c r="A69" s="17" t="s">
        <v>82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691852.44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1"/>
        <v>691852.44</v>
      </c>
      <c r="U69"/>
    </row>
    <row r="70" spans="1:22" ht="18.75" customHeight="1">
      <c r="A70" s="17" t="s">
        <v>83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542825.85</v>
      </c>
      <c r="K70" s="35">
        <v>0</v>
      </c>
      <c r="L70" s="35">
        <v>0</v>
      </c>
      <c r="M70" s="35">
        <v>0</v>
      </c>
      <c r="N70" s="29">
        <f t="shared" si="21"/>
        <v>542825.85</v>
      </c>
      <c r="V70"/>
    </row>
    <row r="71" spans="1:23" ht="18.75" customHeight="1">
      <c r="A71" s="17" t="s">
        <v>84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631206.96</v>
      </c>
      <c r="L71" s="35">
        <v>0</v>
      </c>
      <c r="M71" s="62"/>
      <c r="N71" s="26">
        <f t="shared" si="21"/>
        <v>631206.96</v>
      </c>
      <c r="W71"/>
    </row>
    <row r="72" spans="1:24" ht="18.75" customHeight="1">
      <c r="A72" s="17" t="s">
        <v>85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313097.81</v>
      </c>
      <c r="M72" s="35">
        <v>0</v>
      </c>
      <c r="N72" s="29">
        <f t="shared" si="21"/>
        <v>313097.81</v>
      </c>
      <c r="X72"/>
    </row>
    <row r="73" spans="1:25" ht="18.75" customHeight="1">
      <c r="A73" s="17" t="s">
        <v>86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172805.39</v>
      </c>
      <c r="N73" s="26">
        <f t="shared" si="21"/>
        <v>172805.39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87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88</v>
      </c>
      <c r="B78" s="45">
        <v>2.0906399927071493</v>
      </c>
      <c r="C78" s="45">
        <v>2.074953084964155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89</v>
      </c>
      <c r="B79" s="45">
        <v>1.8316736585918845</v>
      </c>
      <c r="C79" s="45">
        <v>1.7274117608557227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90</v>
      </c>
      <c r="B80" s="45">
        <v>0</v>
      </c>
      <c r="C80" s="45">
        <v>0</v>
      </c>
      <c r="D80" s="22">
        <f>(D$37+D$38+D$39)/D$7</f>
        <v>1.6812801060509692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91</v>
      </c>
      <c r="B81" s="45">
        <v>0</v>
      </c>
      <c r="C81" s="45">
        <v>0</v>
      </c>
      <c r="D81" s="45">
        <v>0</v>
      </c>
      <c r="E81" s="22">
        <f>(E$37+E$38+E$39)/E$7</f>
        <v>2.3376657719137897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92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1.9622916030021103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93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1.5544637968636617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94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1.8303926980799776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95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1.7895495823916678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96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1.777580103562918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97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2.002055002327481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98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1.9147304840882446</v>
      </c>
      <c r="L88" s="45">
        <v>0</v>
      </c>
      <c r="M88" s="45">
        <v>0</v>
      </c>
      <c r="N88" s="26"/>
      <c r="W88"/>
    </row>
    <row r="89" spans="1:24" ht="18.75" customHeight="1">
      <c r="A89" s="17" t="s">
        <v>99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2.2737204692779605</v>
      </c>
      <c r="M89" s="45">
        <v>0</v>
      </c>
      <c r="N89" s="63"/>
      <c r="X89"/>
    </row>
    <row r="90" spans="1:25" ht="18.75" customHeight="1">
      <c r="A90" s="34" t="s">
        <v>100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2.226380784325604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2016-05-04T18:41:11Z</dcterms:modified>
  <cp:category/>
  <cp:version/>
  <cp:contentType/>
  <cp:contentStatus/>
</cp:coreProperties>
</file>