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<sst xmlns="http://schemas.openxmlformats.org/spreadsheetml/2006/main" count="105" uniqueCount="103">
  <si>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</si>
  <si>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</si>
  <si>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</si>
  <si>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</si>
  <si>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</si>
  <si>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</si>
  <si>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</si>
  <si>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</si>
  <si>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</si>
  <si>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</si>
  <si>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</si>
  <si>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</si>
  <si>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</si>
  <si>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</si>
  <si>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</si>
  <si>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</si>
  <si>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</si>
  <si>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</si>
  <si>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</si>
  <si>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</si>
  <si>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</si>
  <si>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</si>
  <si>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</si>
  <si>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</si>
  <si>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</si>
  <si>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</si>
  <si>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</si>
  <si>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</si>
  <si>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</si>
  <si>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</si>
  <si>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</si>
  <si>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</si>
  <si>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</si>
  <si>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</si>
  <si>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</si>
  <si>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</si>
  <si>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</si>
  <si>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</si>
  <si>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</si>
  <si>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</si>
  <si>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</si>
  <si>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</si>
  <si>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</si>
  <si>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</si>
  <si>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</si>
  <si>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OPERAÇÃO 22/04/16 - VENCIMENTO 29/04/16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</si>
  <si>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</si>
  <si>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</si>
  <si>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</si>
  <si>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</si>
  <si>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</si>
  <si>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</si>
  <si>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</si>
  <si>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</si>
  <si>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</si>
  <si>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</si>
  <si>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</si>
  <si>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</si>
  <si>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</si>
  <si>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</si>
  <si>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</si>
  <si>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</si>
  <si>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</si>
  <si>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</si>
  <si>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</si>
  <si>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</si>
  <si>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</si>
  <si>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</si>
  <si>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</si>
  <si>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</si>
  <si>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</si>
  <si>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</si>
  <si>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</si>
  <si>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</si>
  <si>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</si>
  <si>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</si>
  <si>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</si>
  <si>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</si>
  <si>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</si>
  <si>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</si>
  <si>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</si>
  <si>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</si>
  <si>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</si>
  <si>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</si>
  <si>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</si>
  <si>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</si>
  <si>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</si>
  <si>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</si>
  <si>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</si>
  <si>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</si>
  <si>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</si>
  <si>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</si>
  <si>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</si>
  <si>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</si>
  <si>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</si>
  <si>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</si>
  <si>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</si>
  <si>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</si>
  <si>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5.3. Revisão de Remuneração pelo Transporte Coletivo (1)</t>
  </si>
  <si>
    <t>8. Tarifa de Remuneração por Passageiro (2)</t>
  </si>
  <si>
    <t>Nota: (1) Revisão de passageiros transportados, mês de março/2016, todas as áreas. Total de 602.495 passageiros.
                     Remuneração rede da madrugada (linhas noturnas), mês de março/2016, todas as áreas.  
           (2)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</si>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</sst>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669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669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6695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" width="9.00390625" style="1" customWidth="1"/>
    <col min="17" max="17" width="9.375" style="1" bestFit="1" customWidth="1"/>
    <col min="18" max="16384" width="9.00390625" style="1" customWidth="1"/>
  </cols>
  <sheetData>
    <row r="1" spans="1:14" ht="2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45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1</v>
      </c>
      <c r="B4" s="72" t="s">
        <v>42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2</v>
      </c>
    </row>
    <row r="5" spans="1:14" ht="42" customHeight="1">
      <c r="A5" s="72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2"/>
    </row>
    <row r="6" spans="1:14" ht="20.25" customHeight="1">
      <c r="A6" s="72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2"/>
    </row>
    <row r="7" spans="1:25" ht="18.75" customHeight="1">
      <c r="A7" s="9" t="s">
        <v>3</v>
      </c>
      <c r="B7" s="10">
        <f>B8+B20+B24</f>
        <v>411158</v>
      </c>
      <c r="C7" s="10">
        <f>C8+C20+C24</f>
        <v>295672</v>
      </c>
      <c r="D7" s="10">
        <f>D8+D20+D24</f>
        <v>307907</v>
      </c>
      <c r="E7" s="10">
        <f>E8+E20+E24</f>
        <v>53374</v>
      </c>
      <c r="F7" s="10">
        <f aca="true" t="shared" si="0" ref="F7:M7">F8+F20+F24</f>
        <v>243432</v>
      </c>
      <c r="G7" s="10">
        <f t="shared" si="0"/>
        <v>394493</v>
      </c>
      <c r="H7" s="10">
        <f t="shared" si="0"/>
        <v>365739</v>
      </c>
      <c r="I7" s="10">
        <f t="shared" si="0"/>
        <v>344444</v>
      </c>
      <c r="J7" s="10">
        <f t="shared" si="0"/>
        <v>248605</v>
      </c>
      <c r="K7" s="10">
        <f t="shared" si="0"/>
        <v>305560</v>
      </c>
      <c r="L7" s="10">
        <f t="shared" si="0"/>
        <v>120120</v>
      </c>
      <c r="M7" s="10">
        <f t="shared" si="0"/>
        <v>71484</v>
      </c>
      <c r="N7" s="10">
        <f>+N8+N20+N24</f>
        <v>3161988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187947</v>
      </c>
      <c r="C8" s="12">
        <f>+C9+C12+C16</f>
        <v>143705</v>
      </c>
      <c r="D8" s="12">
        <f>+D9+D12+D16</f>
        <v>165326</v>
      </c>
      <c r="E8" s="12">
        <f>+E9+E12+E16</f>
        <v>26277</v>
      </c>
      <c r="F8" s="12">
        <f aca="true" t="shared" si="1" ref="F8:M8">+F9+F12+F16</f>
        <v>119267</v>
      </c>
      <c r="G8" s="12">
        <f t="shared" si="1"/>
        <v>198609</v>
      </c>
      <c r="H8" s="12">
        <f t="shared" si="1"/>
        <v>181342</v>
      </c>
      <c r="I8" s="12">
        <f t="shared" si="1"/>
        <v>173600</v>
      </c>
      <c r="J8" s="12">
        <f t="shared" si="1"/>
        <v>126371</v>
      </c>
      <c r="K8" s="12">
        <f t="shared" si="1"/>
        <v>147206</v>
      </c>
      <c r="L8" s="12">
        <f t="shared" si="1"/>
        <v>64429</v>
      </c>
      <c r="M8" s="12">
        <f t="shared" si="1"/>
        <v>40276</v>
      </c>
      <c r="N8" s="12">
        <f>SUM(B8:M8)</f>
        <v>1574355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20162</v>
      </c>
      <c r="C9" s="14">
        <v>19575</v>
      </c>
      <c r="D9" s="14">
        <v>14357</v>
      </c>
      <c r="E9" s="14">
        <v>2485</v>
      </c>
      <c r="F9" s="14">
        <v>11330</v>
      </c>
      <c r="G9" s="14">
        <v>21458</v>
      </c>
      <c r="H9" s="14">
        <v>26122</v>
      </c>
      <c r="I9" s="14">
        <v>12945</v>
      </c>
      <c r="J9" s="14">
        <v>16870</v>
      </c>
      <c r="K9" s="14">
        <v>13307</v>
      </c>
      <c r="L9" s="14">
        <v>8635</v>
      </c>
      <c r="M9" s="14">
        <v>5492</v>
      </c>
      <c r="N9" s="12">
        <f aca="true" t="shared" si="2" ref="N9:N19">SUM(B9:M9)</f>
        <v>172738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20162</v>
      </c>
      <c r="C10" s="14">
        <f>+C9-C11</f>
        <v>19575</v>
      </c>
      <c r="D10" s="14">
        <f>+D9-D11</f>
        <v>14357</v>
      </c>
      <c r="E10" s="14">
        <f>+E9-E11</f>
        <v>2485</v>
      </c>
      <c r="F10" s="14">
        <f aca="true" t="shared" si="3" ref="F10:M10">+F9-F11</f>
        <v>11330</v>
      </c>
      <c r="G10" s="14">
        <f t="shared" si="3"/>
        <v>21458</v>
      </c>
      <c r="H10" s="14">
        <f t="shared" si="3"/>
        <v>26122</v>
      </c>
      <c r="I10" s="14">
        <f t="shared" si="3"/>
        <v>12945</v>
      </c>
      <c r="J10" s="14">
        <f t="shared" si="3"/>
        <v>16870</v>
      </c>
      <c r="K10" s="14">
        <f t="shared" si="3"/>
        <v>13307</v>
      </c>
      <c r="L10" s="14">
        <f t="shared" si="3"/>
        <v>8635</v>
      </c>
      <c r="M10" s="14">
        <f t="shared" si="3"/>
        <v>5492</v>
      </c>
      <c r="N10" s="12">
        <f t="shared" si="2"/>
        <v>172738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149597</v>
      </c>
      <c r="C12" s="14">
        <f>C13+C14+C15</f>
        <v>112130</v>
      </c>
      <c r="D12" s="14">
        <f>D13+D14+D15</f>
        <v>136997</v>
      </c>
      <c r="E12" s="14">
        <f>E13+E14+E15</f>
        <v>21468</v>
      </c>
      <c r="F12" s="14">
        <f aca="true" t="shared" si="4" ref="F12:M12">F13+F14+F15</f>
        <v>96988</v>
      </c>
      <c r="G12" s="14">
        <f t="shared" si="4"/>
        <v>158607</v>
      </c>
      <c r="H12" s="14">
        <f t="shared" si="4"/>
        <v>139359</v>
      </c>
      <c r="I12" s="14">
        <f t="shared" si="4"/>
        <v>143590</v>
      </c>
      <c r="J12" s="14">
        <f t="shared" si="4"/>
        <v>97766</v>
      </c>
      <c r="K12" s="14">
        <f t="shared" si="4"/>
        <v>118167</v>
      </c>
      <c r="L12" s="14">
        <f t="shared" si="4"/>
        <v>50503</v>
      </c>
      <c r="M12" s="14">
        <f t="shared" si="4"/>
        <v>32069</v>
      </c>
      <c r="N12" s="12">
        <f t="shared" si="2"/>
        <v>1257241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75107</v>
      </c>
      <c r="C13" s="14">
        <v>58179</v>
      </c>
      <c r="D13" s="14">
        <v>67590</v>
      </c>
      <c r="E13" s="14">
        <v>10928</v>
      </c>
      <c r="F13" s="14">
        <v>47935</v>
      </c>
      <c r="G13" s="14">
        <v>80305</v>
      </c>
      <c r="H13" s="14">
        <v>74446</v>
      </c>
      <c r="I13" s="14">
        <v>74724</v>
      </c>
      <c r="J13" s="14">
        <v>49263</v>
      </c>
      <c r="K13" s="14">
        <v>59114</v>
      </c>
      <c r="L13" s="14">
        <v>25106</v>
      </c>
      <c r="M13" s="14">
        <v>15380</v>
      </c>
      <c r="N13" s="12">
        <f t="shared" si="2"/>
        <v>638077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71993</v>
      </c>
      <c r="C14" s="14">
        <v>51227</v>
      </c>
      <c r="D14" s="14">
        <v>67591</v>
      </c>
      <c r="E14" s="14">
        <v>10070</v>
      </c>
      <c r="F14" s="14">
        <v>47047</v>
      </c>
      <c r="G14" s="14">
        <v>74128</v>
      </c>
      <c r="H14" s="14">
        <v>62061</v>
      </c>
      <c r="I14" s="14">
        <v>67049</v>
      </c>
      <c r="J14" s="14">
        <v>46706</v>
      </c>
      <c r="K14" s="14">
        <v>57288</v>
      </c>
      <c r="L14" s="14">
        <v>24555</v>
      </c>
      <c r="M14" s="14">
        <v>16273</v>
      </c>
      <c r="N14" s="12">
        <f t="shared" si="2"/>
        <v>595988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2497</v>
      </c>
      <c r="C15" s="14">
        <v>2724</v>
      </c>
      <c r="D15" s="14">
        <v>1816</v>
      </c>
      <c r="E15" s="14">
        <v>470</v>
      </c>
      <c r="F15" s="14">
        <v>2006</v>
      </c>
      <c r="G15" s="14">
        <v>4174</v>
      </c>
      <c r="H15" s="14">
        <v>2852</v>
      </c>
      <c r="I15" s="14">
        <v>1817</v>
      </c>
      <c r="J15" s="14">
        <v>1797</v>
      </c>
      <c r="K15" s="14">
        <v>1765</v>
      </c>
      <c r="L15" s="14">
        <v>842</v>
      </c>
      <c r="M15" s="14">
        <v>416</v>
      </c>
      <c r="N15" s="12">
        <f t="shared" si="2"/>
        <v>23176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18188</v>
      </c>
      <c r="C16" s="14">
        <f>C17+C18+C19</f>
        <v>12000</v>
      </c>
      <c r="D16" s="14">
        <f>D17+D18+D19</f>
        <v>13972</v>
      </c>
      <c r="E16" s="14">
        <f>E17+E18+E19</f>
        <v>2324</v>
      </c>
      <c r="F16" s="14">
        <f aca="true" t="shared" si="5" ref="F16:M16">F17+F18+F19</f>
        <v>10949</v>
      </c>
      <c r="G16" s="14">
        <f t="shared" si="5"/>
        <v>18544</v>
      </c>
      <c r="H16" s="14">
        <f t="shared" si="5"/>
        <v>15861</v>
      </c>
      <c r="I16" s="14">
        <f t="shared" si="5"/>
        <v>17065</v>
      </c>
      <c r="J16" s="14">
        <f t="shared" si="5"/>
        <v>11735</v>
      </c>
      <c r="K16" s="14">
        <f t="shared" si="5"/>
        <v>15732</v>
      </c>
      <c r="L16" s="14">
        <f t="shared" si="5"/>
        <v>5291</v>
      </c>
      <c r="M16" s="14">
        <f t="shared" si="5"/>
        <v>2715</v>
      </c>
      <c r="N16" s="12">
        <f t="shared" si="2"/>
        <v>144376</v>
      </c>
    </row>
    <row r="17" spans="1:25" ht="18.75" customHeight="1">
      <c r="A17" s="15" t="s">
        <v>16</v>
      </c>
      <c r="B17" s="14">
        <v>11723</v>
      </c>
      <c r="C17" s="14">
        <v>8592</v>
      </c>
      <c r="D17" s="14">
        <v>8329</v>
      </c>
      <c r="E17" s="14">
        <v>1564</v>
      </c>
      <c r="F17" s="14">
        <v>7269</v>
      </c>
      <c r="G17" s="14">
        <v>12382</v>
      </c>
      <c r="H17" s="14">
        <v>10462</v>
      </c>
      <c r="I17" s="14">
        <v>11042</v>
      </c>
      <c r="J17" s="14">
        <v>7461</v>
      </c>
      <c r="K17" s="14">
        <v>9901</v>
      </c>
      <c r="L17" s="14">
        <v>3376</v>
      </c>
      <c r="M17" s="14">
        <v>1673</v>
      </c>
      <c r="N17" s="12">
        <f t="shared" si="2"/>
        <v>93774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5590</v>
      </c>
      <c r="C18" s="14">
        <v>2580</v>
      </c>
      <c r="D18" s="14">
        <v>5104</v>
      </c>
      <c r="E18" s="14">
        <v>649</v>
      </c>
      <c r="F18" s="14">
        <v>3130</v>
      </c>
      <c r="G18" s="14">
        <v>4888</v>
      </c>
      <c r="H18" s="14">
        <v>4541</v>
      </c>
      <c r="I18" s="14">
        <v>5512</v>
      </c>
      <c r="J18" s="14">
        <v>3712</v>
      </c>
      <c r="K18" s="14">
        <v>5345</v>
      </c>
      <c r="L18" s="14">
        <v>1699</v>
      </c>
      <c r="M18" s="14">
        <v>942</v>
      </c>
      <c r="N18" s="12">
        <f t="shared" si="2"/>
        <v>43692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f>51772-B26</f>
        <v>875</v>
      </c>
      <c r="C19" s="14">
        <f>34213-C26</f>
        <v>828</v>
      </c>
      <c r="D19" s="14">
        <f>32125-D26</f>
        <v>539</v>
      </c>
      <c r="E19" s="14">
        <f>5936-E26</f>
        <v>111</v>
      </c>
      <c r="F19" s="14">
        <f>29027-F26</f>
        <v>550</v>
      </c>
      <c r="G19" s="14">
        <f>43497-G26</f>
        <v>1274</v>
      </c>
      <c r="H19" s="14">
        <f>34292-H26</f>
        <v>858</v>
      </c>
      <c r="I19" s="14">
        <f>37045-I26</f>
        <v>511</v>
      </c>
      <c r="J19" s="14">
        <f>25363-J26</f>
        <v>562</v>
      </c>
      <c r="K19" s="14">
        <f>30035-K26</f>
        <v>486</v>
      </c>
      <c r="L19" s="14">
        <f>9626-L26</f>
        <v>216</v>
      </c>
      <c r="M19" s="14">
        <f>5530-M26</f>
        <v>100</v>
      </c>
      <c r="N19" s="12">
        <f t="shared" si="2"/>
        <v>6910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111338</v>
      </c>
      <c r="C20" s="18">
        <f>C21+C22+C23</f>
        <v>68861</v>
      </c>
      <c r="D20" s="18">
        <f>D21+D22+D23</f>
        <v>64995</v>
      </c>
      <c r="E20" s="18">
        <f>E21+E22+E23</f>
        <v>11345</v>
      </c>
      <c r="F20" s="18">
        <f aca="true" t="shared" si="6" ref="F20:M20">F21+F22+F23</f>
        <v>52472</v>
      </c>
      <c r="G20" s="18">
        <f t="shared" si="6"/>
        <v>86247</v>
      </c>
      <c r="H20" s="18">
        <f t="shared" si="6"/>
        <v>92180</v>
      </c>
      <c r="I20" s="18">
        <f t="shared" si="6"/>
        <v>91011</v>
      </c>
      <c r="J20" s="18">
        <f t="shared" si="6"/>
        <v>59394</v>
      </c>
      <c r="K20" s="18">
        <f t="shared" si="6"/>
        <v>92885</v>
      </c>
      <c r="L20" s="18">
        <f t="shared" si="6"/>
        <v>34444</v>
      </c>
      <c r="M20" s="18">
        <f t="shared" si="6"/>
        <v>19883</v>
      </c>
      <c r="N20" s="12">
        <f aca="true" t="shared" si="7" ref="N20:N26">SUM(B20:M20)</f>
        <v>785055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60832</v>
      </c>
      <c r="C21" s="14">
        <v>40445</v>
      </c>
      <c r="D21" s="14">
        <v>37520</v>
      </c>
      <c r="E21" s="14">
        <v>6525</v>
      </c>
      <c r="F21" s="14">
        <v>30164</v>
      </c>
      <c r="G21" s="14">
        <v>49819</v>
      </c>
      <c r="H21" s="14">
        <v>55042</v>
      </c>
      <c r="I21" s="14">
        <v>52594</v>
      </c>
      <c r="J21" s="14">
        <v>33800</v>
      </c>
      <c r="K21" s="14">
        <v>50689</v>
      </c>
      <c r="L21" s="14">
        <v>18976</v>
      </c>
      <c r="M21" s="14">
        <v>10851</v>
      </c>
      <c r="N21" s="12">
        <f t="shared" si="7"/>
        <v>447257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48979</v>
      </c>
      <c r="C22" s="14">
        <v>27171</v>
      </c>
      <c r="D22" s="14">
        <v>26718</v>
      </c>
      <c r="E22" s="14">
        <v>4619</v>
      </c>
      <c r="F22" s="14">
        <v>21522</v>
      </c>
      <c r="G22" s="14">
        <v>34865</v>
      </c>
      <c r="H22" s="14">
        <v>35859</v>
      </c>
      <c r="I22" s="14">
        <v>37504</v>
      </c>
      <c r="J22" s="14">
        <v>24752</v>
      </c>
      <c r="K22" s="14">
        <v>41082</v>
      </c>
      <c r="L22" s="14">
        <v>15009</v>
      </c>
      <c r="M22" s="14">
        <v>8814</v>
      </c>
      <c r="N22" s="12">
        <f t="shared" si="7"/>
        <v>326894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1527</v>
      </c>
      <c r="C23" s="14">
        <v>1245</v>
      </c>
      <c r="D23" s="14">
        <v>757</v>
      </c>
      <c r="E23" s="14">
        <v>201</v>
      </c>
      <c r="F23" s="14">
        <v>786</v>
      </c>
      <c r="G23" s="14">
        <v>1563</v>
      </c>
      <c r="H23" s="14">
        <v>1279</v>
      </c>
      <c r="I23" s="14">
        <v>913</v>
      </c>
      <c r="J23" s="14">
        <v>842</v>
      </c>
      <c r="K23" s="14">
        <v>1114</v>
      </c>
      <c r="L23" s="14">
        <v>459</v>
      </c>
      <c r="M23" s="14">
        <v>218</v>
      </c>
      <c r="N23" s="12">
        <f t="shared" si="7"/>
        <v>10904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111873</v>
      </c>
      <c r="C24" s="14">
        <f>C25+C26</f>
        <v>83106</v>
      </c>
      <c r="D24" s="14">
        <f>D25+D26</f>
        <v>77586</v>
      </c>
      <c r="E24" s="14">
        <f>E25+E26</f>
        <v>15752</v>
      </c>
      <c r="F24" s="14">
        <f aca="true" t="shared" si="8" ref="F24:M24">F25+F26</f>
        <v>71693</v>
      </c>
      <c r="G24" s="14">
        <f t="shared" si="8"/>
        <v>109637</v>
      </c>
      <c r="H24" s="14">
        <f t="shared" si="8"/>
        <v>92217</v>
      </c>
      <c r="I24" s="14">
        <f t="shared" si="8"/>
        <v>79833</v>
      </c>
      <c r="J24" s="14">
        <f t="shared" si="8"/>
        <v>62840</v>
      </c>
      <c r="K24" s="14">
        <f t="shared" si="8"/>
        <v>65469</v>
      </c>
      <c r="L24" s="14">
        <f t="shared" si="8"/>
        <v>21247</v>
      </c>
      <c r="M24" s="14">
        <f t="shared" si="8"/>
        <v>11325</v>
      </c>
      <c r="N24" s="12">
        <f t="shared" si="7"/>
        <v>802578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101</v>
      </c>
      <c r="B25" s="14">
        <v>60976</v>
      </c>
      <c r="C25" s="14">
        <v>49721</v>
      </c>
      <c r="D25" s="14">
        <v>46000</v>
      </c>
      <c r="E25" s="14">
        <v>9927</v>
      </c>
      <c r="F25" s="14">
        <v>43216</v>
      </c>
      <c r="G25" s="14">
        <v>67414</v>
      </c>
      <c r="H25" s="14">
        <v>58783</v>
      </c>
      <c r="I25" s="14">
        <v>43299</v>
      </c>
      <c r="J25" s="14">
        <v>38039</v>
      </c>
      <c r="K25" s="14">
        <v>35920</v>
      </c>
      <c r="L25" s="14">
        <v>11837</v>
      </c>
      <c r="M25" s="14">
        <v>5895</v>
      </c>
      <c r="N25" s="12">
        <f t="shared" si="7"/>
        <v>471027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102</v>
      </c>
      <c r="B26" s="14">
        <f>30870+20027</f>
        <v>50897</v>
      </c>
      <c r="C26" s="14">
        <f>21538+11847</f>
        <v>33385</v>
      </c>
      <c r="D26" s="14">
        <f>22064+9522</f>
        <v>31586</v>
      </c>
      <c r="E26" s="14">
        <f>3911+1914</f>
        <v>5825</v>
      </c>
      <c r="F26" s="14">
        <f>20504+7973</f>
        <v>28477</v>
      </c>
      <c r="G26" s="14">
        <f>30152+12071</f>
        <v>42223</v>
      </c>
      <c r="H26" s="14">
        <f>24493+8941</f>
        <v>33434</v>
      </c>
      <c r="I26" s="14">
        <f>23720+12814</f>
        <v>36534</v>
      </c>
      <c r="J26" s="14">
        <f>16328+8473</f>
        <v>24801</v>
      </c>
      <c r="K26" s="14">
        <f>18405+11144</f>
        <v>29549</v>
      </c>
      <c r="L26" s="14">
        <f>5933+3477</f>
        <v>9410</v>
      </c>
      <c r="M26" s="14">
        <f>3520+1910</f>
        <v>5430</v>
      </c>
      <c r="N26" s="12">
        <f t="shared" si="7"/>
        <v>331551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46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47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2" t="s">
        <v>48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49</v>
      </c>
      <c r="B32" s="56">
        <v>3257.0800000000004</v>
      </c>
      <c r="C32" s="56">
        <v>2478.1200000000003</v>
      </c>
      <c r="D32" s="56">
        <v>2161.4</v>
      </c>
      <c r="E32" s="56">
        <v>646.2800000000001</v>
      </c>
      <c r="F32" s="56">
        <v>2161.4</v>
      </c>
      <c r="G32" s="56">
        <v>2662.1600000000003</v>
      </c>
      <c r="H32" s="56">
        <v>2897.56</v>
      </c>
      <c r="I32" s="56">
        <v>2546.6000000000004</v>
      </c>
      <c r="J32" s="56">
        <v>2118.6</v>
      </c>
      <c r="K32" s="56">
        <v>2602.2400000000002</v>
      </c>
      <c r="L32" s="56">
        <v>1271.16</v>
      </c>
      <c r="M32" s="56">
        <v>719.0400000000001</v>
      </c>
      <c r="N32" s="25">
        <f>SUM(B32:M32)</f>
        <v>25521.64</v>
      </c>
    </row>
    <row r="33" spans="1:25" ht="18.75" customHeight="1">
      <c r="A33" s="52" t="s">
        <v>50</v>
      </c>
      <c r="B33" s="58">
        <v>761</v>
      </c>
      <c r="C33" s="58">
        <v>579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51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52</v>
      </c>
      <c r="B36" s="60">
        <f>B37+B38+B39+B40</f>
        <v>772988.21672268</v>
      </c>
      <c r="C36" s="60">
        <f aca="true" t="shared" si="9" ref="C36:M36">C37+C38+C39+C40</f>
        <v>537230.4992</v>
      </c>
      <c r="D36" s="60">
        <f t="shared" si="9"/>
        <v>527963.7985453501</v>
      </c>
      <c r="E36" s="60">
        <f t="shared" si="9"/>
        <v>124896.5966816</v>
      </c>
      <c r="F36" s="60">
        <f t="shared" si="9"/>
        <v>478129.8827156</v>
      </c>
      <c r="G36" s="60">
        <f t="shared" si="9"/>
        <v>613810.7156000001</v>
      </c>
      <c r="H36" s="60">
        <f t="shared" si="9"/>
        <v>666677.2711</v>
      </c>
      <c r="I36" s="60">
        <f t="shared" si="9"/>
        <v>612733.2104391999</v>
      </c>
      <c r="J36" s="60">
        <f t="shared" si="9"/>
        <v>498118.9626515</v>
      </c>
      <c r="K36" s="60">
        <f t="shared" si="9"/>
        <v>585442.5886656</v>
      </c>
      <c r="L36" s="60">
        <f t="shared" si="9"/>
        <v>273406.79537159996</v>
      </c>
      <c r="M36" s="60">
        <f t="shared" si="9"/>
        <v>159290.46458304</v>
      </c>
      <c r="N36" s="60">
        <f>N37+N38+N39+N40</f>
        <v>5850689.00227617</v>
      </c>
    </row>
    <row r="37" spans="1:14" ht="18.75" customHeight="1">
      <c r="A37" s="57" t="s">
        <v>53</v>
      </c>
      <c r="B37" s="54">
        <f aca="true" t="shared" si="10" ref="B37:M37">B29*B7</f>
        <v>772278.0714</v>
      </c>
      <c r="C37" s="54">
        <f t="shared" si="10"/>
        <v>536526.4112</v>
      </c>
      <c r="D37" s="54">
        <f t="shared" si="10"/>
        <v>517591.667</v>
      </c>
      <c r="E37" s="54">
        <f t="shared" si="10"/>
        <v>124585.5908</v>
      </c>
      <c r="F37" s="54">
        <f t="shared" si="10"/>
        <v>477516.2112</v>
      </c>
      <c r="G37" s="54">
        <f t="shared" si="10"/>
        <v>613160.4699</v>
      </c>
      <c r="H37" s="54">
        <f t="shared" si="10"/>
        <v>665827.8495</v>
      </c>
      <c r="I37" s="54">
        <f t="shared" si="10"/>
        <v>612145.8768</v>
      </c>
      <c r="J37" s="54">
        <f t="shared" si="10"/>
        <v>497582.90750000003</v>
      </c>
      <c r="K37" s="54">
        <f t="shared" si="10"/>
        <v>584750.172</v>
      </c>
      <c r="L37" s="54">
        <f t="shared" si="10"/>
        <v>273020.74799999996</v>
      </c>
      <c r="M37" s="54">
        <f t="shared" si="10"/>
        <v>159094.7904</v>
      </c>
      <c r="N37" s="56">
        <f>SUM(B37:M37)</f>
        <v>5834080.7657</v>
      </c>
    </row>
    <row r="38" spans="1:14" ht="18.75" customHeight="1">
      <c r="A38" s="57" t="s">
        <v>54</v>
      </c>
      <c r="B38" s="54">
        <f aca="true" t="shared" si="11" ref="B38:M38">B30*B7</f>
        <v>-2546.93467732</v>
      </c>
      <c r="C38" s="54">
        <f t="shared" si="11"/>
        <v>-1774.032</v>
      </c>
      <c r="D38" s="54">
        <f t="shared" si="11"/>
        <v>-1708.8684546499999</v>
      </c>
      <c r="E38" s="54">
        <f t="shared" si="11"/>
        <v>-335.2741184</v>
      </c>
      <c r="F38" s="54">
        <f t="shared" si="11"/>
        <v>-1547.7284844</v>
      </c>
      <c r="G38" s="54">
        <f t="shared" si="11"/>
        <v>-2011.9143000000001</v>
      </c>
      <c r="H38" s="54">
        <f t="shared" si="11"/>
        <v>-2048.1384</v>
      </c>
      <c r="I38" s="54">
        <f t="shared" si="11"/>
        <v>-1959.2663608</v>
      </c>
      <c r="J38" s="54">
        <f t="shared" si="11"/>
        <v>-1582.5448485</v>
      </c>
      <c r="K38" s="54">
        <f t="shared" si="11"/>
        <v>-1909.8233344</v>
      </c>
      <c r="L38" s="54">
        <f t="shared" si="11"/>
        <v>-885.1126284</v>
      </c>
      <c r="M38" s="54">
        <f t="shared" si="11"/>
        <v>-523.36581696</v>
      </c>
      <c r="N38" s="25">
        <f>SUM(B38:M38)</f>
        <v>-18833.003423829996</v>
      </c>
    </row>
    <row r="39" spans="1:14" ht="18.75" customHeight="1">
      <c r="A39" s="57" t="s">
        <v>55</v>
      </c>
      <c r="B39" s="54">
        <f aca="true" t="shared" si="12" ref="B39:M39">B32</f>
        <v>3257.0800000000004</v>
      </c>
      <c r="C39" s="54">
        <f t="shared" si="12"/>
        <v>2478.1200000000003</v>
      </c>
      <c r="D39" s="54">
        <f t="shared" si="12"/>
        <v>2161.4</v>
      </c>
      <c r="E39" s="54">
        <f t="shared" si="12"/>
        <v>646.2800000000001</v>
      </c>
      <c r="F39" s="54">
        <f t="shared" si="12"/>
        <v>2161.4</v>
      </c>
      <c r="G39" s="54">
        <f t="shared" si="12"/>
        <v>2662.1600000000003</v>
      </c>
      <c r="H39" s="54">
        <f t="shared" si="12"/>
        <v>2897.56</v>
      </c>
      <c r="I39" s="54">
        <f t="shared" si="12"/>
        <v>2546.6000000000004</v>
      </c>
      <c r="J39" s="54">
        <f t="shared" si="12"/>
        <v>2118.6</v>
      </c>
      <c r="K39" s="54">
        <f t="shared" si="12"/>
        <v>2602.2400000000002</v>
      </c>
      <c r="L39" s="54">
        <f t="shared" si="12"/>
        <v>1271.16</v>
      </c>
      <c r="M39" s="54">
        <f t="shared" si="12"/>
        <v>719.0400000000001</v>
      </c>
      <c r="N39" s="56">
        <f>SUM(B39:M39)</f>
        <v>25521.64</v>
      </c>
    </row>
    <row r="40" spans="1:25" ht="18.75" customHeight="1">
      <c r="A40" s="2" t="s">
        <v>56</v>
      </c>
      <c r="B40" s="54">
        <v>0</v>
      </c>
      <c r="C40" s="54">
        <v>0</v>
      </c>
      <c r="D40" s="54">
        <v>9919.6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57</v>
      </c>
      <c r="B42" s="25">
        <f>+B43+B46+B54+B55</f>
        <v>2992.0599999999977</v>
      </c>
      <c r="C42" s="25">
        <f aca="true" t="shared" si="13" ref="C42:M42">+C43+C46+C54+C55</f>
        <v>77286.20000000001</v>
      </c>
      <c r="D42" s="25">
        <f t="shared" si="13"/>
        <v>-29973.3</v>
      </c>
      <c r="E42" s="25">
        <f t="shared" si="13"/>
        <v>-11281.93</v>
      </c>
      <c r="F42" s="25">
        <f t="shared" si="13"/>
        <v>366954.05</v>
      </c>
      <c r="G42" s="25">
        <f t="shared" si="13"/>
        <v>108742.84000000001</v>
      </c>
      <c r="H42" s="25">
        <f t="shared" si="13"/>
        <v>83183.00999999998</v>
      </c>
      <c r="I42" s="25">
        <f t="shared" si="13"/>
        <v>40890.56999999999</v>
      </c>
      <c r="J42" s="25">
        <f t="shared" si="13"/>
        <v>-16696.020000000004</v>
      </c>
      <c r="K42" s="25">
        <f t="shared" si="13"/>
        <v>68918.72</v>
      </c>
      <c r="L42" s="25">
        <f t="shared" si="13"/>
        <v>10092.330000000002</v>
      </c>
      <c r="M42" s="25">
        <f t="shared" si="13"/>
        <v>16684.040000000005</v>
      </c>
      <c r="N42" s="25">
        <f>+N43+N46+N54+N55</f>
        <v>717792.57</v>
      </c>
    </row>
    <row r="43" spans="1:14" ht="18.75" customHeight="1">
      <c r="A43" s="17" t="s">
        <v>58</v>
      </c>
      <c r="B43" s="26">
        <f>B44+B45</f>
        <v>-76615.6</v>
      </c>
      <c r="C43" s="26">
        <f>C44+C45</f>
        <v>-74385</v>
      </c>
      <c r="D43" s="26">
        <f>D44+D45</f>
        <v>-54556.6</v>
      </c>
      <c r="E43" s="26">
        <f>E44+E45</f>
        <v>-9443</v>
      </c>
      <c r="F43" s="26">
        <f aca="true" t="shared" si="14" ref="F43:M43">F44+F45</f>
        <v>-43054</v>
      </c>
      <c r="G43" s="26">
        <f t="shared" si="14"/>
        <v>-81540.4</v>
      </c>
      <c r="H43" s="26">
        <f t="shared" si="14"/>
        <v>-99263.6</v>
      </c>
      <c r="I43" s="26">
        <f t="shared" si="14"/>
        <v>-49191</v>
      </c>
      <c r="J43" s="26">
        <f t="shared" si="14"/>
        <v>-64106</v>
      </c>
      <c r="K43" s="26">
        <f t="shared" si="14"/>
        <v>-50566.6</v>
      </c>
      <c r="L43" s="26">
        <f t="shared" si="14"/>
        <v>-32813</v>
      </c>
      <c r="M43" s="26">
        <f t="shared" si="14"/>
        <v>-20869.6</v>
      </c>
      <c r="N43" s="25">
        <f aca="true" t="shared" si="15" ref="N43:N55">SUM(B43:M43)</f>
        <v>-656404.3999999999</v>
      </c>
    </row>
    <row r="44" spans="1:25" ht="18.75" customHeight="1">
      <c r="A44" s="13" t="s">
        <v>59</v>
      </c>
      <c r="B44" s="20">
        <f>ROUND(-B9*$D$3,2)</f>
        <v>-76615.6</v>
      </c>
      <c r="C44" s="20">
        <f>ROUND(-C9*$D$3,2)</f>
        <v>-74385</v>
      </c>
      <c r="D44" s="20">
        <f>ROUND(-D9*$D$3,2)</f>
        <v>-54556.6</v>
      </c>
      <c r="E44" s="20">
        <f>ROUND(-E9*$D$3,2)</f>
        <v>-9443</v>
      </c>
      <c r="F44" s="20">
        <f aca="true" t="shared" si="16" ref="F44:M44">ROUND(-F9*$D$3,2)</f>
        <v>-43054</v>
      </c>
      <c r="G44" s="20">
        <f t="shared" si="16"/>
        <v>-81540.4</v>
      </c>
      <c r="H44" s="20">
        <f t="shared" si="16"/>
        <v>-99263.6</v>
      </c>
      <c r="I44" s="20">
        <f t="shared" si="16"/>
        <v>-49191</v>
      </c>
      <c r="J44" s="20">
        <f t="shared" si="16"/>
        <v>-64106</v>
      </c>
      <c r="K44" s="20">
        <f t="shared" si="16"/>
        <v>-50566.6</v>
      </c>
      <c r="L44" s="20">
        <f t="shared" si="16"/>
        <v>-32813</v>
      </c>
      <c r="M44" s="20">
        <f t="shared" si="16"/>
        <v>-20869.6</v>
      </c>
      <c r="N44" s="46">
        <f t="shared" si="15"/>
        <v>-656404.3999999999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60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7" ref="F45:M45">ROUND(F11*$D$3,2)</f>
        <v>0</v>
      </c>
      <c r="G45" s="20">
        <f t="shared" si="17"/>
        <v>0</v>
      </c>
      <c r="H45" s="20">
        <f t="shared" si="17"/>
        <v>0</v>
      </c>
      <c r="I45" s="20">
        <f t="shared" si="17"/>
        <v>0</v>
      </c>
      <c r="J45" s="20">
        <f t="shared" si="17"/>
        <v>0</v>
      </c>
      <c r="K45" s="20">
        <f t="shared" si="17"/>
        <v>0</v>
      </c>
      <c r="L45" s="20">
        <f t="shared" si="17"/>
        <v>0</v>
      </c>
      <c r="M45" s="20">
        <f t="shared" si="17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61</v>
      </c>
      <c r="B46" s="26">
        <f>SUM(B47:B53)</f>
        <v>-10132.619999999999</v>
      </c>
      <c r="C46" s="26">
        <f aca="true" t="shared" si="18" ref="C46:M46">SUM(C47:C53)</f>
        <v>-7319.84</v>
      </c>
      <c r="D46" s="26">
        <f t="shared" si="18"/>
        <v>-2618.44</v>
      </c>
      <c r="E46" s="26">
        <f t="shared" si="18"/>
        <v>-23962.219999999998</v>
      </c>
      <c r="F46" s="26">
        <f t="shared" si="18"/>
        <v>-4233.4</v>
      </c>
      <c r="G46" s="26">
        <f t="shared" si="18"/>
        <v>-100.64</v>
      </c>
      <c r="H46" s="26">
        <f t="shared" si="18"/>
        <v>-4500</v>
      </c>
      <c r="I46" s="26">
        <f t="shared" si="18"/>
        <v>-102.72</v>
      </c>
      <c r="J46" s="26">
        <f t="shared" si="18"/>
        <v>-5263.44</v>
      </c>
      <c r="K46" s="26">
        <f t="shared" si="18"/>
        <v>-98.44</v>
      </c>
      <c r="L46" s="26">
        <f t="shared" si="18"/>
        <v>-4225.6</v>
      </c>
      <c r="M46" s="26">
        <f t="shared" si="18"/>
        <v>-1122.8</v>
      </c>
      <c r="N46" s="26">
        <f>SUM(N47:N53)</f>
        <v>-63680.159999999996</v>
      </c>
    </row>
    <row r="47" spans="1:25" ht="18.75" customHeight="1">
      <c r="A47" s="13" t="s">
        <v>62</v>
      </c>
      <c r="B47" s="24">
        <v>-9922.9</v>
      </c>
      <c r="C47" s="24">
        <v>-7200</v>
      </c>
      <c r="D47" s="24">
        <v>-2520</v>
      </c>
      <c r="E47" s="24">
        <v>-23919.42</v>
      </c>
      <c r="F47" s="24">
        <v>-4212</v>
      </c>
      <c r="G47" s="24">
        <v>-45</v>
      </c>
      <c r="H47" s="24">
        <v>-4500</v>
      </c>
      <c r="I47" s="24">
        <v>0</v>
      </c>
      <c r="J47" s="24">
        <v>-5058</v>
      </c>
      <c r="K47" s="24">
        <v>0</v>
      </c>
      <c r="L47" s="24">
        <v>-4140</v>
      </c>
      <c r="M47" s="24">
        <v>-1080</v>
      </c>
      <c r="N47" s="24">
        <f t="shared" si="15"/>
        <v>-62597.32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63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5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64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5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65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5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66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5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67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5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68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5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98</v>
      </c>
      <c r="B54" s="27">
        <v>89740.28</v>
      </c>
      <c r="C54" s="27">
        <v>158991.04</v>
      </c>
      <c r="D54" s="27">
        <v>27201.74</v>
      </c>
      <c r="E54" s="27">
        <v>22123.29</v>
      </c>
      <c r="F54" s="27">
        <v>414241.45</v>
      </c>
      <c r="G54" s="27">
        <v>190383.88</v>
      </c>
      <c r="H54" s="27">
        <v>186946.61</v>
      </c>
      <c r="I54" s="27">
        <v>90184.29</v>
      </c>
      <c r="J54" s="27">
        <v>52673.42</v>
      </c>
      <c r="K54" s="27">
        <v>119583.76</v>
      </c>
      <c r="L54" s="27">
        <v>47130.93</v>
      </c>
      <c r="M54" s="27">
        <v>38676.44</v>
      </c>
      <c r="N54" s="24">
        <f t="shared" si="15"/>
        <v>1437877.13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69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5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70</v>
      </c>
      <c r="B57" s="29">
        <f aca="true" t="shared" si="19" ref="B57:M57">+B36+B42</f>
        <v>775980.2767226801</v>
      </c>
      <c r="C57" s="29">
        <f t="shared" si="19"/>
        <v>614516.6991999999</v>
      </c>
      <c r="D57" s="29">
        <f t="shared" si="19"/>
        <v>497990.4985453501</v>
      </c>
      <c r="E57" s="29">
        <f t="shared" si="19"/>
        <v>113614.6666816</v>
      </c>
      <c r="F57" s="29">
        <f t="shared" si="19"/>
        <v>845083.9327156</v>
      </c>
      <c r="G57" s="29">
        <f t="shared" si="19"/>
        <v>722553.5556000001</v>
      </c>
      <c r="H57" s="29">
        <f t="shared" si="19"/>
        <v>749860.2811</v>
      </c>
      <c r="I57" s="29">
        <f t="shared" si="19"/>
        <v>653623.7804391999</v>
      </c>
      <c r="J57" s="29">
        <f t="shared" si="19"/>
        <v>481422.9426515</v>
      </c>
      <c r="K57" s="29">
        <f t="shared" si="19"/>
        <v>654361.3086656</v>
      </c>
      <c r="L57" s="29">
        <f t="shared" si="19"/>
        <v>283499.1253716</v>
      </c>
      <c r="M57" s="29">
        <f t="shared" si="19"/>
        <v>175974.50458304002</v>
      </c>
      <c r="N57" s="29">
        <f>SUM(B57:M57)</f>
        <v>6568481.572276169</v>
      </c>
      <c r="O57"/>
      <c r="P57"/>
      <c r="Q57"/>
      <c r="R57"/>
      <c r="S57"/>
      <c r="T57"/>
      <c r="U57"/>
      <c r="V57"/>
      <c r="W57"/>
      <c r="X57"/>
      <c r="Y57"/>
    </row>
    <row r="58" spans="1:17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  <c r="Q58" s="66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71</v>
      </c>
      <c r="B60" s="36">
        <f>SUM(B61:B74)</f>
        <v>775980.27</v>
      </c>
      <c r="C60" s="36">
        <f aca="true" t="shared" si="20" ref="C60:M60">SUM(C61:C74)</f>
        <v>614516.7</v>
      </c>
      <c r="D60" s="36">
        <f t="shared" si="20"/>
        <v>497990.49999999994</v>
      </c>
      <c r="E60" s="36">
        <f t="shared" si="20"/>
        <v>113614.67000000001</v>
      </c>
      <c r="F60" s="36">
        <f t="shared" si="20"/>
        <v>845083.9299999999</v>
      </c>
      <c r="G60" s="36">
        <f t="shared" si="20"/>
        <v>722553.56</v>
      </c>
      <c r="H60" s="36">
        <f t="shared" si="20"/>
        <v>749860.28</v>
      </c>
      <c r="I60" s="36">
        <f t="shared" si="20"/>
        <v>653623.77</v>
      </c>
      <c r="J60" s="36">
        <f t="shared" si="20"/>
        <v>481422.95</v>
      </c>
      <c r="K60" s="36">
        <f t="shared" si="20"/>
        <v>654361.31</v>
      </c>
      <c r="L60" s="36">
        <f t="shared" si="20"/>
        <v>283499.13</v>
      </c>
      <c r="M60" s="36">
        <f t="shared" si="20"/>
        <v>175974.5</v>
      </c>
      <c r="N60" s="29">
        <f>SUM(N61:N74)</f>
        <v>6568481.569999999</v>
      </c>
    </row>
    <row r="61" spans="1:15" ht="18.75" customHeight="1">
      <c r="A61" s="17" t="s">
        <v>72</v>
      </c>
      <c r="B61" s="36">
        <f>136189.07+11714.24</f>
        <v>147903.31</v>
      </c>
      <c r="C61" s="36">
        <f>138129.19+24895.72</f>
        <v>163024.91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310928.22</v>
      </c>
      <c r="O61"/>
    </row>
    <row r="62" spans="1:15" ht="18.75" customHeight="1">
      <c r="A62" s="17" t="s">
        <v>73</v>
      </c>
      <c r="B62" s="36">
        <f>550050.92+78026.04</f>
        <v>628076.9600000001</v>
      </c>
      <c r="C62" s="36">
        <f>317396.47+134095.32</f>
        <v>451491.79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1" ref="N62:N73">SUM(B62:M62)</f>
        <v>1079568.75</v>
      </c>
      <c r="O62"/>
    </row>
    <row r="63" spans="1:16" ht="18.75" customHeight="1">
      <c r="A63" s="17" t="s">
        <v>74</v>
      </c>
      <c r="B63" s="35">
        <v>0</v>
      </c>
      <c r="C63" s="35">
        <v>0</v>
      </c>
      <c r="D63" s="26">
        <f>460869.16+9919.6+27201.74</f>
        <v>497990.49999999994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1"/>
        <v>497990.49999999994</v>
      </c>
      <c r="P63"/>
    </row>
    <row r="64" spans="1:17" ht="18.75" customHeight="1">
      <c r="A64" s="17" t="s">
        <v>75</v>
      </c>
      <c r="B64" s="35">
        <v>0</v>
      </c>
      <c r="C64" s="35">
        <v>0</v>
      </c>
      <c r="D64" s="35">
        <v>0</v>
      </c>
      <c r="E64" s="26">
        <f>91491.38+22123.29</f>
        <v>113614.67000000001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1"/>
        <v>113614.67000000001</v>
      </c>
      <c r="Q64"/>
    </row>
    <row r="65" spans="1:18" ht="18.75" customHeight="1">
      <c r="A65" s="17" t="s">
        <v>76</v>
      </c>
      <c r="B65" s="35">
        <v>0</v>
      </c>
      <c r="C65" s="35">
        <v>0</v>
      </c>
      <c r="D65" s="35">
        <v>0</v>
      </c>
      <c r="E65" s="35">
        <v>0</v>
      </c>
      <c r="F65" s="26">
        <f>430842.48+414241.45</f>
        <v>845083.9299999999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1"/>
        <v>845083.9299999999</v>
      </c>
      <c r="R65"/>
    </row>
    <row r="66" spans="1:19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f>532169.68+190383.88</f>
        <v>722553.56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1"/>
        <v>722553.56</v>
      </c>
      <c r="S66"/>
    </row>
    <row r="67" spans="1:20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f>436593+185724.54</f>
        <v>622317.54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1"/>
        <v>622317.54</v>
      </c>
      <c r="T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126320.67+1222.07</f>
        <v>127542.74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1"/>
        <v>127542.74</v>
      </c>
      <c r="T68"/>
    </row>
    <row r="69" spans="1:21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f>563439.48+90184.29</f>
        <v>653623.77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1"/>
        <v>653623.77</v>
      </c>
      <c r="U69"/>
    </row>
    <row r="70" spans="1:22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428749.53+52673.42</f>
        <v>481422.95</v>
      </c>
      <c r="K70" s="35">
        <v>0</v>
      </c>
      <c r="L70" s="35">
        <v>0</v>
      </c>
      <c r="M70" s="35">
        <v>0</v>
      </c>
      <c r="N70" s="29">
        <f t="shared" si="21"/>
        <v>481422.95</v>
      </c>
      <c r="V70"/>
    </row>
    <row r="71" spans="1:23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534777.55+119583.76</f>
        <v>654361.31</v>
      </c>
      <c r="L71" s="35">
        <v>0</v>
      </c>
      <c r="M71" s="61"/>
      <c r="N71" s="26">
        <f t="shared" si="21"/>
        <v>654361.31</v>
      </c>
      <c r="W71"/>
    </row>
    <row r="72" spans="1:24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236368.2+47130.93</f>
        <v>283499.13</v>
      </c>
      <c r="M72" s="35">
        <v>0</v>
      </c>
      <c r="N72" s="29">
        <f t="shared" si="21"/>
        <v>283499.13</v>
      </c>
      <c r="X72"/>
    </row>
    <row r="73" spans="1:25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137298.06+38676.44</f>
        <v>175974.5</v>
      </c>
      <c r="N73" s="26">
        <f t="shared" si="21"/>
        <v>175974.5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99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85</v>
      </c>
      <c r="B78" s="44">
        <v>2.100796825352661</v>
      </c>
      <c r="C78" s="44">
        <v>2.0572388573451863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86</v>
      </c>
      <c r="B79" s="44">
        <v>1.8332529975595089</v>
      </c>
      <c r="C79" s="44">
        <v>1.7292623011824022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87</v>
      </c>
      <c r="B80" s="44">
        <v>0</v>
      </c>
      <c r="C80" s="44">
        <v>0</v>
      </c>
      <c r="D80" s="22">
        <f>(D$37+D$38+D$39)/D$7</f>
        <v>1.6824697020377908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88</v>
      </c>
      <c r="B81" s="44">
        <v>0</v>
      </c>
      <c r="C81" s="44">
        <v>0</v>
      </c>
      <c r="D81" s="44">
        <v>0</v>
      </c>
      <c r="E81" s="22">
        <f>(E$37+E$38+E$39)/E$7</f>
        <v>2.3400269172555928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89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1.9641209155558843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90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1.5559483073210427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91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1.8327712223803567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92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1.7911843362477853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93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1.7789051643785345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2.0036562524949217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1.9159660579447573</v>
      </c>
      <c r="L88" s="44">
        <v>0</v>
      </c>
      <c r="M88" s="44">
        <v>0</v>
      </c>
      <c r="N88" s="26"/>
      <c r="W88"/>
    </row>
    <row r="89" spans="1:24" ht="18.75" customHeight="1">
      <c r="A89" s="17" t="s">
        <v>96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2.276113847582417</v>
      </c>
      <c r="M89" s="44">
        <v>0</v>
      </c>
      <c r="N89" s="62"/>
      <c r="X89"/>
    </row>
    <row r="90" spans="1:25" ht="18.75" customHeight="1">
      <c r="A90" s="34" t="s">
        <v>97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2.2283373144065806</v>
      </c>
      <c r="N90" s="50"/>
      <c r="Y90"/>
    </row>
    <row r="91" spans="1:13" ht="55.5" customHeight="1">
      <c r="A91" s="67" t="s">
        <v>100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4" ht="14.25">
      <c r="B94" s="40"/>
    </row>
    <row r="95" ht="14.25">
      <c r="H95" s="41"/>
    </row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2016-05-04T13:46:06Z</dcterms:modified>
  <cp:category/>
  <cp:version/>
  <cp:contentType/>
  <cp:contentStatus/>
</cp:coreProperties>
</file>