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<sst xmlns="http://schemas.openxmlformats.org/spreadsheetml/2006/main" count="105" uniqueCount="103">
  <si>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</si>
  <si>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</si>
  <si>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</si>
  <si>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</si>
  <si>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</si>
  <si>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</si>
  <si>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</si>
  <si>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</si>
  <si>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</si>
  <si>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</si>
  <si>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</si>
  <si>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</si>
  <si>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</si>
  <si>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</si>
  <si>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</si>
  <si>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</si>
  <si>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</si>
  <si>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</si>
  <si>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</si>
  <si>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</si>
  <si>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</si>
  <si>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</si>
  <si>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</si>
  <si>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</si>
  <si>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</si>
  <si>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</si>
  <si>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</si>
  <si>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</si>
  <si>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</si>
  <si>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</si>
  <si>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</si>
  <si>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</si>
  <si>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</si>
  <si>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</si>
  <si>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</si>
  <si>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</si>
  <si>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</si>
  <si>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</si>
  <si>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</si>
  <si>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</si>
  <si>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</si>
  <si>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</si>
  <si>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</si>
  <si>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</si>
  <si>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</si>
  <si>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</si>
  <si>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21/04/16 - VENCIMENTO 28/04/16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</si>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</sst>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1</v>
      </c>
      <c r="B4" s="72" t="s">
        <v>42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2</v>
      </c>
    </row>
    <row r="5" spans="1:14" ht="42" customHeight="1">
      <c r="A5" s="72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2"/>
    </row>
    <row r="6" spans="1:14" ht="20.25" customHeight="1">
      <c r="A6" s="72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2"/>
    </row>
    <row r="7" spans="1:25" ht="18.75" customHeight="1">
      <c r="A7" s="9" t="s">
        <v>3</v>
      </c>
      <c r="B7" s="10">
        <f>B8+B20+B24</f>
        <v>245511</v>
      </c>
      <c r="C7" s="10">
        <f>C8+C20+C24</f>
        <v>164394</v>
      </c>
      <c r="D7" s="10">
        <f>D8+D20+D24</f>
        <v>195218</v>
      </c>
      <c r="E7" s="10">
        <f>E8+E20+E24</f>
        <v>32430</v>
      </c>
      <c r="F7" s="10">
        <f aca="true" t="shared" si="0" ref="F7:M7">F8+F20+F24</f>
        <v>164880</v>
      </c>
      <c r="G7" s="10">
        <f t="shared" si="0"/>
        <v>233367</v>
      </c>
      <c r="H7" s="10">
        <f t="shared" si="0"/>
        <v>210274</v>
      </c>
      <c r="I7" s="10">
        <f t="shared" si="0"/>
        <v>225284</v>
      </c>
      <c r="J7" s="10">
        <f t="shared" si="0"/>
        <v>153430</v>
      </c>
      <c r="K7" s="10">
        <f t="shared" si="0"/>
        <v>201770</v>
      </c>
      <c r="L7" s="10">
        <f t="shared" si="0"/>
        <v>69509</v>
      </c>
      <c r="M7" s="10">
        <f t="shared" si="0"/>
        <v>35520</v>
      </c>
      <c r="N7" s="10">
        <f>+N8+N20+N24</f>
        <v>1931587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111594</v>
      </c>
      <c r="C8" s="12">
        <f>+C9+C12+C16</f>
        <v>79455</v>
      </c>
      <c r="D8" s="12">
        <f>+D9+D12+D16</f>
        <v>99634</v>
      </c>
      <c r="E8" s="12">
        <f>+E9+E12+E16</f>
        <v>15514</v>
      </c>
      <c r="F8" s="12">
        <f aca="true" t="shared" si="1" ref="F8:M8">+F9+F12+F16</f>
        <v>81333</v>
      </c>
      <c r="G8" s="12">
        <f t="shared" si="1"/>
        <v>118094</v>
      </c>
      <c r="H8" s="12">
        <f t="shared" si="1"/>
        <v>107709</v>
      </c>
      <c r="I8" s="12">
        <f t="shared" si="1"/>
        <v>109703</v>
      </c>
      <c r="J8" s="12">
        <f t="shared" si="1"/>
        <v>78097</v>
      </c>
      <c r="K8" s="12">
        <f t="shared" si="1"/>
        <v>98315</v>
      </c>
      <c r="L8" s="12">
        <f t="shared" si="1"/>
        <v>37303</v>
      </c>
      <c r="M8" s="12">
        <f t="shared" si="1"/>
        <v>20034</v>
      </c>
      <c r="N8" s="12">
        <f>SUM(B8:M8)</f>
        <v>956785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15291</v>
      </c>
      <c r="C9" s="14">
        <v>14001</v>
      </c>
      <c r="D9" s="14">
        <v>12210</v>
      </c>
      <c r="E9" s="14">
        <v>1861</v>
      </c>
      <c r="F9" s="14">
        <v>10455</v>
      </c>
      <c r="G9" s="14">
        <v>17086</v>
      </c>
      <c r="H9" s="14">
        <v>19352</v>
      </c>
      <c r="I9" s="14">
        <v>10527</v>
      </c>
      <c r="J9" s="14">
        <v>12744</v>
      </c>
      <c r="K9" s="14">
        <v>11350</v>
      </c>
      <c r="L9" s="14">
        <v>5828</v>
      </c>
      <c r="M9" s="14">
        <v>3157</v>
      </c>
      <c r="N9" s="12">
        <f aca="true" t="shared" si="2" ref="N9:N19">SUM(B9:M9)</f>
        <v>133862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15291</v>
      </c>
      <c r="C10" s="14">
        <f>+C9-C11</f>
        <v>14001</v>
      </c>
      <c r="D10" s="14">
        <f>+D9-D11</f>
        <v>12210</v>
      </c>
      <c r="E10" s="14">
        <f>+E9-E11</f>
        <v>1861</v>
      </c>
      <c r="F10" s="14">
        <f aca="true" t="shared" si="3" ref="F10:M10">+F9-F11</f>
        <v>10455</v>
      </c>
      <c r="G10" s="14">
        <f t="shared" si="3"/>
        <v>17086</v>
      </c>
      <c r="H10" s="14">
        <f t="shared" si="3"/>
        <v>19352</v>
      </c>
      <c r="I10" s="14">
        <f t="shared" si="3"/>
        <v>10527</v>
      </c>
      <c r="J10" s="14">
        <f t="shared" si="3"/>
        <v>12744</v>
      </c>
      <c r="K10" s="14">
        <f t="shared" si="3"/>
        <v>11350</v>
      </c>
      <c r="L10" s="14">
        <f t="shared" si="3"/>
        <v>5828</v>
      </c>
      <c r="M10" s="14">
        <f t="shared" si="3"/>
        <v>3157</v>
      </c>
      <c r="N10" s="12">
        <f t="shared" si="2"/>
        <v>133862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84910</v>
      </c>
      <c r="C12" s="14">
        <f>C13+C14+C15</f>
        <v>58454</v>
      </c>
      <c r="D12" s="14">
        <f>D13+D14+D15</f>
        <v>79028</v>
      </c>
      <c r="E12" s="14">
        <f>E13+E14+E15</f>
        <v>12274</v>
      </c>
      <c r="F12" s="14">
        <f aca="true" t="shared" si="4" ref="F12:M12">F13+F14+F15</f>
        <v>63172</v>
      </c>
      <c r="G12" s="14">
        <f t="shared" si="4"/>
        <v>90056</v>
      </c>
      <c r="H12" s="14">
        <f t="shared" si="4"/>
        <v>79267</v>
      </c>
      <c r="I12" s="14">
        <f t="shared" si="4"/>
        <v>87811</v>
      </c>
      <c r="J12" s="14">
        <f t="shared" si="4"/>
        <v>57849</v>
      </c>
      <c r="K12" s="14">
        <f t="shared" si="4"/>
        <v>76055</v>
      </c>
      <c r="L12" s="14">
        <f t="shared" si="4"/>
        <v>28238</v>
      </c>
      <c r="M12" s="14">
        <f t="shared" si="4"/>
        <v>15527</v>
      </c>
      <c r="N12" s="12">
        <f t="shared" si="2"/>
        <v>732641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41693</v>
      </c>
      <c r="C13" s="14">
        <v>29876</v>
      </c>
      <c r="D13" s="14">
        <v>39212</v>
      </c>
      <c r="E13" s="14">
        <v>5988</v>
      </c>
      <c r="F13" s="14">
        <v>32740</v>
      </c>
      <c r="G13" s="14">
        <v>46739</v>
      </c>
      <c r="H13" s="14">
        <v>42315</v>
      </c>
      <c r="I13" s="14">
        <v>44385</v>
      </c>
      <c r="J13" s="14">
        <v>28042</v>
      </c>
      <c r="K13" s="14">
        <v>35656</v>
      </c>
      <c r="L13" s="14">
        <v>13056</v>
      </c>
      <c r="M13" s="14">
        <v>6931</v>
      </c>
      <c r="N13" s="12">
        <f t="shared" si="2"/>
        <v>366633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41787</v>
      </c>
      <c r="C14" s="14">
        <v>27000</v>
      </c>
      <c r="D14" s="14">
        <v>38701</v>
      </c>
      <c r="E14" s="14">
        <v>5977</v>
      </c>
      <c r="F14" s="14">
        <v>29155</v>
      </c>
      <c r="G14" s="14">
        <v>40769</v>
      </c>
      <c r="H14" s="14">
        <v>35207</v>
      </c>
      <c r="I14" s="14">
        <v>42322</v>
      </c>
      <c r="J14" s="14">
        <v>28715</v>
      </c>
      <c r="K14" s="14">
        <v>39350</v>
      </c>
      <c r="L14" s="14">
        <v>14686</v>
      </c>
      <c r="M14" s="14">
        <v>8362</v>
      </c>
      <c r="N14" s="12">
        <f t="shared" si="2"/>
        <v>352031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1430</v>
      </c>
      <c r="C15" s="14">
        <v>1578</v>
      </c>
      <c r="D15" s="14">
        <v>1115</v>
      </c>
      <c r="E15" s="14">
        <v>309</v>
      </c>
      <c r="F15" s="14">
        <v>1277</v>
      </c>
      <c r="G15" s="14">
        <v>2548</v>
      </c>
      <c r="H15" s="14">
        <v>1745</v>
      </c>
      <c r="I15" s="14">
        <v>1104</v>
      </c>
      <c r="J15" s="14">
        <v>1092</v>
      </c>
      <c r="K15" s="14">
        <v>1049</v>
      </c>
      <c r="L15" s="14">
        <v>496</v>
      </c>
      <c r="M15" s="14">
        <v>234</v>
      </c>
      <c r="N15" s="12">
        <f t="shared" si="2"/>
        <v>13977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11393</v>
      </c>
      <c r="C16" s="14">
        <f>C17+C18+C19</f>
        <v>7000</v>
      </c>
      <c r="D16" s="14">
        <f>D17+D18+D19</f>
        <v>8396</v>
      </c>
      <c r="E16" s="14">
        <f>E17+E18+E19</f>
        <v>1379</v>
      </c>
      <c r="F16" s="14">
        <f aca="true" t="shared" si="5" ref="F16:M16">F17+F18+F19</f>
        <v>7706</v>
      </c>
      <c r="G16" s="14">
        <f t="shared" si="5"/>
        <v>10952</v>
      </c>
      <c r="H16" s="14">
        <f t="shared" si="5"/>
        <v>9090</v>
      </c>
      <c r="I16" s="14">
        <f t="shared" si="5"/>
        <v>11365</v>
      </c>
      <c r="J16" s="14">
        <f t="shared" si="5"/>
        <v>7504</v>
      </c>
      <c r="K16" s="14">
        <f t="shared" si="5"/>
        <v>10910</v>
      </c>
      <c r="L16" s="14">
        <f t="shared" si="5"/>
        <v>3237</v>
      </c>
      <c r="M16" s="14">
        <f t="shared" si="5"/>
        <v>1350</v>
      </c>
      <c r="N16" s="12">
        <f t="shared" si="2"/>
        <v>90282</v>
      </c>
    </row>
    <row r="17" spans="1:25" ht="18.75" customHeight="1">
      <c r="A17" s="15" t="s">
        <v>16</v>
      </c>
      <c r="B17" s="14">
        <v>7690</v>
      </c>
      <c r="C17" s="14">
        <v>5017</v>
      </c>
      <c r="D17" s="14">
        <v>5158</v>
      </c>
      <c r="E17" s="14">
        <v>888</v>
      </c>
      <c r="F17" s="14">
        <v>5248</v>
      </c>
      <c r="G17" s="14">
        <v>7297</v>
      </c>
      <c r="H17" s="14">
        <v>6101</v>
      </c>
      <c r="I17" s="14">
        <v>7343</v>
      </c>
      <c r="J17" s="14">
        <v>4973</v>
      </c>
      <c r="K17" s="14">
        <v>6953</v>
      </c>
      <c r="L17" s="14">
        <v>2000</v>
      </c>
      <c r="M17" s="14">
        <v>791</v>
      </c>
      <c r="N17" s="12">
        <f t="shared" si="2"/>
        <v>59459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3183</v>
      </c>
      <c r="C18" s="14">
        <v>1496</v>
      </c>
      <c r="D18" s="14">
        <v>2891</v>
      </c>
      <c r="E18" s="14">
        <v>424</v>
      </c>
      <c r="F18" s="14">
        <v>2069</v>
      </c>
      <c r="G18" s="14">
        <v>2918</v>
      </c>
      <c r="H18" s="14">
        <v>2475</v>
      </c>
      <c r="I18" s="14">
        <v>3659</v>
      </c>
      <c r="J18" s="14">
        <v>2194</v>
      </c>
      <c r="K18" s="14">
        <v>3645</v>
      </c>
      <c r="L18" s="14">
        <v>1117</v>
      </c>
      <c r="M18" s="14">
        <v>512</v>
      </c>
      <c r="N18" s="12">
        <f t="shared" si="2"/>
        <v>26583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f>33422-B26</f>
        <v>520</v>
      </c>
      <c r="C19" s="14">
        <f>20981-C26</f>
        <v>487</v>
      </c>
      <c r="D19" s="14">
        <f>21628-D26</f>
        <v>347</v>
      </c>
      <c r="E19" s="14">
        <f>3921-E26</f>
        <v>67</v>
      </c>
      <c r="F19" s="14">
        <f>21053-F26</f>
        <v>389</v>
      </c>
      <c r="G19" s="14">
        <f>28145-G26</f>
        <v>737</v>
      </c>
      <c r="H19" s="14">
        <f>21909-H26</f>
        <v>514</v>
      </c>
      <c r="I19" s="14">
        <f>25694-I26</f>
        <v>363</v>
      </c>
      <c r="J19" s="14">
        <f>16775-J26</f>
        <v>337</v>
      </c>
      <c r="K19" s="14">
        <f>20302-K26</f>
        <v>312</v>
      </c>
      <c r="L19" s="14">
        <f>5841-L26</f>
        <v>120</v>
      </c>
      <c r="M19" s="14">
        <f>2974-M26</f>
        <v>47</v>
      </c>
      <c r="N19" s="12">
        <f t="shared" si="2"/>
        <v>4240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63128</v>
      </c>
      <c r="C20" s="18">
        <f>C21+C22+C23</f>
        <v>36270</v>
      </c>
      <c r="D20" s="18">
        <f>D21+D22+D23</f>
        <v>43991</v>
      </c>
      <c r="E20" s="18">
        <f>E21+E22+E23</f>
        <v>6945</v>
      </c>
      <c r="F20" s="18">
        <f aca="true" t="shared" si="6" ref="F20:M20">F21+F22+F23</f>
        <v>34682</v>
      </c>
      <c r="G20" s="18">
        <f t="shared" si="6"/>
        <v>47389</v>
      </c>
      <c r="H20" s="18">
        <f t="shared" si="6"/>
        <v>47033</v>
      </c>
      <c r="I20" s="18">
        <f t="shared" si="6"/>
        <v>60899</v>
      </c>
      <c r="J20" s="18">
        <f t="shared" si="6"/>
        <v>35798</v>
      </c>
      <c r="K20" s="18">
        <f t="shared" si="6"/>
        <v>60680</v>
      </c>
      <c r="L20" s="18">
        <f t="shared" si="6"/>
        <v>19224</v>
      </c>
      <c r="M20" s="18">
        <f t="shared" si="6"/>
        <v>9615</v>
      </c>
      <c r="N20" s="12">
        <f aca="true" t="shared" si="7" ref="N20:N26">SUM(B20:M20)</f>
        <v>465654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34026</v>
      </c>
      <c r="C21" s="14">
        <v>21720</v>
      </c>
      <c r="D21" s="14">
        <v>24129</v>
      </c>
      <c r="E21" s="14">
        <v>3844</v>
      </c>
      <c r="F21" s="14">
        <v>18947</v>
      </c>
      <c r="G21" s="14">
        <v>25679</v>
      </c>
      <c r="H21" s="14">
        <v>27132</v>
      </c>
      <c r="I21" s="14">
        <v>34167</v>
      </c>
      <c r="J21" s="14">
        <v>19526</v>
      </c>
      <c r="K21" s="14">
        <v>31637</v>
      </c>
      <c r="L21" s="14">
        <v>10375</v>
      </c>
      <c r="M21" s="14">
        <v>5078</v>
      </c>
      <c r="N21" s="12">
        <f t="shared" si="7"/>
        <v>256260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28332</v>
      </c>
      <c r="C22" s="14">
        <v>13951</v>
      </c>
      <c r="D22" s="14">
        <v>19357</v>
      </c>
      <c r="E22" s="14">
        <v>2983</v>
      </c>
      <c r="F22" s="14">
        <v>15191</v>
      </c>
      <c r="G22" s="14">
        <v>20737</v>
      </c>
      <c r="H22" s="14">
        <v>19216</v>
      </c>
      <c r="I22" s="14">
        <v>26165</v>
      </c>
      <c r="J22" s="14">
        <v>15765</v>
      </c>
      <c r="K22" s="14">
        <v>28347</v>
      </c>
      <c r="L22" s="14">
        <v>8632</v>
      </c>
      <c r="M22" s="14">
        <v>4442</v>
      </c>
      <c r="N22" s="12">
        <f t="shared" si="7"/>
        <v>203118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770</v>
      </c>
      <c r="C23" s="14">
        <v>599</v>
      </c>
      <c r="D23" s="14">
        <v>505</v>
      </c>
      <c r="E23" s="14">
        <v>118</v>
      </c>
      <c r="F23" s="14">
        <v>544</v>
      </c>
      <c r="G23" s="14">
        <v>973</v>
      </c>
      <c r="H23" s="14">
        <v>685</v>
      </c>
      <c r="I23" s="14">
        <v>567</v>
      </c>
      <c r="J23" s="14">
        <v>507</v>
      </c>
      <c r="K23" s="14">
        <v>696</v>
      </c>
      <c r="L23" s="14">
        <v>217</v>
      </c>
      <c r="M23" s="14">
        <v>95</v>
      </c>
      <c r="N23" s="12">
        <f t="shared" si="7"/>
        <v>6276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70789</v>
      </c>
      <c r="C24" s="14">
        <f>C25+C26</f>
        <v>48669</v>
      </c>
      <c r="D24" s="14">
        <f>D25+D26</f>
        <v>51593</v>
      </c>
      <c r="E24" s="14">
        <f>E25+E26</f>
        <v>9971</v>
      </c>
      <c r="F24" s="14">
        <f aca="true" t="shared" si="8" ref="F24:M24">F25+F26</f>
        <v>48865</v>
      </c>
      <c r="G24" s="14">
        <f t="shared" si="8"/>
        <v>67884</v>
      </c>
      <c r="H24" s="14">
        <f t="shared" si="8"/>
        <v>55532</v>
      </c>
      <c r="I24" s="14">
        <f t="shared" si="8"/>
        <v>54682</v>
      </c>
      <c r="J24" s="14">
        <f t="shared" si="8"/>
        <v>39535</v>
      </c>
      <c r="K24" s="14">
        <f t="shared" si="8"/>
        <v>42775</v>
      </c>
      <c r="L24" s="14">
        <f t="shared" si="8"/>
        <v>12982</v>
      </c>
      <c r="M24" s="14">
        <f t="shared" si="8"/>
        <v>5871</v>
      </c>
      <c r="N24" s="12">
        <f t="shared" si="7"/>
        <v>509148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101</v>
      </c>
      <c r="B25" s="14">
        <v>37887</v>
      </c>
      <c r="C25" s="14">
        <v>28175</v>
      </c>
      <c r="D25" s="14">
        <v>30312</v>
      </c>
      <c r="E25" s="14">
        <v>6117</v>
      </c>
      <c r="F25" s="14">
        <v>28201</v>
      </c>
      <c r="G25" s="14">
        <v>40476</v>
      </c>
      <c r="H25" s="14">
        <v>34137</v>
      </c>
      <c r="I25" s="14">
        <v>29351</v>
      </c>
      <c r="J25" s="14">
        <v>23097</v>
      </c>
      <c r="K25" s="14">
        <v>22785</v>
      </c>
      <c r="L25" s="14">
        <v>7261</v>
      </c>
      <c r="M25" s="14">
        <v>2944</v>
      </c>
      <c r="N25" s="12">
        <f t="shared" si="7"/>
        <v>290743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102</v>
      </c>
      <c r="B26" s="14">
        <f>20610+12292</f>
        <v>32902</v>
      </c>
      <c r="C26" s="14">
        <f>13568+6926</f>
        <v>20494</v>
      </c>
      <c r="D26" s="14">
        <f>14527+6754</f>
        <v>21281</v>
      </c>
      <c r="E26" s="14">
        <f>2576+1278</f>
        <v>3854</v>
      </c>
      <c r="F26" s="14">
        <f>15382+5282</f>
        <v>20664</v>
      </c>
      <c r="G26" s="14">
        <f>20325+7083</f>
        <v>27408</v>
      </c>
      <c r="H26" s="14">
        <f>16294+5101</f>
        <v>21395</v>
      </c>
      <c r="I26" s="14">
        <f>16352+8979</f>
        <v>25331</v>
      </c>
      <c r="J26" s="14">
        <f>11084+5354</f>
        <v>16438</v>
      </c>
      <c r="K26" s="14">
        <f>12660+7330</f>
        <v>19990</v>
      </c>
      <c r="L26" s="14">
        <f>3728+1993</f>
        <v>5721</v>
      </c>
      <c r="M26" s="14">
        <f>1984+943</f>
        <v>2927</v>
      </c>
      <c r="N26" s="12">
        <f t="shared" si="7"/>
        <v>218405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47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49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50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51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52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53</v>
      </c>
      <c r="B36" s="61">
        <f>B37+B38+B39+B40</f>
        <v>462879.56359006005</v>
      </c>
      <c r="C36" s="61">
        <f aca="true" t="shared" si="9" ref="C36:M36">C37+C38+C39+C40</f>
        <v>299801.10839999997</v>
      </c>
      <c r="D36" s="61">
        <f t="shared" si="9"/>
        <v>339159.00786089996</v>
      </c>
      <c r="E36" s="61">
        <f t="shared" si="9"/>
        <v>76140.673712</v>
      </c>
      <c r="F36" s="61">
        <f t="shared" si="9"/>
        <v>324541.709204</v>
      </c>
      <c r="G36" s="61">
        <f t="shared" si="9"/>
        <v>364194.31639999995</v>
      </c>
      <c r="H36" s="61">
        <f t="shared" si="9"/>
        <v>384523.8426</v>
      </c>
      <c r="I36" s="61">
        <f t="shared" si="9"/>
        <v>401639.86435119994</v>
      </c>
      <c r="J36" s="61">
        <f t="shared" si="9"/>
        <v>308232.055649</v>
      </c>
      <c r="K36" s="61">
        <f t="shared" si="9"/>
        <v>387468.3780752</v>
      </c>
      <c r="L36" s="61">
        <f t="shared" si="9"/>
        <v>158745.98416787</v>
      </c>
      <c r="M36" s="61">
        <f t="shared" si="9"/>
        <v>79512.2944512</v>
      </c>
      <c r="N36" s="61">
        <f>N37+N38+N39+N40</f>
        <v>3586838.79846143</v>
      </c>
    </row>
    <row r="37" spans="1:14" ht="18.75" customHeight="1">
      <c r="A37" s="58" t="s">
        <v>54</v>
      </c>
      <c r="B37" s="55">
        <f aca="true" t="shared" si="10" ref="B37:M37">B29*B7</f>
        <v>461143.3113</v>
      </c>
      <c r="C37" s="55">
        <f t="shared" si="10"/>
        <v>298309.3524</v>
      </c>
      <c r="D37" s="55">
        <f t="shared" si="10"/>
        <v>328161.458</v>
      </c>
      <c r="E37" s="55">
        <f t="shared" si="10"/>
        <v>75698.106</v>
      </c>
      <c r="F37" s="55">
        <f t="shared" si="10"/>
        <v>323428.608</v>
      </c>
      <c r="G37" s="55">
        <f t="shared" si="10"/>
        <v>362722.3281</v>
      </c>
      <c r="H37" s="55">
        <f t="shared" si="10"/>
        <v>382803.817</v>
      </c>
      <c r="I37" s="55">
        <f t="shared" si="10"/>
        <v>400374.72479999997</v>
      </c>
      <c r="J37" s="55">
        <f t="shared" si="10"/>
        <v>307090.145</v>
      </c>
      <c r="K37" s="55">
        <f t="shared" si="10"/>
        <v>386127.249</v>
      </c>
      <c r="L37" s="55">
        <f t="shared" si="10"/>
        <v>157987.0061</v>
      </c>
      <c r="M37" s="55">
        <f t="shared" si="10"/>
        <v>79053.312</v>
      </c>
      <c r="N37" s="57">
        <f>SUM(B37:M37)</f>
        <v>3562899.4176999996</v>
      </c>
    </row>
    <row r="38" spans="1:14" ht="18.75" customHeight="1">
      <c r="A38" s="58" t="s">
        <v>55</v>
      </c>
      <c r="B38" s="55">
        <f aca="true" t="shared" si="11" ref="B38:M38">B30*B7</f>
        <v>-1520.82770994</v>
      </c>
      <c r="C38" s="55">
        <f t="shared" si="11"/>
        <v>-986.364</v>
      </c>
      <c r="D38" s="55">
        <f t="shared" si="11"/>
        <v>-1083.4501391</v>
      </c>
      <c r="E38" s="55">
        <f t="shared" si="11"/>
        <v>-203.712288</v>
      </c>
      <c r="F38" s="55">
        <f t="shared" si="11"/>
        <v>-1048.298796</v>
      </c>
      <c r="G38" s="55">
        <f t="shared" si="11"/>
        <v>-1190.1717</v>
      </c>
      <c r="H38" s="55">
        <f t="shared" si="11"/>
        <v>-1177.5344</v>
      </c>
      <c r="I38" s="55">
        <f t="shared" si="11"/>
        <v>-1281.4604488</v>
      </c>
      <c r="J38" s="55">
        <f t="shared" si="11"/>
        <v>-976.689351</v>
      </c>
      <c r="K38" s="55">
        <f t="shared" si="11"/>
        <v>-1261.1109248</v>
      </c>
      <c r="L38" s="55">
        <f t="shared" si="11"/>
        <v>-512.18193213</v>
      </c>
      <c r="M38" s="55">
        <f t="shared" si="11"/>
        <v>-260.0575488</v>
      </c>
      <c r="N38" s="25">
        <f>SUM(B38:M38)</f>
        <v>-11501.85923857</v>
      </c>
    </row>
    <row r="39" spans="1:14" ht="18.75" customHeight="1">
      <c r="A39" s="58" t="s">
        <v>56</v>
      </c>
      <c r="B39" s="55">
        <f aca="true" t="shared" si="12" ref="B39:M39">B32</f>
        <v>3257.0800000000004</v>
      </c>
      <c r="C39" s="55">
        <f t="shared" si="12"/>
        <v>2478.1200000000003</v>
      </c>
      <c r="D39" s="55">
        <f t="shared" si="12"/>
        <v>2161.4</v>
      </c>
      <c r="E39" s="55">
        <f t="shared" si="12"/>
        <v>646.2800000000001</v>
      </c>
      <c r="F39" s="55">
        <f t="shared" si="12"/>
        <v>2161.4</v>
      </c>
      <c r="G39" s="55">
        <f t="shared" si="12"/>
        <v>2662.1600000000003</v>
      </c>
      <c r="H39" s="55">
        <f t="shared" si="12"/>
        <v>2897.56</v>
      </c>
      <c r="I39" s="55">
        <f t="shared" si="12"/>
        <v>2546.6000000000004</v>
      </c>
      <c r="J39" s="55">
        <f t="shared" si="12"/>
        <v>2118.6</v>
      </c>
      <c r="K39" s="55">
        <f t="shared" si="12"/>
        <v>2602.2400000000002</v>
      </c>
      <c r="L39" s="55">
        <f t="shared" si="12"/>
        <v>1271.16</v>
      </c>
      <c r="M39" s="55">
        <f t="shared" si="12"/>
        <v>719.0400000000001</v>
      </c>
      <c r="N39" s="57">
        <f>SUM(B39:M39)</f>
        <v>25521.64</v>
      </c>
    </row>
    <row r="40" spans="1:25" ht="18.75" customHeight="1">
      <c r="A40" s="2" t="s">
        <v>57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58</v>
      </c>
      <c r="B42" s="25">
        <f>+B43+B46+B54+B55</f>
        <v>-58315.520000000004</v>
      </c>
      <c r="C42" s="25">
        <f aca="true" t="shared" si="13" ref="C42:M42">+C43+C46+C54+C55</f>
        <v>-53323.64</v>
      </c>
      <c r="D42" s="25">
        <f t="shared" si="13"/>
        <v>-46496.44</v>
      </c>
      <c r="E42" s="25">
        <f t="shared" si="13"/>
        <v>-7114.6</v>
      </c>
      <c r="F42" s="25">
        <f t="shared" si="13"/>
        <v>-39750.4</v>
      </c>
      <c r="G42" s="25">
        <f t="shared" si="13"/>
        <v>-64982.44</v>
      </c>
      <c r="H42" s="25">
        <f t="shared" si="13"/>
        <v>-73537.6</v>
      </c>
      <c r="I42" s="25">
        <f t="shared" si="13"/>
        <v>-40105.32</v>
      </c>
      <c r="J42" s="25">
        <f t="shared" si="13"/>
        <v>-48632.64</v>
      </c>
      <c r="K42" s="25">
        <f t="shared" si="13"/>
        <v>-43228.44</v>
      </c>
      <c r="L42" s="25">
        <f t="shared" si="13"/>
        <v>-22232</v>
      </c>
      <c r="M42" s="25">
        <f t="shared" si="13"/>
        <v>-12039.4</v>
      </c>
      <c r="N42" s="25">
        <f>+N43+N46+N54+N55</f>
        <v>-509758.44000000006</v>
      </c>
    </row>
    <row r="43" spans="1:14" ht="18.75" customHeight="1">
      <c r="A43" s="17" t="s">
        <v>59</v>
      </c>
      <c r="B43" s="26">
        <f>B44+B45</f>
        <v>-58105.8</v>
      </c>
      <c r="C43" s="26">
        <f>C44+C45</f>
        <v>-53203.8</v>
      </c>
      <c r="D43" s="26">
        <f>D44+D45</f>
        <v>-46398</v>
      </c>
      <c r="E43" s="26">
        <f>E44+E45</f>
        <v>-7071.8</v>
      </c>
      <c r="F43" s="26">
        <f aca="true" t="shared" si="14" ref="F43:M43">F44+F45</f>
        <v>-39729</v>
      </c>
      <c r="G43" s="26">
        <f t="shared" si="14"/>
        <v>-64926.8</v>
      </c>
      <c r="H43" s="26">
        <f t="shared" si="14"/>
        <v>-73537.6</v>
      </c>
      <c r="I43" s="26">
        <f t="shared" si="14"/>
        <v>-40002.6</v>
      </c>
      <c r="J43" s="26">
        <f t="shared" si="14"/>
        <v>-48427.2</v>
      </c>
      <c r="K43" s="26">
        <f t="shared" si="14"/>
        <v>-43130</v>
      </c>
      <c r="L43" s="26">
        <f t="shared" si="14"/>
        <v>-22146.4</v>
      </c>
      <c r="M43" s="26">
        <f t="shared" si="14"/>
        <v>-11996.6</v>
      </c>
      <c r="N43" s="25">
        <f aca="true" t="shared" si="15" ref="N43:N55">SUM(B43:M43)</f>
        <v>-508675.60000000003</v>
      </c>
    </row>
    <row r="44" spans="1:25" ht="18.75" customHeight="1">
      <c r="A44" s="13" t="s">
        <v>60</v>
      </c>
      <c r="B44" s="20">
        <f>ROUND(-B9*$D$3,2)</f>
        <v>-58105.8</v>
      </c>
      <c r="C44" s="20">
        <f>ROUND(-C9*$D$3,2)</f>
        <v>-53203.8</v>
      </c>
      <c r="D44" s="20">
        <f>ROUND(-D9*$D$3,2)</f>
        <v>-46398</v>
      </c>
      <c r="E44" s="20">
        <f>ROUND(-E9*$D$3,2)</f>
        <v>-7071.8</v>
      </c>
      <c r="F44" s="20">
        <f aca="true" t="shared" si="16" ref="F44:M44">ROUND(-F9*$D$3,2)</f>
        <v>-39729</v>
      </c>
      <c r="G44" s="20">
        <f t="shared" si="16"/>
        <v>-64926.8</v>
      </c>
      <c r="H44" s="20">
        <f t="shared" si="16"/>
        <v>-73537.6</v>
      </c>
      <c r="I44" s="20">
        <f t="shared" si="16"/>
        <v>-40002.6</v>
      </c>
      <c r="J44" s="20">
        <f t="shared" si="16"/>
        <v>-48427.2</v>
      </c>
      <c r="K44" s="20">
        <f t="shared" si="16"/>
        <v>-43130</v>
      </c>
      <c r="L44" s="20">
        <f t="shared" si="16"/>
        <v>-22146.4</v>
      </c>
      <c r="M44" s="20">
        <f t="shared" si="16"/>
        <v>-11996.6</v>
      </c>
      <c r="N44" s="47">
        <f t="shared" si="15"/>
        <v>-508675.60000000003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7" ref="F45:M45">ROUND(F11*$D$3,2)</f>
        <v>0</v>
      </c>
      <c r="G45" s="20">
        <f t="shared" si="17"/>
        <v>0</v>
      </c>
      <c r="H45" s="20">
        <f t="shared" si="17"/>
        <v>0</v>
      </c>
      <c r="I45" s="20">
        <f t="shared" si="17"/>
        <v>0</v>
      </c>
      <c r="J45" s="20">
        <f t="shared" si="17"/>
        <v>0</v>
      </c>
      <c r="K45" s="20">
        <f t="shared" si="17"/>
        <v>0</v>
      </c>
      <c r="L45" s="20">
        <f t="shared" si="17"/>
        <v>0</v>
      </c>
      <c r="M45" s="20">
        <f t="shared" si="17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-209.72</v>
      </c>
      <c r="C46" s="26">
        <f aca="true" t="shared" si="18" ref="C46:M46">SUM(C47:C53)</f>
        <v>-119.84</v>
      </c>
      <c r="D46" s="26">
        <f t="shared" si="18"/>
        <v>-98.44</v>
      </c>
      <c r="E46" s="26">
        <f t="shared" si="18"/>
        <v>-42.8</v>
      </c>
      <c r="F46" s="26">
        <f t="shared" si="18"/>
        <v>-21.4</v>
      </c>
      <c r="G46" s="26">
        <f t="shared" si="18"/>
        <v>-55.64</v>
      </c>
      <c r="H46" s="26">
        <f t="shared" si="18"/>
        <v>0</v>
      </c>
      <c r="I46" s="26">
        <f t="shared" si="18"/>
        <v>-102.72</v>
      </c>
      <c r="J46" s="26">
        <f t="shared" si="18"/>
        <v>-205.44</v>
      </c>
      <c r="K46" s="26">
        <f t="shared" si="18"/>
        <v>-98.44</v>
      </c>
      <c r="L46" s="26">
        <f t="shared" si="18"/>
        <v>-85.6</v>
      </c>
      <c r="M46" s="26">
        <f t="shared" si="18"/>
        <v>-42.8</v>
      </c>
      <c r="N46" s="26">
        <f>SUM(N47:N53)</f>
        <v>-1082.84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5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5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5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5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5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5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5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5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5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72</v>
      </c>
      <c r="B57" s="29">
        <f aca="true" t="shared" si="19" ref="B57:M57">+B36+B42</f>
        <v>404564.04359006</v>
      </c>
      <c r="C57" s="29">
        <f t="shared" si="19"/>
        <v>246477.46839999995</v>
      </c>
      <c r="D57" s="29">
        <f t="shared" si="19"/>
        <v>292662.56786089996</v>
      </c>
      <c r="E57" s="29">
        <f t="shared" si="19"/>
        <v>69026.073712</v>
      </c>
      <c r="F57" s="29">
        <f t="shared" si="19"/>
        <v>284791.309204</v>
      </c>
      <c r="G57" s="29">
        <f t="shared" si="19"/>
        <v>299211.87639999995</v>
      </c>
      <c r="H57" s="29">
        <f t="shared" si="19"/>
        <v>310986.2426</v>
      </c>
      <c r="I57" s="29">
        <f t="shared" si="19"/>
        <v>361534.54435119993</v>
      </c>
      <c r="J57" s="29">
        <f t="shared" si="19"/>
        <v>259599.41564899997</v>
      </c>
      <c r="K57" s="29">
        <f t="shared" si="19"/>
        <v>344239.9380752</v>
      </c>
      <c r="L57" s="29">
        <f t="shared" si="19"/>
        <v>136513.98416787</v>
      </c>
      <c r="M57" s="29">
        <f t="shared" si="19"/>
        <v>67472.8944512</v>
      </c>
      <c r="N57" s="29">
        <f>SUM(B57:M57)</f>
        <v>3077080.3584614303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6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  <c r="P59" s="67"/>
    </row>
    <row r="60" spans="1:14" ht="18.75" customHeight="1">
      <c r="A60" s="2" t="s">
        <v>73</v>
      </c>
      <c r="B60" s="36">
        <f>SUM(B61:B74)</f>
        <v>404564.04000000004</v>
      </c>
      <c r="C60" s="36">
        <f aca="true" t="shared" si="20" ref="C60:M60">SUM(C61:C74)</f>
        <v>246477.47</v>
      </c>
      <c r="D60" s="36">
        <f t="shared" si="20"/>
        <v>292662.57</v>
      </c>
      <c r="E60" s="36">
        <f t="shared" si="20"/>
        <v>69026.08</v>
      </c>
      <c r="F60" s="36">
        <f t="shared" si="20"/>
        <v>284791.31</v>
      </c>
      <c r="G60" s="36">
        <f t="shared" si="20"/>
        <v>299211.88</v>
      </c>
      <c r="H60" s="36">
        <f t="shared" si="20"/>
        <v>310986.25</v>
      </c>
      <c r="I60" s="36">
        <f t="shared" si="20"/>
        <v>361534.54</v>
      </c>
      <c r="J60" s="36">
        <f t="shared" si="20"/>
        <v>259599.42</v>
      </c>
      <c r="K60" s="36">
        <f t="shared" si="20"/>
        <v>344239.94</v>
      </c>
      <c r="L60" s="36">
        <f t="shared" si="20"/>
        <v>136513.99</v>
      </c>
      <c r="M60" s="36">
        <f t="shared" si="20"/>
        <v>67472.89</v>
      </c>
      <c r="N60" s="29">
        <f>SUM(N61:N74)</f>
        <v>3077080.3800000004</v>
      </c>
    </row>
    <row r="61" spans="1:15" ht="18.75" customHeight="1">
      <c r="A61" s="17" t="s">
        <v>74</v>
      </c>
      <c r="B61" s="36">
        <v>78326.76</v>
      </c>
      <c r="C61" s="36">
        <v>71941.4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150268.15999999997</v>
      </c>
      <c r="O61"/>
    </row>
    <row r="62" spans="1:15" ht="18.75" customHeight="1">
      <c r="A62" s="17" t="s">
        <v>75</v>
      </c>
      <c r="B62" s="36">
        <v>326237.28</v>
      </c>
      <c r="C62" s="36">
        <v>174536.07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1" ref="N62:N73">SUM(B62:M62)</f>
        <v>500773.35000000003</v>
      </c>
      <c r="O62"/>
    </row>
    <row r="63" spans="1:16" ht="18.75" customHeight="1">
      <c r="A63" s="17" t="s">
        <v>76</v>
      </c>
      <c r="B63" s="35">
        <v>0</v>
      </c>
      <c r="C63" s="35">
        <v>0</v>
      </c>
      <c r="D63" s="26">
        <v>292662.57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1"/>
        <v>292662.57</v>
      </c>
      <c r="P63"/>
    </row>
    <row r="64" spans="1:17" ht="18.75" customHeight="1">
      <c r="A64" s="17" t="s">
        <v>77</v>
      </c>
      <c r="B64" s="35">
        <v>0</v>
      </c>
      <c r="C64" s="35">
        <v>0</v>
      </c>
      <c r="D64" s="35">
        <v>0</v>
      </c>
      <c r="E64" s="26">
        <v>69026.08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1"/>
        <v>69026.08</v>
      </c>
      <c r="Q64"/>
    </row>
    <row r="65" spans="1:18" ht="18.75" customHeight="1">
      <c r="A65" s="17" t="s">
        <v>78</v>
      </c>
      <c r="B65" s="35">
        <v>0</v>
      </c>
      <c r="C65" s="35">
        <v>0</v>
      </c>
      <c r="D65" s="35">
        <v>0</v>
      </c>
      <c r="E65" s="35">
        <v>0</v>
      </c>
      <c r="F65" s="26">
        <v>284791.31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1"/>
        <v>284791.31</v>
      </c>
      <c r="R65"/>
    </row>
    <row r="66" spans="1:19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299211.88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1"/>
        <v>299211.88</v>
      </c>
      <c r="S66"/>
    </row>
    <row r="67" spans="1:20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242372.01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1"/>
        <v>242372.01</v>
      </c>
      <c r="T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68614.24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1"/>
        <v>68614.24</v>
      </c>
      <c r="T68"/>
    </row>
    <row r="69" spans="1:21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361534.54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1"/>
        <v>361534.54</v>
      </c>
      <c r="U69"/>
    </row>
    <row r="70" spans="1:22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259599.42</v>
      </c>
      <c r="K70" s="35">
        <v>0</v>
      </c>
      <c r="L70" s="35">
        <v>0</v>
      </c>
      <c r="M70" s="35">
        <v>0</v>
      </c>
      <c r="N70" s="29">
        <f t="shared" si="21"/>
        <v>259599.42</v>
      </c>
      <c r="V70"/>
    </row>
    <row r="71" spans="1:23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344239.94</v>
      </c>
      <c r="L71" s="35">
        <v>0</v>
      </c>
      <c r="M71" s="62"/>
      <c r="N71" s="26">
        <f t="shared" si="21"/>
        <v>344239.94</v>
      </c>
      <c r="W71"/>
    </row>
    <row r="72" spans="1:24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136513.99</v>
      </c>
      <c r="M72" s="35">
        <v>0</v>
      </c>
      <c r="N72" s="29">
        <f t="shared" si="21"/>
        <v>136513.99</v>
      </c>
      <c r="X72"/>
    </row>
    <row r="73" spans="1:25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67472.89</v>
      </c>
      <c r="N73" s="26">
        <f t="shared" si="21"/>
        <v>67472.89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87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88</v>
      </c>
      <c r="B78" s="45">
        <v>2.1154084908158595</v>
      </c>
      <c r="C78" s="45">
        <v>2.0873917206256825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89</v>
      </c>
      <c r="B79" s="45">
        <v>1.838524934794972</v>
      </c>
      <c r="C79" s="45">
        <v>1.7353787770280695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90</v>
      </c>
      <c r="B80" s="45">
        <v>0</v>
      </c>
      <c r="C80" s="45">
        <v>0</v>
      </c>
      <c r="D80" s="22">
        <f>(D$37+D$38+D$39)/D$7</f>
        <v>1.6865217749433965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91</v>
      </c>
      <c r="B81" s="45">
        <v>0</v>
      </c>
      <c r="C81" s="45">
        <v>0</v>
      </c>
      <c r="D81" s="45">
        <v>0</v>
      </c>
      <c r="E81" s="22">
        <f>(E$37+E$38+E$39)/E$7</f>
        <v>2.347846861301264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92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1.9683509777049977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93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1.5606076111875284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94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1.8381016240266965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1.7972147232426636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96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1.7828157541201326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97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2.0089425513198202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98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1.920346821010061</v>
      </c>
      <c r="L88" s="45">
        <v>0</v>
      </c>
      <c r="M88" s="45">
        <v>0</v>
      </c>
      <c r="N88" s="26"/>
      <c r="W88"/>
    </row>
    <row r="89" spans="1:24" ht="18.75" customHeight="1">
      <c r="A89" s="17" t="s">
        <v>99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2.283819133750593</v>
      </c>
      <c r="M89" s="45">
        <v>0</v>
      </c>
      <c r="N89" s="63"/>
      <c r="X89"/>
    </row>
    <row r="90" spans="1:25" ht="18.75" customHeight="1">
      <c r="A90" s="34" t="s">
        <v>100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2.238521803243243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2016-05-04T12:58:08Z</dcterms:modified>
  <cp:category/>
  <cp:version/>
  <cp:contentType/>
  <cp:contentStatus/>
</cp:coreProperties>
</file>