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<sst xmlns="http://schemas.openxmlformats.org/spreadsheetml/2006/main" count="134" uniqueCount="134">
  <si>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</si>
  <si>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</si>
  <si>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</si>
  <si>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</si>
  <si>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</si>
  <si>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</si>
  <si>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</si>
  <si>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</si>
  <si>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</si>
  <si>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</si>
  <si>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</si>
  <si>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</si>
  <si>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</si>
  <si>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</si>
  <si>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</si>
  <si>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</si>
  <si>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</si>
  <si>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</si>
  <si>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</si>
  <si>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</si>
  <si>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</si>
  <si>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</si>
  <si>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</si>
  <si>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</si>
  <si>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</si>
  <si>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</si>
  <si>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</si>
  <si>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</si>
  <si>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</si>
  <si>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</si>
  <si>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</si>
  <si>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</si>
  <si>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</si>
  <si>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</si>
  <si>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</si>
  <si>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</si>
  <si>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</si>
  <si>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</si>
  <si>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</si>
  <si>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</si>
  <si>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</si>
  <si>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</si>
  <si>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</si>
  <si>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</si>
  <si>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</si>
  <si>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</si>
  <si>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</si>
  <si>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</si>
  <si>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</si>
  <si>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</si>
  <si>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</si>
  <si>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</si>
  <si>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</si>
  <si>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</si>
  <si>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</si>
  <si>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</si>
  <si>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</si>
  <si>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</si>
  <si>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</si>
  <si>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</si>
  <si>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</si>
  <si>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</si>
  <si>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</si>
  <si>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</si>
  <si>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</si>
  <si>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</si>
  <si>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</si>
  <si>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</si>
  <si>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</si>
  <si>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</si>
  <si>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</si>
  <si>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</si>
  <si>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</si>
  <si>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</si>
  <si>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</si>
  <si>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</si>
  <si>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</si>
  <si>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</si>
  <si>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</si>
  <si>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</si>
  <si>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</si>
  <si>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</si>
  <si>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</si>
  <si>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</si>
  <si>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</si>
  <si>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</si>
  <si>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</si>
  <si>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</si>
  <si>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</si>
  <si>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</si>
  <si>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</si>
  <si>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</si>
  <si>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</si>
  <si>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</si>
  <si>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</si>
  <si>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</si>
  <si>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</si>
  <si>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</si>
  <si>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</si>
  <si>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</si>
  <si>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</si>
  <si>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</si>
  <si>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</si>
  <si>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</si>
  <si>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</si>
  <si>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</si>
  <si>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</si>
  <si>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</si>
  <si>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</si>
  <si>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</si>
  <si>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</si>
  <si>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</si>
  <si>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</si>
  <si>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</si>
  <si>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</si>
  <si>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</si>
  <si>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</si>
  <si>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</si>
  <si>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</si>
  <si>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</si>
  <si>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</si>
  <si>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</si>
  <si>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</si>
  <si>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</si>
  <si>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</si>
  <si>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</si>
  <si>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</si>
  <si>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</si>
  <si>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</si>
  <si>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</si>
  <si>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</si>
  <si>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OPERAÇÃO 30/04/16 - VENCIMENTO 06/05/16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</si>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</sst>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2.00390625" style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350476</v>
      </c>
      <c r="C7" s="9">
        <f t="shared" si="0"/>
        <v>446892</v>
      </c>
      <c r="D7" s="9">
        <f t="shared" si="0"/>
        <v>491612</v>
      </c>
      <c r="E7" s="9">
        <f t="shared" si="0"/>
        <v>279963</v>
      </c>
      <c r="F7" s="9">
        <f t="shared" si="0"/>
        <v>418557</v>
      </c>
      <c r="G7" s="9">
        <f t="shared" si="0"/>
        <v>667458</v>
      </c>
      <c r="H7" s="9">
        <f t="shared" si="0"/>
        <v>276914</v>
      </c>
      <c r="I7" s="9">
        <f t="shared" si="0"/>
        <v>61967</v>
      </c>
      <c r="J7" s="9">
        <f t="shared" si="0"/>
        <v>197743</v>
      </c>
      <c r="K7" s="9">
        <f t="shared" si="0"/>
        <v>3191582</v>
      </c>
      <c r="L7" s="52"/>
    </row>
    <row r="8" spans="1:11" ht="17.25" customHeight="1">
      <c r="A8" s="10" t="s">
        <v>99</v>
      </c>
      <c r="B8" s="11">
        <f>B9+B12+B16</f>
        <v>174293</v>
      </c>
      <c r="C8" s="11">
        <f aca="true" t="shared" si="1" ref="C8:J8">C9+C12+C16</f>
        <v>231390</v>
      </c>
      <c r="D8" s="11">
        <f t="shared" si="1"/>
        <v>243040</v>
      </c>
      <c r="E8" s="11">
        <f t="shared" si="1"/>
        <v>146837</v>
      </c>
      <c r="F8" s="11">
        <f t="shared" si="1"/>
        <v>205471</v>
      </c>
      <c r="G8" s="11">
        <f t="shared" si="1"/>
        <v>329700</v>
      </c>
      <c r="H8" s="11">
        <f t="shared" si="1"/>
        <v>153565</v>
      </c>
      <c r="I8" s="11">
        <f t="shared" si="1"/>
        <v>28907</v>
      </c>
      <c r="J8" s="11">
        <f t="shared" si="1"/>
        <v>95967</v>
      </c>
      <c r="K8" s="11">
        <f>SUM(B8:J8)</f>
        <v>1609170</v>
      </c>
    </row>
    <row r="9" spans="1:11" ht="17.25" customHeight="1">
      <c r="A9" s="15" t="s">
        <v>17</v>
      </c>
      <c r="B9" s="13">
        <f>+B10+B11</f>
        <v>29562</v>
      </c>
      <c r="C9" s="13">
        <f aca="true" t="shared" si="2" ref="C9:J9">+C10+C11</f>
        <v>41663</v>
      </c>
      <c r="D9" s="13">
        <f t="shared" si="2"/>
        <v>39332</v>
      </c>
      <c r="E9" s="13">
        <f t="shared" si="2"/>
        <v>25763</v>
      </c>
      <c r="F9" s="13">
        <f t="shared" si="2"/>
        <v>29310</v>
      </c>
      <c r="G9" s="13">
        <f t="shared" si="2"/>
        <v>35451</v>
      </c>
      <c r="H9" s="13">
        <f t="shared" si="2"/>
        <v>30175</v>
      </c>
      <c r="I9" s="13">
        <f t="shared" si="2"/>
        <v>5890</v>
      </c>
      <c r="J9" s="13">
        <f t="shared" si="2"/>
        <v>14168</v>
      </c>
      <c r="K9" s="11">
        <f>SUM(B9:J9)</f>
        <v>251314</v>
      </c>
    </row>
    <row r="10" spans="1:11" ht="17.25" customHeight="1">
      <c r="A10" s="29" t="s">
        <v>18</v>
      </c>
      <c r="B10" s="13">
        <v>29562</v>
      </c>
      <c r="C10" s="13">
        <v>41663</v>
      </c>
      <c r="D10" s="13">
        <v>39332</v>
      </c>
      <c r="E10" s="13">
        <v>25763</v>
      </c>
      <c r="F10" s="13">
        <v>29310</v>
      </c>
      <c r="G10" s="13">
        <v>35451</v>
      </c>
      <c r="H10" s="13">
        <v>30175</v>
      </c>
      <c r="I10" s="13">
        <v>5890</v>
      </c>
      <c r="J10" s="13">
        <v>14168</v>
      </c>
      <c r="K10" s="11">
        <f>SUM(B10:J10)</f>
        <v>251314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127243</v>
      </c>
      <c r="C12" s="17">
        <f t="shared" si="3"/>
        <v>167836</v>
      </c>
      <c r="D12" s="17">
        <f t="shared" si="3"/>
        <v>180426</v>
      </c>
      <c r="E12" s="17">
        <f t="shared" si="3"/>
        <v>106860</v>
      </c>
      <c r="F12" s="17">
        <f t="shared" si="3"/>
        <v>152632</v>
      </c>
      <c r="G12" s="17">
        <f t="shared" si="3"/>
        <v>255354</v>
      </c>
      <c r="H12" s="17">
        <f t="shared" si="3"/>
        <v>109632</v>
      </c>
      <c r="I12" s="17">
        <f t="shared" si="3"/>
        <v>19898</v>
      </c>
      <c r="J12" s="17">
        <f t="shared" si="3"/>
        <v>72080</v>
      </c>
      <c r="K12" s="11">
        <f aca="true" t="shared" si="4" ref="K12:K27">SUM(B12:J12)</f>
        <v>1191961</v>
      </c>
    </row>
    <row r="13" spans="1:13" ht="17.25" customHeight="1">
      <c r="A13" s="14" t="s">
        <v>20</v>
      </c>
      <c r="B13" s="13">
        <v>63668</v>
      </c>
      <c r="C13" s="13">
        <v>89416</v>
      </c>
      <c r="D13" s="13">
        <v>96573</v>
      </c>
      <c r="E13" s="13">
        <v>56738</v>
      </c>
      <c r="F13" s="13">
        <v>77151</v>
      </c>
      <c r="G13" s="13">
        <v>120505</v>
      </c>
      <c r="H13" s="13">
        <v>51274</v>
      </c>
      <c r="I13" s="13">
        <v>11614</v>
      </c>
      <c r="J13" s="13">
        <v>38428</v>
      </c>
      <c r="K13" s="11">
        <f t="shared" si="4"/>
        <v>605367</v>
      </c>
      <c r="L13" s="52"/>
      <c r="M13" s="53"/>
    </row>
    <row r="14" spans="1:12" ht="17.25" customHeight="1">
      <c r="A14" s="14" t="s">
        <v>21</v>
      </c>
      <c r="B14" s="13">
        <v>59950</v>
      </c>
      <c r="C14" s="13">
        <v>73161</v>
      </c>
      <c r="D14" s="13">
        <v>79782</v>
      </c>
      <c r="E14" s="13">
        <v>46855</v>
      </c>
      <c r="F14" s="13">
        <v>72013</v>
      </c>
      <c r="G14" s="13">
        <v>129783</v>
      </c>
      <c r="H14" s="13">
        <v>53808</v>
      </c>
      <c r="I14" s="13">
        <v>7631</v>
      </c>
      <c r="J14" s="13">
        <v>32272</v>
      </c>
      <c r="K14" s="11">
        <f t="shared" si="4"/>
        <v>555255</v>
      </c>
      <c r="L14" s="52"/>
    </row>
    <row r="15" spans="1:11" ht="17.25" customHeight="1">
      <c r="A15" s="14" t="s">
        <v>22</v>
      </c>
      <c r="B15" s="13">
        <v>3625</v>
      </c>
      <c r="C15" s="13">
        <v>5259</v>
      </c>
      <c r="D15" s="13">
        <v>4071</v>
      </c>
      <c r="E15" s="13">
        <v>3267</v>
      </c>
      <c r="F15" s="13">
        <v>3468</v>
      </c>
      <c r="G15" s="13">
        <v>5066</v>
      </c>
      <c r="H15" s="13">
        <v>4550</v>
      </c>
      <c r="I15" s="13">
        <v>653</v>
      </c>
      <c r="J15" s="13">
        <v>1380</v>
      </c>
      <c r="K15" s="11">
        <f t="shared" si="4"/>
        <v>31339</v>
      </c>
    </row>
    <row r="16" spans="1:11" ht="17.25" customHeight="1">
      <c r="A16" s="15" t="s">
        <v>95</v>
      </c>
      <c r="B16" s="13">
        <f>B17+B18+B19</f>
        <v>17488</v>
      </c>
      <c r="C16" s="13">
        <f aca="true" t="shared" si="5" ref="C16:J16">C17+C18+C19</f>
        <v>21891</v>
      </c>
      <c r="D16" s="13">
        <f t="shared" si="5"/>
        <v>23282</v>
      </c>
      <c r="E16" s="13">
        <f t="shared" si="5"/>
        <v>14214</v>
      </c>
      <c r="F16" s="13">
        <f t="shared" si="5"/>
        <v>23529</v>
      </c>
      <c r="G16" s="13">
        <f t="shared" si="5"/>
        <v>38895</v>
      </c>
      <c r="H16" s="13">
        <f t="shared" si="5"/>
        <v>13758</v>
      </c>
      <c r="I16" s="13">
        <f t="shared" si="5"/>
        <v>3119</v>
      </c>
      <c r="J16" s="13">
        <f t="shared" si="5"/>
        <v>9719</v>
      </c>
      <c r="K16" s="11">
        <f t="shared" si="4"/>
        <v>165895</v>
      </c>
    </row>
    <row r="17" spans="1:11" ht="17.25" customHeight="1">
      <c r="A17" s="14" t="s">
        <v>96</v>
      </c>
      <c r="B17" s="13">
        <v>11710</v>
      </c>
      <c r="C17" s="13">
        <v>15705</v>
      </c>
      <c r="D17" s="13">
        <v>15827</v>
      </c>
      <c r="E17" s="13">
        <v>9575</v>
      </c>
      <c r="F17" s="13">
        <v>15354</v>
      </c>
      <c r="G17" s="13">
        <v>24302</v>
      </c>
      <c r="H17" s="13">
        <v>9484</v>
      </c>
      <c r="I17" s="13">
        <v>2288</v>
      </c>
      <c r="J17" s="13">
        <v>6320</v>
      </c>
      <c r="K17" s="11">
        <f t="shared" si="4"/>
        <v>110565</v>
      </c>
    </row>
    <row r="18" spans="1:11" ht="17.25" customHeight="1">
      <c r="A18" s="14" t="s">
        <v>97</v>
      </c>
      <c r="B18" s="13">
        <v>4645</v>
      </c>
      <c r="C18" s="13">
        <v>4578</v>
      </c>
      <c r="D18" s="13">
        <v>6378</v>
      </c>
      <c r="E18" s="13">
        <v>3825</v>
      </c>
      <c r="F18" s="13">
        <v>7141</v>
      </c>
      <c r="G18" s="13">
        <v>13049</v>
      </c>
      <c r="H18" s="13">
        <v>3202</v>
      </c>
      <c r="I18" s="13">
        <v>656</v>
      </c>
      <c r="J18" s="13">
        <v>2966</v>
      </c>
      <c r="K18" s="11">
        <f t="shared" si="4"/>
        <v>46440</v>
      </c>
    </row>
    <row r="19" spans="1:11" ht="17.25" customHeight="1">
      <c r="A19" s="14" t="s">
        <v>98</v>
      </c>
      <c r="B19" s="13">
        <f>39682-B26</f>
        <v>1133</v>
      </c>
      <c r="C19" s="13">
        <f>50132-C26</f>
        <v>1608</v>
      </c>
      <c r="D19" s="13">
        <f>49629-D26</f>
        <v>1077</v>
      </c>
      <c r="E19" s="13">
        <f>27517-E26</f>
        <v>814</v>
      </c>
      <c r="F19" s="13">
        <f>41158-F26</f>
        <v>1034</v>
      </c>
      <c r="G19" s="13">
        <f>58580-G26</f>
        <v>1544</v>
      </c>
      <c r="H19" s="13">
        <f>25214-H26</f>
        <v>1072</v>
      </c>
      <c r="I19" s="13">
        <f>5658-I26</f>
        <v>175</v>
      </c>
      <c r="J19" s="13">
        <f>22677-J26</f>
        <v>433</v>
      </c>
      <c r="K19" s="11">
        <f t="shared" si="4"/>
        <v>8890</v>
      </c>
    </row>
    <row r="20" spans="1:11" ht="17.25" customHeight="1">
      <c r="A20" s="16" t="s">
        <v>23</v>
      </c>
      <c r="B20" s="11">
        <f>+B21+B22+B23</f>
        <v>95513</v>
      </c>
      <c r="C20" s="11">
        <f aca="true" t="shared" si="6" ref="C20:J20">+C21+C22+C23</f>
        <v>106565</v>
      </c>
      <c r="D20" s="11">
        <f t="shared" si="6"/>
        <v>130082</v>
      </c>
      <c r="E20" s="11">
        <f t="shared" si="6"/>
        <v>68913</v>
      </c>
      <c r="F20" s="11">
        <f t="shared" si="6"/>
        <v>125712</v>
      </c>
      <c r="G20" s="11">
        <f t="shared" si="6"/>
        <v>223344</v>
      </c>
      <c r="H20" s="11">
        <f t="shared" si="6"/>
        <v>69162</v>
      </c>
      <c r="I20" s="11">
        <f t="shared" si="6"/>
        <v>16439</v>
      </c>
      <c r="J20" s="11">
        <f t="shared" si="6"/>
        <v>48671</v>
      </c>
      <c r="K20" s="11">
        <f t="shared" si="4"/>
        <v>884401</v>
      </c>
    </row>
    <row r="21" spans="1:12" ht="17.25" customHeight="1">
      <c r="A21" s="12" t="s">
        <v>24</v>
      </c>
      <c r="B21" s="13">
        <v>51961</v>
      </c>
      <c r="C21" s="13">
        <v>63276</v>
      </c>
      <c r="D21" s="13">
        <v>76172</v>
      </c>
      <c r="E21" s="13">
        <v>40186</v>
      </c>
      <c r="F21" s="13">
        <v>69402</v>
      </c>
      <c r="G21" s="13">
        <v>111624</v>
      </c>
      <c r="H21" s="13">
        <v>37569</v>
      </c>
      <c r="I21" s="13">
        <v>10398</v>
      </c>
      <c r="J21" s="13">
        <v>27925</v>
      </c>
      <c r="K21" s="11">
        <f t="shared" si="4"/>
        <v>488513</v>
      </c>
      <c r="L21" s="52"/>
    </row>
    <row r="22" spans="1:12" ht="17.25" customHeight="1">
      <c r="A22" s="12" t="s">
        <v>25</v>
      </c>
      <c r="B22" s="13">
        <v>41696</v>
      </c>
      <c r="C22" s="13">
        <v>41123</v>
      </c>
      <c r="D22" s="13">
        <v>51918</v>
      </c>
      <c r="E22" s="13">
        <v>27492</v>
      </c>
      <c r="F22" s="13">
        <v>54429</v>
      </c>
      <c r="G22" s="13">
        <v>108798</v>
      </c>
      <c r="H22" s="13">
        <v>30029</v>
      </c>
      <c r="I22" s="13">
        <v>5729</v>
      </c>
      <c r="J22" s="13">
        <v>20101</v>
      </c>
      <c r="K22" s="11">
        <f t="shared" si="4"/>
        <v>381315</v>
      </c>
      <c r="L22" s="52"/>
    </row>
    <row r="23" spans="1:11" ht="17.25" customHeight="1">
      <c r="A23" s="12" t="s">
        <v>26</v>
      </c>
      <c r="B23" s="13">
        <v>1856</v>
      </c>
      <c r="C23" s="13">
        <v>2166</v>
      </c>
      <c r="D23" s="13">
        <v>1992</v>
      </c>
      <c r="E23" s="13">
        <v>1235</v>
      </c>
      <c r="F23" s="13">
        <v>1881</v>
      </c>
      <c r="G23" s="13">
        <v>2922</v>
      </c>
      <c r="H23" s="13">
        <v>1564</v>
      </c>
      <c r="I23" s="13">
        <v>312</v>
      </c>
      <c r="J23" s="13">
        <v>645</v>
      </c>
      <c r="K23" s="11">
        <f t="shared" si="4"/>
        <v>14573</v>
      </c>
    </row>
    <row r="24" spans="1:11" ht="17.25" customHeight="1">
      <c r="A24" s="16" t="s">
        <v>27</v>
      </c>
      <c r="B24" s="13">
        <f>+B25+B26</f>
        <v>80670</v>
      </c>
      <c r="C24" s="13">
        <f aca="true" t="shared" si="7" ref="C24:J24">+C25+C26</f>
        <v>108937</v>
      </c>
      <c r="D24" s="13">
        <f t="shared" si="7"/>
        <v>118490</v>
      </c>
      <c r="E24" s="13">
        <f t="shared" si="7"/>
        <v>64213</v>
      </c>
      <c r="F24" s="13">
        <f t="shared" si="7"/>
        <v>87374</v>
      </c>
      <c r="G24" s="13">
        <f t="shared" si="7"/>
        <v>114414</v>
      </c>
      <c r="H24" s="13">
        <f t="shared" si="7"/>
        <v>50787</v>
      </c>
      <c r="I24" s="13">
        <f t="shared" si="7"/>
        <v>16621</v>
      </c>
      <c r="J24" s="13">
        <f t="shared" si="7"/>
        <v>53105</v>
      </c>
      <c r="K24" s="11">
        <f t="shared" si="4"/>
        <v>694611</v>
      </c>
    </row>
    <row r="25" spans="1:12" ht="17.25" customHeight="1">
      <c r="A25" s="12" t="s">
        <v>132</v>
      </c>
      <c r="B25" s="13">
        <v>42121</v>
      </c>
      <c r="C25" s="13">
        <v>60413</v>
      </c>
      <c r="D25" s="13">
        <v>69938</v>
      </c>
      <c r="E25" s="13">
        <v>37510</v>
      </c>
      <c r="F25" s="13">
        <v>47250</v>
      </c>
      <c r="G25" s="13">
        <v>57378</v>
      </c>
      <c r="H25" s="13">
        <v>26645</v>
      </c>
      <c r="I25" s="13">
        <v>11138</v>
      </c>
      <c r="J25" s="13">
        <v>30861</v>
      </c>
      <c r="K25" s="11">
        <f t="shared" si="4"/>
        <v>383254</v>
      </c>
      <c r="L25" s="52"/>
    </row>
    <row r="26" spans="1:12" ht="17.25" customHeight="1">
      <c r="A26" s="12" t="s">
        <v>133</v>
      </c>
      <c r="B26" s="13">
        <f>23551+14998</f>
        <v>38549</v>
      </c>
      <c r="C26" s="13">
        <f>32352+16172</f>
        <v>48524</v>
      </c>
      <c r="D26" s="13">
        <f>31459+17093</f>
        <v>48552</v>
      </c>
      <c r="E26" s="13">
        <f>17883+8820</f>
        <v>26703</v>
      </c>
      <c r="F26" s="13">
        <f>24521+15603</f>
        <v>40124</v>
      </c>
      <c r="G26" s="13">
        <f>33504+23532</f>
        <v>57036</v>
      </c>
      <c r="H26" s="13">
        <f>16101+8041</f>
        <v>24142</v>
      </c>
      <c r="I26" s="13">
        <f>3358+2125</f>
        <v>5483</v>
      </c>
      <c r="J26" s="13">
        <f>14353+7891</f>
        <v>22244</v>
      </c>
      <c r="K26" s="11">
        <f t="shared" si="4"/>
        <v>311357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3400</v>
      </c>
      <c r="I27" s="11">
        <v>0</v>
      </c>
      <c r="J27" s="11">
        <v>0</v>
      </c>
      <c r="K27" s="11">
        <f t="shared" si="4"/>
        <v>3400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2.5735</v>
      </c>
      <c r="C29" s="59">
        <f aca="true" t="shared" si="8" ref="C29:J29">SUM(C30:C33)</f>
        <v>2.9359224</v>
      </c>
      <c r="D29" s="59">
        <f t="shared" si="8"/>
        <v>3.3059000000000003</v>
      </c>
      <c r="E29" s="59">
        <f t="shared" si="8"/>
        <v>2.8112195499999997</v>
      </c>
      <c r="F29" s="59">
        <f t="shared" si="8"/>
        <v>2.7287999999999997</v>
      </c>
      <c r="G29" s="59">
        <f t="shared" si="8"/>
        <v>2.3476000000000004</v>
      </c>
      <c r="H29" s="59">
        <f t="shared" si="8"/>
        <v>2.6918</v>
      </c>
      <c r="I29" s="59">
        <f t="shared" si="8"/>
        <v>4.7789</v>
      </c>
      <c r="J29" s="59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21504.78</v>
      </c>
      <c r="I35" s="19">
        <v>0</v>
      </c>
      <c r="J35" s="19">
        <v>0</v>
      </c>
      <c r="K35" s="23">
        <f>SUM(B35:J35)</f>
        <v>21504.78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924115.74</v>
      </c>
      <c r="C47" s="22">
        <f aca="true" t="shared" si="12" ref="C47:H47">+C48+C57</f>
        <v>1340716.15</v>
      </c>
      <c r="D47" s="22">
        <f t="shared" si="12"/>
        <v>1656315.47</v>
      </c>
      <c r="E47" s="22">
        <f t="shared" si="12"/>
        <v>812249.95</v>
      </c>
      <c r="F47" s="22">
        <f t="shared" si="12"/>
        <v>1170075.06</v>
      </c>
      <c r="G47" s="22">
        <f t="shared" si="12"/>
        <v>1603382.25</v>
      </c>
      <c r="H47" s="22">
        <f t="shared" si="12"/>
        <v>789984.4900000001</v>
      </c>
      <c r="I47" s="22">
        <f>+I48+I57</f>
        <v>297199.81999999995</v>
      </c>
      <c r="J47" s="22">
        <f>+J48+J57</f>
        <v>576640.65</v>
      </c>
      <c r="K47" s="22">
        <f>SUM(B47:J47)</f>
        <v>9170679.58</v>
      </c>
    </row>
    <row r="48" spans="1:11" ht="17.25" customHeight="1">
      <c r="A48" s="16" t="s">
        <v>113</v>
      </c>
      <c r="B48" s="23">
        <f>SUM(B49:B56)</f>
        <v>906041.67</v>
      </c>
      <c r="C48" s="23">
        <f aca="true" t="shared" si="13" ref="C48:J48">SUM(C49:C56)</f>
        <v>1317813.96</v>
      </c>
      <c r="D48" s="23">
        <f t="shared" si="13"/>
        <v>1631605.8699999999</v>
      </c>
      <c r="E48" s="23">
        <f t="shared" si="13"/>
        <v>790482.86</v>
      </c>
      <c r="F48" s="23">
        <f t="shared" si="13"/>
        <v>1147439.86</v>
      </c>
      <c r="G48" s="23">
        <f t="shared" si="13"/>
        <v>1574354.48</v>
      </c>
      <c r="H48" s="23">
        <f t="shared" si="13"/>
        <v>770616.93</v>
      </c>
      <c r="I48" s="23">
        <f t="shared" si="13"/>
        <v>297199.81999999995</v>
      </c>
      <c r="J48" s="23">
        <f t="shared" si="13"/>
        <v>563016.1900000001</v>
      </c>
      <c r="K48" s="23">
        <f aca="true" t="shared" si="14" ref="K48:K57">SUM(B48:J48)</f>
        <v>8998571.64</v>
      </c>
    </row>
    <row r="49" spans="1:11" ht="17.25" customHeight="1">
      <c r="A49" s="34" t="s">
        <v>44</v>
      </c>
      <c r="B49" s="23">
        <f aca="true" t="shared" si="15" ref="B49:H49">ROUND(B30*B7,2)</f>
        <v>903632.27</v>
      </c>
      <c r="C49" s="23">
        <f t="shared" si="15"/>
        <v>1311315.2</v>
      </c>
      <c r="D49" s="23">
        <f t="shared" si="15"/>
        <v>1627678.17</v>
      </c>
      <c r="E49" s="23">
        <f t="shared" si="15"/>
        <v>788319.82</v>
      </c>
      <c r="F49" s="23">
        <f t="shared" si="15"/>
        <v>1144125.56</v>
      </c>
      <c r="G49" s="23">
        <f t="shared" si="15"/>
        <v>1569527.49</v>
      </c>
      <c r="H49" s="23">
        <f t="shared" si="15"/>
        <v>746670.91</v>
      </c>
      <c r="I49" s="23">
        <f>ROUND(I30*I7,2)</f>
        <v>296134.1</v>
      </c>
      <c r="J49" s="23">
        <f>ROUND(J30*J7,2)</f>
        <v>560799.15</v>
      </c>
      <c r="K49" s="23">
        <f t="shared" si="14"/>
        <v>8948202.67</v>
      </c>
    </row>
    <row r="50" spans="1:11" ht="17.25" customHeight="1">
      <c r="A50" s="34" t="s">
        <v>45</v>
      </c>
      <c r="B50" s="19">
        <v>0</v>
      </c>
      <c r="C50" s="23">
        <f>ROUND(C31*C7,2)</f>
        <v>2914.81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2914.81</v>
      </c>
    </row>
    <row r="51" spans="1:11" ht="17.25" customHeight="1">
      <c r="A51" s="67" t="s">
        <v>106</v>
      </c>
      <c r="B51" s="68">
        <f aca="true" t="shared" si="16" ref="B51:H51">ROUND(B32*B7,2)</f>
        <v>-1682.28</v>
      </c>
      <c r="C51" s="68">
        <f t="shared" si="16"/>
        <v>-2189.77</v>
      </c>
      <c r="D51" s="68">
        <f t="shared" si="16"/>
        <v>-2458.06</v>
      </c>
      <c r="E51" s="68">
        <f t="shared" si="16"/>
        <v>-1282.36</v>
      </c>
      <c r="F51" s="68">
        <f t="shared" si="16"/>
        <v>-1967.22</v>
      </c>
      <c r="G51" s="68">
        <f t="shared" si="16"/>
        <v>-2603.09</v>
      </c>
      <c r="H51" s="68">
        <f t="shared" si="16"/>
        <v>-1273.8</v>
      </c>
      <c r="I51" s="19">
        <v>0</v>
      </c>
      <c r="J51" s="19">
        <v>0</v>
      </c>
      <c r="K51" s="68">
        <f>SUM(B51:J51)</f>
        <v>-13456.58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21504.78</v>
      </c>
      <c r="I53" s="31">
        <f>+I35</f>
        <v>0</v>
      </c>
      <c r="J53" s="31">
        <f>+J35</f>
        <v>0</v>
      </c>
      <c r="K53" s="23">
        <f t="shared" si="14"/>
        <v>21504.78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4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-85796</v>
      </c>
      <c r="C61" s="35">
        <f t="shared" si="17"/>
        <v>-175470.69</v>
      </c>
      <c r="D61" s="35">
        <f t="shared" si="17"/>
        <v>-166476.82</v>
      </c>
      <c r="E61" s="35">
        <f t="shared" si="17"/>
        <v>-113124.17</v>
      </c>
      <c r="F61" s="35">
        <f t="shared" si="17"/>
        <v>-76811.84</v>
      </c>
      <c r="G61" s="35">
        <f t="shared" si="17"/>
        <v>-155185.77</v>
      </c>
      <c r="H61" s="35">
        <f t="shared" si="17"/>
        <v>-115698.23</v>
      </c>
      <c r="I61" s="35">
        <f t="shared" si="17"/>
        <v>-30187.34</v>
      </c>
      <c r="J61" s="35">
        <f t="shared" si="17"/>
        <v>-53838.4</v>
      </c>
      <c r="K61" s="35">
        <f>SUM(B61:J61)</f>
        <v>-972589.26</v>
      </c>
    </row>
    <row r="62" spans="1:11" ht="18.75" customHeight="1">
      <c r="A62" s="16" t="s">
        <v>75</v>
      </c>
      <c r="B62" s="35">
        <f aca="true" t="shared" si="18" ref="B62:J62">B63+B64+B65+B66+B67+B68</f>
        <v>-112335.6</v>
      </c>
      <c r="C62" s="35">
        <f t="shared" si="18"/>
        <v>-158319.4</v>
      </c>
      <c r="D62" s="35">
        <f t="shared" si="18"/>
        <v>-149461.6</v>
      </c>
      <c r="E62" s="35">
        <f t="shared" si="18"/>
        <v>-97899.4</v>
      </c>
      <c r="F62" s="35">
        <f t="shared" si="18"/>
        <v>-111378</v>
      </c>
      <c r="G62" s="35">
        <f t="shared" si="18"/>
        <v>-134713.8</v>
      </c>
      <c r="H62" s="35">
        <f t="shared" si="18"/>
        <v>-114665</v>
      </c>
      <c r="I62" s="35">
        <f t="shared" si="18"/>
        <v>-22382</v>
      </c>
      <c r="J62" s="35">
        <f t="shared" si="18"/>
        <v>-53838.4</v>
      </c>
      <c r="K62" s="35">
        <f aca="true" t="shared" si="19" ref="K62:K93">SUM(B62:J62)</f>
        <v>-954993.2000000001</v>
      </c>
    </row>
    <row r="63" spans="1:11" ht="18.75" customHeight="1">
      <c r="A63" s="12" t="s">
        <v>76</v>
      </c>
      <c r="B63" s="35">
        <f>-ROUND(B9*$D$3,2)</f>
        <v>-112335.6</v>
      </c>
      <c r="C63" s="35">
        <f aca="true" t="shared" si="20" ref="C63:J63">-ROUND(C9*$D$3,2)</f>
        <v>-158319.4</v>
      </c>
      <c r="D63" s="35">
        <f t="shared" si="20"/>
        <v>-149461.6</v>
      </c>
      <c r="E63" s="35">
        <f t="shared" si="20"/>
        <v>-97899.4</v>
      </c>
      <c r="F63" s="35">
        <f t="shared" si="20"/>
        <v>-111378</v>
      </c>
      <c r="G63" s="35">
        <f t="shared" si="20"/>
        <v>-134713.8</v>
      </c>
      <c r="H63" s="35">
        <f t="shared" si="20"/>
        <v>-114665</v>
      </c>
      <c r="I63" s="35">
        <f t="shared" si="20"/>
        <v>-22382</v>
      </c>
      <c r="J63" s="35">
        <f t="shared" si="20"/>
        <v>-53838.4</v>
      </c>
      <c r="K63" s="35">
        <f t="shared" si="19"/>
        <v>-954993.2000000001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26539.6</v>
      </c>
      <c r="C69" s="68">
        <f t="shared" si="21"/>
        <v>-17151.289999999997</v>
      </c>
      <c r="D69" s="68">
        <f t="shared" si="21"/>
        <v>-17015.22</v>
      </c>
      <c r="E69" s="68">
        <f t="shared" si="21"/>
        <v>-15224.769999999999</v>
      </c>
      <c r="F69" s="68">
        <f t="shared" si="21"/>
        <v>34566.159999999996</v>
      </c>
      <c r="G69" s="68">
        <f t="shared" si="21"/>
        <v>-20471.97</v>
      </c>
      <c r="H69" s="68">
        <f t="shared" si="21"/>
        <v>-1033.2300000000005</v>
      </c>
      <c r="I69" s="68">
        <f t="shared" si="21"/>
        <v>-7805.339999999999</v>
      </c>
      <c r="J69" s="68">
        <f t="shared" si="21"/>
        <v>0</v>
      </c>
      <c r="K69" s="68">
        <f t="shared" si="19"/>
        <v>-17596.060000000005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8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-1103.43</v>
      </c>
      <c r="E72" s="19">
        <v>0</v>
      </c>
      <c r="F72" s="35">
        <v>-393.43</v>
      </c>
      <c r="G72" s="19">
        <v>0</v>
      </c>
      <c r="H72" s="19">
        <v>0</v>
      </c>
      <c r="I72" s="47">
        <v>-2191.5</v>
      </c>
      <c r="J72" s="19">
        <v>0</v>
      </c>
      <c r="K72" s="68">
        <f t="shared" si="19"/>
        <v>-3688.36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8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8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8">
        <v>-6741.67</v>
      </c>
      <c r="F93" s="19">
        <v>0</v>
      </c>
      <c r="G93" s="19">
        <v>0</v>
      </c>
      <c r="H93" s="19">
        <v>0</v>
      </c>
      <c r="I93" s="48">
        <v>-3744.72</v>
      </c>
      <c r="J93" s="48">
        <v>0</v>
      </c>
      <c r="K93" s="48">
        <f t="shared" si="19"/>
        <v>-10486.39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-3291.68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-3291.68</v>
      </c>
      <c r="L97" s="73"/>
    </row>
    <row r="98" spans="1:12" ht="18.75" customHeight="1">
      <c r="A98" s="65" t="s">
        <v>128</v>
      </c>
      <c r="B98" s="48">
        <v>30368.84</v>
      </c>
      <c r="C98" s="48">
        <v>-13406.76</v>
      </c>
      <c r="D98" s="48">
        <v>-14748.36</v>
      </c>
      <c r="E98" s="48">
        <v>-8398.89</v>
      </c>
      <c r="F98" s="48">
        <v>36273.34</v>
      </c>
      <c r="G98" s="48">
        <v>-20023.74</v>
      </c>
      <c r="H98" s="48">
        <v>-8205.42</v>
      </c>
      <c r="I98" s="48">
        <v>-1859.01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48">
        <v>-3829.24</v>
      </c>
      <c r="C99" s="48">
        <v>-346.92</v>
      </c>
      <c r="D99" s="48">
        <v>-1151.58</v>
      </c>
      <c r="E99" s="48">
        <v>-84.21</v>
      </c>
      <c r="F99" s="48">
        <v>-1313.75</v>
      </c>
      <c r="G99" s="48">
        <v>-436.38</v>
      </c>
      <c r="H99" s="48">
        <v>7172.19</v>
      </c>
      <c r="I99" s="48">
        <v>-10.11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838319.74</v>
      </c>
      <c r="C104" s="24">
        <f t="shared" si="22"/>
        <v>1165245.46</v>
      </c>
      <c r="D104" s="24">
        <f t="shared" si="22"/>
        <v>1489838.65</v>
      </c>
      <c r="E104" s="24">
        <f t="shared" si="22"/>
        <v>699125.7799999999</v>
      </c>
      <c r="F104" s="24">
        <f t="shared" si="22"/>
        <v>1093263.22</v>
      </c>
      <c r="G104" s="24">
        <f t="shared" si="22"/>
        <v>1448196.48</v>
      </c>
      <c r="H104" s="24">
        <f t="shared" si="22"/>
        <v>674286.2600000001</v>
      </c>
      <c r="I104" s="24">
        <f>+I105+I106</f>
        <v>267012.4799999999</v>
      </c>
      <c r="J104" s="24">
        <f>+J105+J106</f>
        <v>522802.25000000006</v>
      </c>
      <c r="K104" s="48">
        <f>SUM(B104:J104)</f>
        <v>8198090.319999999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820245.67</v>
      </c>
      <c r="C105" s="24">
        <f t="shared" si="23"/>
        <v>1142343.27</v>
      </c>
      <c r="D105" s="24">
        <f t="shared" si="23"/>
        <v>1465129.0499999998</v>
      </c>
      <c r="E105" s="24">
        <f t="shared" si="23"/>
        <v>677358.69</v>
      </c>
      <c r="F105" s="24">
        <f t="shared" si="23"/>
        <v>1070628.02</v>
      </c>
      <c r="G105" s="24">
        <f t="shared" si="23"/>
        <v>1419168.71</v>
      </c>
      <c r="H105" s="24">
        <f t="shared" si="23"/>
        <v>654918.7000000001</v>
      </c>
      <c r="I105" s="24">
        <f t="shared" si="23"/>
        <v>267012.4799999999</v>
      </c>
      <c r="J105" s="24">
        <f t="shared" si="23"/>
        <v>509177.79000000004</v>
      </c>
      <c r="K105" s="48">
        <f>SUM(B105:J105)</f>
        <v>8025982.379999999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18074.07</v>
      </c>
      <c r="C106" s="24">
        <f t="shared" si="24"/>
        <v>22902.19</v>
      </c>
      <c r="D106" s="24">
        <f t="shared" si="24"/>
        <v>24709.6</v>
      </c>
      <c r="E106" s="24">
        <f t="shared" si="24"/>
        <v>21767.09</v>
      </c>
      <c r="F106" s="24">
        <f t="shared" si="24"/>
        <v>22635.2</v>
      </c>
      <c r="G106" s="24">
        <f t="shared" si="24"/>
        <v>29027.77</v>
      </c>
      <c r="H106" s="24">
        <f t="shared" si="24"/>
        <v>19367.56</v>
      </c>
      <c r="I106" s="19">
        <f t="shared" si="24"/>
        <v>0</v>
      </c>
      <c r="J106" s="24">
        <f t="shared" si="24"/>
        <v>13624.46</v>
      </c>
      <c r="K106" s="48">
        <f>SUM(B106:J106)</f>
        <v>172107.93999999997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8198090.32</v>
      </c>
      <c r="L112" s="54"/>
    </row>
    <row r="113" spans="1:11" ht="18.75" customHeight="1">
      <c r="A113" s="26" t="s">
        <v>71</v>
      </c>
      <c r="B113" s="27">
        <v>104558.36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104558.36</v>
      </c>
    </row>
    <row r="114" spans="1:11" ht="18.75" customHeight="1">
      <c r="A114" s="26" t="s">
        <v>72</v>
      </c>
      <c r="B114" s="27">
        <v>733761.38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733761.38</v>
      </c>
    </row>
    <row r="115" spans="1:11" ht="18.75" customHeight="1">
      <c r="A115" s="26" t="s">
        <v>73</v>
      </c>
      <c r="B115" s="40">
        <v>0</v>
      </c>
      <c r="C115" s="27">
        <f>+C104</f>
        <v>1165245.46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1165245.46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1489838.65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1489838.65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699125.7799999999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699125.7799999999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212781.61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212781.61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387016.55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387016.55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58361.83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58361.83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435103.23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435103.23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448825.49</v>
      </c>
      <c r="H122" s="40">
        <v>0</v>
      </c>
      <c r="I122" s="40">
        <v>0</v>
      </c>
      <c r="J122" s="40">
        <v>0</v>
      </c>
      <c r="K122" s="41">
        <f t="shared" si="25"/>
        <v>448825.49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37329.23</v>
      </c>
      <c r="H123" s="40">
        <v>0</v>
      </c>
      <c r="I123" s="40">
        <v>0</v>
      </c>
      <c r="J123" s="40">
        <v>0</v>
      </c>
      <c r="K123" s="41">
        <f t="shared" si="25"/>
        <v>37329.23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222003.54</v>
      </c>
      <c r="H124" s="40">
        <v>0</v>
      </c>
      <c r="I124" s="40">
        <v>0</v>
      </c>
      <c r="J124" s="40">
        <v>0</v>
      </c>
      <c r="K124" s="41">
        <f t="shared" si="25"/>
        <v>222003.54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193795.62</v>
      </c>
      <c r="H125" s="40">
        <v>0</v>
      </c>
      <c r="I125" s="40">
        <v>0</v>
      </c>
      <c r="J125" s="40">
        <v>0</v>
      </c>
      <c r="K125" s="41">
        <f t="shared" si="25"/>
        <v>193795.62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546242.6</v>
      </c>
      <c r="H126" s="40">
        <v>0</v>
      </c>
      <c r="I126" s="40">
        <v>0</v>
      </c>
      <c r="J126" s="40">
        <v>0</v>
      </c>
      <c r="K126" s="41">
        <f t="shared" si="25"/>
        <v>546242.6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252566.33</v>
      </c>
      <c r="I127" s="40">
        <v>0</v>
      </c>
      <c r="J127" s="40">
        <v>0</v>
      </c>
      <c r="K127" s="41">
        <f t="shared" si="25"/>
        <v>252566.33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421719.93</v>
      </c>
      <c r="I128" s="40">
        <v>0</v>
      </c>
      <c r="J128" s="40">
        <v>0</v>
      </c>
      <c r="K128" s="41">
        <f t="shared" si="25"/>
        <v>421719.93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267012.48</v>
      </c>
      <c r="J129" s="40">
        <v>0</v>
      </c>
      <c r="K129" s="41">
        <f t="shared" si="25"/>
        <v>267012.48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522802.25</v>
      </c>
      <c r="K130" s="44">
        <f t="shared" si="25"/>
        <v>522802.25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2016-05-11T15:12:16Z</dcterms:modified>
  <cp:category/>
  <cp:version/>
  <cp:contentType/>
  <cp:contentStatus/>
</cp:coreProperties>
</file>