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externalReferences>
    <externalReference r:id="rId2"/>
  </externalReference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Gestão!$AA$1:$AU$76</definedName>
    <definedName name="DDDDDDDDDD">#REF!</definedName>
    <definedName name="GES">Gestão!$Y$1:$Y$75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AT72" i="1"/>
  <c r="AT70" s="1"/>
  <c r="AS72"/>
  <c r="AR72"/>
  <c r="AS70"/>
  <c r="AR70"/>
  <c r="AT66"/>
  <c r="AS66"/>
  <c r="AR66"/>
  <c r="AT62"/>
  <c r="AS62"/>
  <c r="AR62"/>
  <c r="AR61"/>
  <c r="AT55"/>
  <c r="AT52" s="1"/>
  <c r="AS55"/>
  <c r="AS52"/>
  <c r="AR52"/>
  <c r="AT50"/>
  <c r="AR49"/>
  <c r="AT48"/>
  <c r="AS48"/>
  <c r="AR48"/>
  <c r="AT46"/>
  <c r="AS46"/>
  <c r="AS45" s="1"/>
  <c r="AS39" s="1"/>
  <c r="AR46"/>
  <c r="AR45" s="1"/>
  <c r="AR39" s="1"/>
  <c r="AT45"/>
  <c r="AT44"/>
  <c r="AT42"/>
  <c r="AS42"/>
  <c r="AR42"/>
  <c r="AT41"/>
  <c r="AS41"/>
  <c r="AR41"/>
  <c r="AS17"/>
  <c r="AT15"/>
  <c r="AS15"/>
  <c r="AR15"/>
  <c r="AT14"/>
  <c r="AS14"/>
  <c r="AR14"/>
  <c r="AR11" s="1"/>
  <c r="AT13"/>
  <c r="AS13"/>
  <c r="AR13"/>
  <c r="AT12"/>
  <c r="AT11" s="1"/>
  <c r="AS12"/>
  <c r="AR12"/>
  <c r="AS11"/>
  <c r="AT9"/>
  <c r="AS9"/>
  <c r="AR9"/>
  <c r="AT8"/>
  <c r="AS8"/>
  <c r="AR8"/>
  <c r="AT7"/>
  <c r="AS7"/>
  <c r="AR7"/>
  <c r="AT2"/>
  <c r="AT61" s="1"/>
  <c r="AS2"/>
  <c r="AS61" s="1"/>
  <c r="AR2"/>
  <c r="AT1"/>
  <c r="AT60" s="1"/>
  <c r="AS1"/>
  <c r="AS60" s="1"/>
  <c r="AR1"/>
  <c r="AR60" s="1"/>
  <c r="AQ72"/>
  <c r="AQ70"/>
  <c r="AQ66"/>
  <c r="AQ63"/>
  <c r="AQ62"/>
  <c r="AQ52"/>
  <c r="AQ49"/>
  <c r="AQ48"/>
  <c r="AQ45"/>
  <c r="AQ41"/>
  <c r="AQ15"/>
  <c r="AQ14"/>
  <c r="AQ13"/>
  <c r="AQ12"/>
  <c r="AQ9"/>
  <c r="AQ8"/>
  <c r="AQ2"/>
  <c r="AQ61" s="1"/>
  <c r="AQ1"/>
  <c r="AQ60" s="1"/>
  <c r="AP72"/>
  <c r="AP70"/>
  <c r="AP66"/>
  <c r="AP63"/>
  <c r="AP64" s="1"/>
  <c r="AP62"/>
  <c r="AP55"/>
  <c r="AP52" s="1"/>
  <c r="AP39" s="1"/>
  <c r="AP49"/>
  <c r="AP48"/>
  <c r="AP45"/>
  <c r="AP41"/>
  <c r="AP15"/>
  <c r="AP14"/>
  <c r="AP13"/>
  <c r="AP12"/>
  <c r="AP9"/>
  <c r="AP8"/>
  <c r="AP7"/>
  <c r="AP2"/>
  <c r="AP61" s="1"/>
  <c r="AP1"/>
  <c r="AP60" s="1"/>
  <c r="AO72"/>
  <c r="AO70"/>
  <c r="AO66"/>
  <c r="AO63"/>
  <c r="AO64" s="1"/>
  <c r="AO62"/>
  <c r="AO55"/>
  <c r="AO53"/>
  <c r="AO52"/>
  <c r="AO50"/>
  <c r="AO48"/>
  <c r="AO46"/>
  <c r="AO45" s="1"/>
  <c r="AO44"/>
  <c r="AO43"/>
  <c r="AO41"/>
  <c r="AO39" s="1"/>
  <c r="AO33"/>
  <c r="AO17"/>
  <c r="AO15"/>
  <c r="AO14"/>
  <c r="AO13"/>
  <c r="AO12"/>
  <c r="AO9"/>
  <c r="AO8"/>
  <c r="AO7"/>
  <c r="AO2"/>
  <c r="AO61" s="1"/>
  <c r="AO1"/>
  <c r="AO60" s="1"/>
  <c r="AT39" l="1"/>
  <c r="AQ39"/>
  <c r="AQ64"/>
  <c r="AR63" s="1"/>
  <c r="AR64" s="1"/>
  <c r="AS63" s="1"/>
  <c r="AS64" s="1"/>
  <c r="AT63" s="1"/>
  <c r="AT64" s="1"/>
  <c r="AQ11"/>
  <c r="AO11"/>
  <c r="AP11"/>
  <c r="AN72"/>
  <c r="AM72"/>
  <c r="AN70"/>
  <c r="AM70"/>
  <c r="AN66"/>
  <c r="AM66"/>
  <c r="AM63"/>
  <c r="AM64" s="1"/>
  <c r="AN63" s="1"/>
  <c r="AN64" s="1"/>
  <c r="AN62"/>
  <c r="AM62"/>
  <c r="AN53"/>
  <c r="AN52"/>
  <c r="AM52"/>
  <c r="AM49"/>
  <c r="AM48" s="1"/>
  <c r="AN48"/>
  <c r="AM47"/>
  <c r="AN45"/>
  <c r="AM45"/>
  <c r="AN44"/>
  <c r="AN43"/>
  <c r="AN42"/>
  <c r="AN41" s="1"/>
  <c r="AN39" s="1"/>
  <c r="AM42"/>
  <c r="AM41"/>
  <c r="AM39" s="1"/>
  <c r="AN26"/>
  <c r="AN15" s="1"/>
  <c r="AM15"/>
  <c r="AN14"/>
  <c r="AM14"/>
  <c r="AN13"/>
  <c r="AM13"/>
  <c r="AN12"/>
  <c r="AM12"/>
  <c r="AN9"/>
  <c r="AM9"/>
  <c r="AN8"/>
  <c r="AM8"/>
  <c r="AN7"/>
  <c r="AM7"/>
  <c r="AM4"/>
  <c r="AN2"/>
  <c r="AN61" s="1"/>
  <c r="AM2"/>
  <c r="AM61" s="1"/>
  <c r="AN1"/>
  <c r="AN60" s="1"/>
  <c r="AM1"/>
  <c r="AM60" s="1"/>
  <c r="AM11" l="1"/>
  <c r="AM5" s="1"/>
  <c r="AN4" s="1"/>
  <c r="AN11"/>
  <c r="AN5" l="1"/>
  <c r="AO4" s="1"/>
  <c r="AO5" s="1"/>
  <c r="AP4" s="1"/>
  <c r="AP5" s="1"/>
  <c r="AQ4" s="1"/>
  <c r="AQ5" s="1"/>
  <c r="AR4" s="1"/>
  <c r="AR5" s="1"/>
  <c r="AS4" s="1"/>
  <c r="AS5" s="1"/>
  <c r="AT4" s="1"/>
  <c r="AT5" s="1"/>
  <c r="AU75"/>
  <c r="AU74"/>
  <c r="AU73"/>
  <c r="AU68"/>
  <c r="AU67"/>
  <c r="AU62"/>
  <c r="AU57"/>
  <c r="AU56"/>
  <c r="AU55"/>
  <c r="AU54"/>
  <c r="AU53"/>
  <c r="AU51"/>
  <c r="AU50"/>
  <c r="AU49"/>
  <c r="AU47"/>
  <c r="AU46"/>
  <c r="AU44"/>
  <c r="AU43"/>
  <c r="AU42"/>
  <c r="AU37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4"/>
  <c r="AU13"/>
  <c r="AU12"/>
  <c r="AU3"/>
  <c r="H60" l="1"/>
  <c r="I60"/>
  <c r="L60"/>
  <c r="M60"/>
  <c r="P60"/>
  <c r="Q60"/>
  <c r="T60"/>
  <c r="U60"/>
  <c r="X60"/>
  <c r="Y62" s="1"/>
  <c r="Y60"/>
  <c r="AB60"/>
  <c r="AW60"/>
  <c r="AX60"/>
  <c r="BA60"/>
  <c r="BB60"/>
  <c r="BE60"/>
  <c r="BF60"/>
  <c r="BI60"/>
  <c r="BJ60"/>
  <c r="BM60"/>
  <c r="BN60"/>
  <c r="BQ60"/>
  <c r="BR60"/>
  <c r="BV60"/>
  <c r="BZ60"/>
  <c r="CD60"/>
  <c r="CH60"/>
  <c r="CL60"/>
  <c r="CP60"/>
  <c r="CS60"/>
  <c r="CT60"/>
  <c r="CW60"/>
  <c r="CX60"/>
  <c r="DA60"/>
  <c r="DB60"/>
  <c r="DE60"/>
  <c r="DF60"/>
  <c r="DI60"/>
  <c r="DJ60"/>
  <c r="DM60"/>
  <c r="DR60"/>
  <c r="DV60"/>
  <c r="DZ60"/>
  <c r="ED60"/>
  <c r="EH60"/>
  <c r="F61"/>
  <c r="I61"/>
  <c r="M61"/>
  <c r="Q61"/>
  <c r="R61"/>
  <c r="U61"/>
  <c r="V61"/>
  <c r="Z61"/>
  <c r="AV61"/>
  <c r="AW61"/>
  <c r="AZ61"/>
  <c r="BA61"/>
  <c r="BD61"/>
  <c r="BH61"/>
  <c r="BL61"/>
  <c r="BM61"/>
  <c r="BP61"/>
  <c r="BQ61"/>
  <c r="BU61"/>
  <c r="BY61"/>
  <c r="CC61"/>
  <c r="CG61"/>
  <c r="CK61"/>
  <c r="CO61"/>
  <c r="CV61"/>
  <c r="CW61"/>
  <c r="CZ61"/>
  <c r="DA61"/>
  <c r="DD61"/>
  <c r="DH61"/>
  <c r="DL61"/>
  <c r="DM61"/>
  <c r="DQ61"/>
  <c r="DU61"/>
  <c r="DY61"/>
  <c r="EC61"/>
  <c r="EG61"/>
  <c r="EK61"/>
  <c r="D62"/>
  <c r="Y3"/>
  <c r="AU1"/>
  <c r="AU60" s="1"/>
  <c r="E4"/>
  <c r="Y4" s="1"/>
  <c r="AA4"/>
  <c r="AW4"/>
  <c r="BU4"/>
  <c r="CS4"/>
  <c r="DP4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Z7"/>
  <c r="E8"/>
  <c r="F8"/>
  <c r="G8"/>
  <c r="H8"/>
  <c r="I8"/>
  <c r="J8"/>
  <c r="K8"/>
  <c r="L8"/>
  <c r="M8"/>
  <c r="N8"/>
  <c r="O8"/>
  <c r="P8"/>
  <c r="R8"/>
  <c r="S8"/>
  <c r="T8"/>
  <c r="U8"/>
  <c r="V8"/>
  <c r="W8"/>
  <c r="X8"/>
  <c r="Z8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Z9"/>
  <c r="BQ11"/>
  <c r="EI11"/>
  <c r="Y14"/>
  <c r="Z15"/>
  <c r="AW15"/>
  <c r="AW11" s="1"/>
  <c r="AX15"/>
  <c r="AX11" s="1"/>
  <c r="AY15"/>
  <c r="AZ15"/>
  <c r="BA15"/>
  <c r="BA11" s="1"/>
  <c r="BB15"/>
  <c r="BB11" s="1"/>
  <c r="BC15"/>
  <c r="BD15"/>
  <c r="BE15"/>
  <c r="BE11" s="1"/>
  <c r="BF15"/>
  <c r="BF11" s="1"/>
  <c r="BG15"/>
  <c r="BH15"/>
  <c r="BI15"/>
  <c r="BI11" s="1"/>
  <c r="BJ15"/>
  <c r="BJ11" s="1"/>
  <c r="BK15"/>
  <c r="BL15"/>
  <c r="BM15"/>
  <c r="BM11" s="1"/>
  <c r="BN15"/>
  <c r="BN11" s="1"/>
  <c r="BO15"/>
  <c r="BP15"/>
  <c r="BQ15"/>
  <c r="BR15"/>
  <c r="BR11" s="1"/>
  <c r="BU15"/>
  <c r="BV15"/>
  <c r="BW15"/>
  <c r="BW11" s="1"/>
  <c r="BX15"/>
  <c r="BX11" s="1"/>
  <c r="BY15"/>
  <c r="BZ15"/>
  <c r="CA15"/>
  <c r="CA11" s="1"/>
  <c r="CB15"/>
  <c r="CB11" s="1"/>
  <c r="CC15"/>
  <c r="CD15"/>
  <c r="CE15"/>
  <c r="CE11" s="1"/>
  <c r="CF15"/>
  <c r="CF11" s="1"/>
  <c r="CG15"/>
  <c r="CH15"/>
  <c r="CI15"/>
  <c r="CI11" s="1"/>
  <c r="CJ15"/>
  <c r="CJ11" s="1"/>
  <c r="CK15"/>
  <c r="CL15"/>
  <c r="CM15"/>
  <c r="CM11" s="1"/>
  <c r="CN15"/>
  <c r="CN11" s="1"/>
  <c r="CO15"/>
  <c r="CP15"/>
  <c r="CS15"/>
  <c r="CS11" s="1"/>
  <c r="CT15"/>
  <c r="CT11" s="1"/>
  <c r="CU15"/>
  <c r="CV15"/>
  <c r="CW15"/>
  <c r="CW11" s="1"/>
  <c r="CX15"/>
  <c r="CX11" s="1"/>
  <c r="CY15"/>
  <c r="CZ15"/>
  <c r="DA15"/>
  <c r="DA11" s="1"/>
  <c r="DB15"/>
  <c r="DB11" s="1"/>
  <c r="DC15"/>
  <c r="DD15"/>
  <c r="DE15"/>
  <c r="DE11" s="1"/>
  <c r="DF15"/>
  <c r="DF11" s="1"/>
  <c r="DG15"/>
  <c r="DH15"/>
  <c r="DI15"/>
  <c r="DI11" s="1"/>
  <c r="DJ15"/>
  <c r="DJ11" s="1"/>
  <c r="DK15"/>
  <c r="DL15"/>
  <c r="DM15"/>
  <c r="DM11" s="1"/>
  <c r="DP15"/>
  <c r="DP11" s="1"/>
  <c r="DQ15"/>
  <c r="DR15"/>
  <c r="DS15"/>
  <c r="DS11" s="1"/>
  <c r="DT15"/>
  <c r="DT11" s="1"/>
  <c r="DU15"/>
  <c r="DV15"/>
  <c r="DW15"/>
  <c r="DW11" s="1"/>
  <c r="DX15"/>
  <c r="DX11" s="1"/>
  <c r="DY15"/>
  <c r="DZ15"/>
  <c r="EA15"/>
  <c r="EA11" s="1"/>
  <c r="EB15"/>
  <c r="EB11" s="1"/>
  <c r="EC15"/>
  <c r="ED15"/>
  <c r="EE15"/>
  <c r="EE11" s="1"/>
  <c r="EF15"/>
  <c r="EF11" s="1"/>
  <c r="EG15"/>
  <c r="EH15"/>
  <c r="EI15"/>
  <c r="EJ15"/>
  <c r="EJ11" s="1"/>
  <c r="EK15"/>
  <c r="Y16"/>
  <c r="E17"/>
  <c r="E15" s="1"/>
  <c r="F17"/>
  <c r="F15" s="1"/>
  <c r="G17"/>
  <c r="H17"/>
  <c r="H15" s="1"/>
  <c r="H11" s="1"/>
  <c r="I17"/>
  <c r="I15" s="1"/>
  <c r="J17"/>
  <c r="L17"/>
  <c r="M17"/>
  <c r="M15" s="1"/>
  <c r="P17"/>
  <c r="Q17"/>
  <c r="R17"/>
  <c r="R15" s="1"/>
  <c r="S17"/>
  <c r="T17"/>
  <c r="V17"/>
  <c r="W17"/>
  <c r="X17"/>
  <c r="S18"/>
  <c r="Y18" s="1"/>
  <c r="AA18" s="1"/>
  <c r="X18"/>
  <c r="Y19"/>
  <c r="AA19" s="1"/>
  <c r="Q20"/>
  <c r="AA20"/>
  <c r="Y21"/>
  <c r="AA21" s="1"/>
  <c r="Y22"/>
  <c r="AA22" s="1"/>
  <c r="K23"/>
  <c r="K15" s="1"/>
  <c r="K11" s="1"/>
  <c r="L23"/>
  <c r="N23"/>
  <c r="N15" s="1"/>
  <c r="O23"/>
  <c r="O15" s="1"/>
  <c r="O11" s="1"/>
  <c r="P23"/>
  <c r="Q23"/>
  <c r="T23"/>
  <c r="U23"/>
  <c r="U15" s="1"/>
  <c r="V23"/>
  <c r="W23"/>
  <c r="Y24"/>
  <c r="AA24"/>
  <c r="Y25"/>
  <c r="AA25"/>
  <c r="Q26"/>
  <c r="V26"/>
  <c r="Y26" s="1"/>
  <c r="AA26" s="1"/>
  <c r="J27"/>
  <c r="P27"/>
  <c r="S27"/>
  <c r="T27"/>
  <c r="V27"/>
  <c r="Y28"/>
  <c r="AA28"/>
  <c r="Y29"/>
  <c r="AA29" s="1"/>
  <c r="Y30"/>
  <c r="AA30" s="1"/>
  <c r="Y31"/>
  <c r="AA31" s="1"/>
  <c r="G32"/>
  <c r="Y32" s="1"/>
  <c r="AA32" s="1"/>
  <c r="Y33"/>
  <c r="AA33" s="1"/>
  <c r="Y34"/>
  <c r="AA34" s="1"/>
  <c r="X35"/>
  <c r="Y35" s="1"/>
  <c r="AA35" s="1"/>
  <c r="AB35" s="1"/>
  <c r="AV35"/>
  <c r="D37"/>
  <c r="F41"/>
  <c r="H41"/>
  <c r="I41"/>
  <c r="J41"/>
  <c r="L41"/>
  <c r="O41"/>
  <c r="Q41"/>
  <c r="R41"/>
  <c r="S41"/>
  <c r="T41"/>
  <c r="U41"/>
  <c r="V41"/>
  <c r="W41"/>
  <c r="Z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42"/>
  <c r="G42"/>
  <c r="G41" s="1"/>
  <c r="K42"/>
  <c r="K41" s="1"/>
  <c r="M42"/>
  <c r="M41" s="1"/>
  <c r="P42"/>
  <c r="P41" s="1"/>
  <c r="X42"/>
  <c r="X41" s="1"/>
  <c r="AV42"/>
  <c r="Y43"/>
  <c r="AA43" s="1"/>
  <c r="AB43" s="1"/>
  <c r="AV43"/>
  <c r="E44"/>
  <c r="Y44" s="1"/>
  <c r="N44"/>
  <c r="N41" s="1"/>
  <c r="AV44"/>
  <c r="E45"/>
  <c r="F45"/>
  <c r="G45"/>
  <c r="H45"/>
  <c r="I45"/>
  <c r="K45"/>
  <c r="L45"/>
  <c r="M45"/>
  <c r="N45"/>
  <c r="O45"/>
  <c r="O39" s="1"/>
  <c r="P45"/>
  <c r="Q45"/>
  <c r="R45"/>
  <c r="S45"/>
  <c r="V45"/>
  <c r="X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J46"/>
  <c r="J45" s="1"/>
  <c r="K46"/>
  <c r="W46"/>
  <c r="W45" s="1"/>
  <c r="Z46"/>
  <c r="T47"/>
  <c r="T45" s="1"/>
  <c r="U47"/>
  <c r="U45" s="1"/>
  <c r="Z47"/>
  <c r="G48"/>
  <c r="L48"/>
  <c r="O48"/>
  <c r="U48"/>
  <c r="W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49"/>
  <c r="E48" s="1"/>
  <c r="F49"/>
  <c r="J49"/>
  <c r="J48" s="1"/>
  <c r="K49"/>
  <c r="K48" s="1"/>
  <c r="M49"/>
  <c r="M48" s="1"/>
  <c r="N49"/>
  <c r="N48" s="1"/>
  <c r="Q49"/>
  <c r="Q48" s="1"/>
  <c r="X49"/>
  <c r="X48" s="1"/>
  <c r="Z49"/>
  <c r="Z48" s="1"/>
  <c r="AV49"/>
  <c r="F50"/>
  <c r="H50"/>
  <c r="H48" s="1"/>
  <c r="I50"/>
  <c r="I48" s="1"/>
  <c r="P50"/>
  <c r="P48" s="1"/>
  <c r="R50"/>
  <c r="R48" s="1"/>
  <c r="T50"/>
  <c r="T48" s="1"/>
  <c r="Q51"/>
  <c r="S48"/>
  <c r="Y51"/>
  <c r="E52"/>
  <c r="I52"/>
  <c r="K52"/>
  <c r="O52"/>
  <c r="Q52"/>
  <c r="Z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P53"/>
  <c r="Y53"/>
  <c r="AA53" s="1"/>
  <c r="Y54"/>
  <c r="AA54" s="1"/>
  <c r="AB54" s="1"/>
  <c r="AV54"/>
  <c r="F55"/>
  <c r="F52" s="1"/>
  <c r="G55"/>
  <c r="H55"/>
  <c r="H52" s="1"/>
  <c r="J55"/>
  <c r="J52" s="1"/>
  <c r="L55"/>
  <c r="L52" s="1"/>
  <c r="L39" s="1"/>
  <c r="M55"/>
  <c r="M52" s="1"/>
  <c r="N55"/>
  <c r="N52" s="1"/>
  <c r="P55"/>
  <c r="P52" s="1"/>
  <c r="R55"/>
  <c r="R52" s="1"/>
  <c r="S55"/>
  <c r="S52" s="1"/>
  <c r="T55"/>
  <c r="T52" s="1"/>
  <c r="U55"/>
  <c r="U52" s="1"/>
  <c r="V55"/>
  <c r="V52" s="1"/>
  <c r="W55"/>
  <c r="W52" s="1"/>
  <c r="X55"/>
  <c r="X52" s="1"/>
  <c r="Y56"/>
  <c r="AA56" s="1"/>
  <c r="Y57"/>
  <c r="AA57" s="1"/>
  <c r="D60"/>
  <c r="F60"/>
  <c r="G60"/>
  <c r="J60"/>
  <c r="K60"/>
  <c r="N60"/>
  <c r="O60"/>
  <c r="R60"/>
  <c r="S60"/>
  <c r="V60"/>
  <c r="W60"/>
  <c r="Z60"/>
  <c r="AA60"/>
  <c r="AV60"/>
  <c r="AY60"/>
  <c r="AZ60"/>
  <c r="BC60"/>
  <c r="BD60"/>
  <c r="BG60"/>
  <c r="BH60"/>
  <c r="BK60"/>
  <c r="BL60"/>
  <c r="BO60"/>
  <c r="BP60"/>
  <c r="BU60"/>
  <c r="BW60"/>
  <c r="BX60"/>
  <c r="BY60"/>
  <c r="CA60"/>
  <c r="CB60"/>
  <c r="CC60"/>
  <c r="CE60"/>
  <c r="CF60"/>
  <c r="CG60"/>
  <c r="CI60"/>
  <c r="CJ60"/>
  <c r="CK60"/>
  <c r="CM60"/>
  <c r="CN60"/>
  <c r="CO60"/>
  <c r="CU60"/>
  <c r="CV60"/>
  <c r="CY60"/>
  <c r="CZ60"/>
  <c r="DC60"/>
  <c r="DD60"/>
  <c r="DG60"/>
  <c r="DH60"/>
  <c r="DK60"/>
  <c r="DL60"/>
  <c r="DP60"/>
  <c r="DQ60"/>
  <c r="DS60"/>
  <c r="DT60"/>
  <c r="DU60"/>
  <c r="DW60"/>
  <c r="DX60"/>
  <c r="DY60"/>
  <c r="EA60"/>
  <c r="EB60"/>
  <c r="EC60"/>
  <c r="EE60"/>
  <c r="EF60"/>
  <c r="EG60"/>
  <c r="EI60"/>
  <c r="EJ60"/>
  <c r="EK60"/>
  <c r="C61"/>
  <c r="D61"/>
  <c r="G61"/>
  <c r="H61"/>
  <c r="J61"/>
  <c r="K61"/>
  <c r="L61"/>
  <c r="N61"/>
  <c r="O61"/>
  <c r="P61"/>
  <c r="S61"/>
  <c r="T61"/>
  <c r="W61"/>
  <c r="X61"/>
  <c r="AA61"/>
  <c r="AB61"/>
  <c r="AX61"/>
  <c r="AY61"/>
  <c r="BB61"/>
  <c r="BC61"/>
  <c r="BE61"/>
  <c r="BF61"/>
  <c r="BG61"/>
  <c r="BI61"/>
  <c r="BJ61"/>
  <c r="BK61"/>
  <c r="BN61"/>
  <c r="BO61"/>
  <c r="BR61"/>
  <c r="BV61"/>
  <c r="BW61"/>
  <c r="BX61"/>
  <c r="BZ61"/>
  <c r="CA61"/>
  <c r="CB61"/>
  <c r="CD61"/>
  <c r="CE61"/>
  <c r="CF61"/>
  <c r="CH61"/>
  <c r="CI61"/>
  <c r="CJ61"/>
  <c r="CL61"/>
  <c r="CM61"/>
  <c r="CN61"/>
  <c r="CP61"/>
  <c r="CS61"/>
  <c r="CT61"/>
  <c r="CU61"/>
  <c r="CX61"/>
  <c r="CY61"/>
  <c r="DB61"/>
  <c r="DC61"/>
  <c r="DE61"/>
  <c r="DF61"/>
  <c r="DG61"/>
  <c r="DI61"/>
  <c r="DJ61"/>
  <c r="DK61"/>
  <c r="DP61"/>
  <c r="DR61"/>
  <c r="DS61"/>
  <c r="DT61"/>
  <c r="DV61"/>
  <c r="DW61"/>
  <c r="DX61"/>
  <c r="DZ61"/>
  <c r="EA61"/>
  <c r="EB61"/>
  <c r="ED61"/>
  <c r="EE61"/>
  <c r="EF61"/>
  <c r="EH61"/>
  <c r="EI61"/>
  <c r="EJ61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Z62"/>
  <c r="AA62"/>
  <c r="AB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63"/>
  <c r="AA63" s="1"/>
  <c r="AW63"/>
  <c r="BU63"/>
  <c r="CS63"/>
  <c r="DP63"/>
  <c r="E66"/>
  <c r="G66"/>
  <c r="H66"/>
  <c r="J66"/>
  <c r="K66"/>
  <c r="L66"/>
  <c r="M66"/>
  <c r="N66"/>
  <c r="O66"/>
  <c r="P66"/>
  <c r="Q66"/>
  <c r="R66"/>
  <c r="T66"/>
  <c r="U66"/>
  <c r="V66"/>
  <c r="W66"/>
  <c r="X66"/>
  <c r="Z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F67"/>
  <c r="I67"/>
  <c r="I66" s="1"/>
  <c r="S67"/>
  <c r="S66" s="1"/>
  <c r="Y68"/>
  <c r="AA68" s="1"/>
  <c r="AB68" s="1"/>
  <c r="AB66" s="1"/>
  <c r="AV68"/>
  <c r="E70"/>
  <c r="AY70"/>
  <c r="BG70"/>
  <c r="CG70"/>
  <c r="CO70"/>
  <c r="DQ70"/>
  <c r="DY70"/>
  <c r="E72"/>
  <c r="F72"/>
  <c r="F70" s="1"/>
  <c r="G72"/>
  <c r="G70" s="1"/>
  <c r="H72"/>
  <c r="H70" s="1"/>
  <c r="I72"/>
  <c r="I70" s="1"/>
  <c r="J72"/>
  <c r="J70" s="1"/>
  <c r="K72"/>
  <c r="K70" s="1"/>
  <c r="L72"/>
  <c r="L70" s="1"/>
  <c r="M72"/>
  <c r="M70" s="1"/>
  <c r="N72"/>
  <c r="N70" s="1"/>
  <c r="O72"/>
  <c r="O70" s="1"/>
  <c r="P72"/>
  <c r="P70" s="1"/>
  <c r="Q72"/>
  <c r="Q70" s="1"/>
  <c r="R72"/>
  <c r="R70" s="1"/>
  <c r="S72"/>
  <c r="S70" s="1"/>
  <c r="T72"/>
  <c r="T70" s="1"/>
  <c r="U72"/>
  <c r="U70" s="1"/>
  <c r="V72"/>
  <c r="V70" s="1"/>
  <c r="W72"/>
  <c r="W70" s="1"/>
  <c r="X72"/>
  <c r="X70" s="1"/>
  <c r="Z72"/>
  <c r="Z70" s="1"/>
  <c r="AW72"/>
  <c r="AW70" s="1"/>
  <c r="AX72"/>
  <c r="AX70" s="1"/>
  <c r="AY72"/>
  <c r="AZ72"/>
  <c r="AZ70" s="1"/>
  <c r="BA72"/>
  <c r="BA70" s="1"/>
  <c r="BB72"/>
  <c r="BB70" s="1"/>
  <c r="BC72"/>
  <c r="BC70" s="1"/>
  <c r="BD72"/>
  <c r="BD70" s="1"/>
  <c r="BE72"/>
  <c r="BE70" s="1"/>
  <c r="BF72"/>
  <c r="BF70" s="1"/>
  <c r="BG72"/>
  <c r="BH72"/>
  <c r="BH70" s="1"/>
  <c r="BI72"/>
  <c r="BI70" s="1"/>
  <c r="BJ72"/>
  <c r="BJ70" s="1"/>
  <c r="BK72"/>
  <c r="BK70" s="1"/>
  <c r="BL72"/>
  <c r="BL70" s="1"/>
  <c r="BM72"/>
  <c r="BM70" s="1"/>
  <c r="BN72"/>
  <c r="BN70" s="1"/>
  <c r="BO72"/>
  <c r="BO70" s="1"/>
  <c r="BP72"/>
  <c r="BP70" s="1"/>
  <c r="BQ72"/>
  <c r="BQ70" s="1"/>
  <c r="BR72"/>
  <c r="BR70" s="1"/>
  <c r="BU72"/>
  <c r="BU70" s="1"/>
  <c r="BV72"/>
  <c r="BV70" s="1"/>
  <c r="BW72"/>
  <c r="BW70" s="1"/>
  <c r="BX72"/>
  <c r="BX70" s="1"/>
  <c r="BY72"/>
  <c r="BY70" s="1"/>
  <c r="BZ72"/>
  <c r="BZ70" s="1"/>
  <c r="CA72"/>
  <c r="CA70" s="1"/>
  <c r="CB72"/>
  <c r="CB70" s="1"/>
  <c r="CC72"/>
  <c r="CC70" s="1"/>
  <c r="CD72"/>
  <c r="CD70" s="1"/>
  <c r="CE72"/>
  <c r="CE70" s="1"/>
  <c r="CF72"/>
  <c r="CF70" s="1"/>
  <c r="CG72"/>
  <c r="CH72"/>
  <c r="CH70" s="1"/>
  <c r="CI72"/>
  <c r="CI70" s="1"/>
  <c r="CJ72"/>
  <c r="CJ70" s="1"/>
  <c r="CK72"/>
  <c r="CK70" s="1"/>
  <c r="CL72"/>
  <c r="CL70" s="1"/>
  <c r="CM72"/>
  <c r="CM70" s="1"/>
  <c r="CN72"/>
  <c r="CN70" s="1"/>
  <c r="CO72"/>
  <c r="CP72"/>
  <c r="CP70" s="1"/>
  <c r="CS72"/>
  <c r="CS70" s="1"/>
  <c r="CT72"/>
  <c r="CT70" s="1"/>
  <c r="CU72"/>
  <c r="CU70" s="1"/>
  <c r="CV72"/>
  <c r="CV70" s="1"/>
  <c r="CW72"/>
  <c r="CW70" s="1"/>
  <c r="CX72"/>
  <c r="CX70" s="1"/>
  <c r="CY72"/>
  <c r="CY70" s="1"/>
  <c r="CZ72"/>
  <c r="CZ70" s="1"/>
  <c r="DA72"/>
  <c r="DA70" s="1"/>
  <c r="DB72"/>
  <c r="DB70" s="1"/>
  <c r="DC72"/>
  <c r="DC70" s="1"/>
  <c r="DD72"/>
  <c r="DD70" s="1"/>
  <c r="DE72"/>
  <c r="DE70" s="1"/>
  <c r="DF72"/>
  <c r="DF70" s="1"/>
  <c r="DG72"/>
  <c r="DG70" s="1"/>
  <c r="DH72"/>
  <c r="DH70" s="1"/>
  <c r="DI72"/>
  <c r="DI70" s="1"/>
  <c r="DJ72"/>
  <c r="DJ70" s="1"/>
  <c r="DK72"/>
  <c r="DK70" s="1"/>
  <c r="DL72"/>
  <c r="DL70" s="1"/>
  <c r="DM72"/>
  <c r="DM70" s="1"/>
  <c r="DP72"/>
  <c r="DP70" s="1"/>
  <c r="DQ72"/>
  <c r="DR72"/>
  <c r="DR70" s="1"/>
  <c r="DS72"/>
  <c r="DS70" s="1"/>
  <c r="DT72"/>
  <c r="DT70" s="1"/>
  <c r="DU72"/>
  <c r="DU70" s="1"/>
  <c r="DV72"/>
  <c r="DV70" s="1"/>
  <c r="DW72"/>
  <c r="DW70" s="1"/>
  <c r="DX72"/>
  <c r="DX70" s="1"/>
  <c r="DY72"/>
  <c r="DZ72"/>
  <c r="DZ70" s="1"/>
  <c r="EA72"/>
  <c r="EA70" s="1"/>
  <c r="EB72"/>
  <c r="EB70" s="1"/>
  <c r="EC72"/>
  <c r="EC70" s="1"/>
  <c r="ED72"/>
  <c r="ED70" s="1"/>
  <c r="EE72"/>
  <c r="EE70" s="1"/>
  <c r="EF72"/>
  <c r="EF70" s="1"/>
  <c r="EG72"/>
  <c r="EG70" s="1"/>
  <c r="EH72"/>
  <c r="EH70" s="1"/>
  <c r="EI72"/>
  <c r="EI70" s="1"/>
  <c r="EJ72"/>
  <c r="EJ70" s="1"/>
  <c r="EK72"/>
  <c r="EK70" s="1"/>
  <c r="Y73"/>
  <c r="Y74"/>
  <c r="AA74" s="1"/>
  <c r="AB74" s="1"/>
  <c r="AV74"/>
  <c r="Y75"/>
  <c r="AA75" s="1"/>
  <c r="C76"/>
  <c r="CS64" l="1"/>
  <c r="CT63" s="1"/>
  <c r="CT64" s="1"/>
  <c r="CU63" s="1"/>
  <c r="CU64" s="1"/>
  <c r="CV63" s="1"/>
  <c r="CV64" s="1"/>
  <c r="CW63" s="1"/>
  <c r="CW64" s="1"/>
  <c r="CX63" s="1"/>
  <c r="CX64" s="1"/>
  <c r="CY63" s="1"/>
  <c r="CY64" s="1"/>
  <c r="CZ63" s="1"/>
  <c r="CZ64" s="1"/>
  <c r="DA63" s="1"/>
  <c r="DA64" s="1"/>
  <c r="DB63" s="1"/>
  <c r="DB64" s="1"/>
  <c r="DC63" s="1"/>
  <c r="DC64" s="1"/>
  <c r="DD63" s="1"/>
  <c r="DD64" s="1"/>
  <c r="DE63" s="1"/>
  <c r="DE64" s="1"/>
  <c r="DF63" s="1"/>
  <c r="DF64" s="1"/>
  <c r="DG63" s="1"/>
  <c r="DG64" s="1"/>
  <c r="DH63" s="1"/>
  <c r="DH64" s="1"/>
  <c r="DI63" s="1"/>
  <c r="DI64" s="1"/>
  <c r="DJ63" s="1"/>
  <c r="DJ64" s="1"/>
  <c r="DK63" s="1"/>
  <c r="DK64" s="1"/>
  <c r="DL63" s="1"/>
  <c r="DL64" s="1"/>
  <c r="DM63" s="1"/>
  <c r="DM64" s="1"/>
  <c r="AW64"/>
  <c r="AX63" s="1"/>
  <c r="EI39"/>
  <c r="CA39"/>
  <c r="BI39"/>
  <c r="EF39"/>
  <c r="DX39"/>
  <c r="DP39"/>
  <c r="DF39"/>
  <c r="CX39"/>
  <c r="CN39"/>
  <c r="CF39"/>
  <c r="BX39"/>
  <c r="BN39"/>
  <c r="BF39"/>
  <c r="AX39"/>
  <c r="Z45"/>
  <c r="L15"/>
  <c r="DS39"/>
  <c r="DA39"/>
  <c r="CI39"/>
  <c r="Y27"/>
  <c r="AA27" s="1"/>
  <c r="EA39"/>
  <c r="DI39"/>
  <c r="CS39"/>
  <c r="CS5" s="1"/>
  <c r="CT4" s="1"/>
  <c r="BQ39"/>
  <c r="BA39"/>
  <c r="F48"/>
  <c r="Y17"/>
  <c r="AA17" s="1"/>
  <c r="T15"/>
  <c r="AU15"/>
  <c r="AX64"/>
  <c r="AY63" s="1"/>
  <c r="AY64" s="1"/>
  <c r="AZ63" s="1"/>
  <c r="AZ64" s="1"/>
  <c r="BA63" s="1"/>
  <c r="BA64" s="1"/>
  <c r="BB63" s="1"/>
  <c r="BB64" s="1"/>
  <c r="BC63" s="1"/>
  <c r="BC64" s="1"/>
  <c r="BD63" s="1"/>
  <c r="BD64" s="1"/>
  <c r="BE63" s="1"/>
  <c r="BE64" s="1"/>
  <c r="BF63" s="1"/>
  <c r="BF64" s="1"/>
  <c r="BG63" s="1"/>
  <c r="BG64" s="1"/>
  <c r="BH63" s="1"/>
  <c r="BH64" s="1"/>
  <c r="BI63" s="1"/>
  <c r="BI64" s="1"/>
  <c r="BJ63" s="1"/>
  <c r="BJ64" s="1"/>
  <c r="BK63" s="1"/>
  <c r="BK64" s="1"/>
  <c r="BL63" s="1"/>
  <c r="BL64" s="1"/>
  <c r="BM63" s="1"/>
  <c r="BM64" s="1"/>
  <c r="BN63" s="1"/>
  <c r="BN64" s="1"/>
  <c r="BO63" s="1"/>
  <c r="BO64" s="1"/>
  <c r="BP63" s="1"/>
  <c r="BP64" s="1"/>
  <c r="BQ63" s="1"/>
  <c r="BQ64" s="1"/>
  <c r="BR63" s="1"/>
  <c r="BR64" s="1"/>
  <c r="Y63"/>
  <c r="Y47"/>
  <c r="Q15"/>
  <c r="V15"/>
  <c r="V11" s="1"/>
  <c r="J15"/>
  <c r="Y72"/>
  <c r="Y70" s="1"/>
  <c r="DP64"/>
  <c r="DQ63" s="1"/>
  <c r="DQ64" s="1"/>
  <c r="DR63" s="1"/>
  <c r="DR64" s="1"/>
  <c r="DS63" s="1"/>
  <c r="DS64" s="1"/>
  <c r="DT63" s="1"/>
  <c r="DT64" s="1"/>
  <c r="DU63" s="1"/>
  <c r="DU64" s="1"/>
  <c r="DV63" s="1"/>
  <c r="DV64" s="1"/>
  <c r="DW63" s="1"/>
  <c r="DW64" s="1"/>
  <c r="DX63" s="1"/>
  <c r="DX64" s="1"/>
  <c r="DY63" s="1"/>
  <c r="DY64" s="1"/>
  <c r="DZ63" s="1"/>
  <c r="DZ64" s="1"/>
  <c r="EA63" s="1"/>
  <c r="EA64" s="1"/>
  <c r="EB63" s="1"/>
  <c r="EB64" s="1"/>
  <c r="EC63" s="1"/>
  <c r="EC64" s="1"/>
  <c r="ED63" s="1"/>
  <c r="ED64" s="1"/>
  <c r="EE63" s="1"/>
  <c r="EE64" s="1"/>
  <c r="EF63" s="1"/>
  <c r="EF64" s="1"/>
  <c r="EG63" s="1"/>
  <c r="EG64" s="1"/>
  <c r="EH63" s="1"/>
  <c r="EH64" s="1"/>
  <c r="EI63" s="1"/>
  <c r="EI64" s="1"/>
  <c r="EJ63" s="1"/>
  <c r="EJ64" s="1"/>
  <c r="EK63" s="1"/>
  <c r="EK64" s="1"/>
  <c r="EE39"/>
  <c r="DW39"/>
  <c r="DM39"/>
  <c r="DE39"/>
  <c r="CW39"/>
  <c r="CM39"/>
  <c r="CE39"/>
  <c r="BW39"/>
  <c r="BM39"/>
  <c r="BE39"/>
  <c r="AW39"/>
  <c r="AA44"/>
  <c r="AB44" s="1"/>
  <c r="U39"/>
  <c r="Q39"/>
  <c r="W15"/>
  <c r="W11" s="1"/>
  <c r="Y67"/>
  <c r="Y66" s="1"/>
  <c r="E64"/>
  <c r="F63" s="1"/>
  <c r="W39"/>
  <c r="P39"/>
  <c r="EH39"/>
  <c r="ED39"/>
  <c r="DZ39"/>
  <c r="DV39"/>
  <c r="DR39"/>
  <c r="DL39"/>
  <c r="DH39"/>
  <c r="DD39"/>
  <c r="CZ39"/>
  <c r="CV39"/>
  <c r="CP39"/>
  <c r="CL39"/>
  <c r="CH39"/>
  <c r="CD39"/>
  <c r="BZ39"/>
  <c r="BV39"/>
  <c r="BP39"/>
  <c r="BL39"/>
  <c r="BH39"/>
  <c r="BD39"/>
  <c r="AZ39"/>
  <c r="Y23"/>
  <c r="AA23" s="1"/>
  <c r="X15"/>
  <c r="X11" s="1"/>
  <c r="T39"/>
  <c r="AV41"/>
  <c r="AU66"/>
  <c r="AV6"/>
  <c r="AB53"/>
  <c r="AA51"/>
  <c r="V48"/>
  <c r="K39"/>
  <c r="AV73"/>
  <c r="AV72" s="1"/>
  <c r="H39"/>
  <c r="V39"/>
  <c r="R39"/>
  <c r="DP5"/>
  <c r="DQ4" s="1"/>
  <c r="AA73"/>
  <c r="F66"/>
  <c r="F64" s="1"/>
  <c r="G63" s="1"/>
  <c r="G64" s="1"/>
  <c r="H63" s="1"/>
  <c r="H64" s="1"/>
  <c r="I63" s="1"/>
  <c r="I64" s="1"/>
  <c r="J63" s="1"/>
  <c r="J64" s="1"/>
  <c r="K63" s="1"/>
  <c r="K64" s="1"/>
  <c r="L63" s="1"/>
  <c r="L64" s="1"/>
  <c r="M63" s="1"/>
  <c r="M64" s="1"/>
  <c r="N63" s="1"/>
  <c r="N64" s="1"/>
  <c r="O63" s="1"/>
  <c r="O64" s="1"/>
  <c r="P63" s="1"/>
  <c r="P64" s="1"/>
  <c r="Q63" s="1"/>
  <c r="Q64" s="1"/>
  <c r="R63" s="1"/>
  <c r="R64" s="1"/>
  <c r="S63" s="1"/>
  <c r="S64" s="1"/>
  <c r="T63" s="1"/>
  <c r="T64" s="1"/>
  <c r="U63" s="1"/>
  <c r="U64" s="1"/>
  <c r="V63" s="1"/>
  <c r="V64" s="1"/>
  <c r="W63" s="1"/>
  <c r="W64" s="1"/>
  <c r="X63" s="1"/>
  <c r="X64" s="1"/>
  <c r="Z63" s="1"/>
  <c r="Z64" s="1"/>
  <c r="AU41"/>
  <c r="P15"/>
  <c r="P11" s="1"/>
  <c r="T11"/>
  <c r="L11"/>
  <c r="AB6"/>
  <c r="E60"/>
  <c r="E2"/>
  <c r="E61" s="1"/>
  <c r="G52"/>
  <c r="Y55"/>
  <c r="AU48"/>
  <c r="AV47"/>
  <c r="AU45"/>
  <c r="E41"/>
  <c r="E39" s="1"/>
  <c r="Y42"/>
  <c r="AA16"/>
  <c r="AA15" s="1"/>
  <c r="X39"/>
  <c r="G39"/>
  <c r="AU72"/>
  <c r="AU70" s="1"/>
  <c r="BU64"/>
  <c r="BV63" s="1"/>
  <c r="BV64" s="1"/>
  <c r="BW63" s="1"/>
  <c r="BW64" s="1"/>
  <c r="BX63" s="1"/>
  <c r="BX64" s="1"/>
  <c r="BY63" s="1"/>
  <c r="BY64" s="1"/>
  <c r="BZ63" s="1"/>
  <c r="BZ64" s="1"/>
  <c r="CA63" s="1"/>
  <c r="CA64" s="1"/>
  <c r="CB63" s="1"/>
  <c r="CB64" s="1"/>
  <c r="CC63" s="1"/>
  <c r="CC64" s="1"/>
  <c r="CD63" s="1"/>
  <c r="CD64" s="1"/>
  <c r="CE63" s="1"/>
  <c r="CE64" s="1"/>
  <c r="CF63" s="1"/>
  <c r="CF64" s="1"/>
  <c r="CG63" s="1"/>
  <c r="CG64" s="1"/>
  <c r="CH63" s="1"/>
  <c r="CH64" s="1"/>
  <c r="CI63" s="1"/>
  <c r="CI64" s="1"/>
  <c r="CJ63" s="1"/>
  <c r="CJ64" s="1"/>
  <c r="CK63" s="1"/>
  <c r="CK64" s="1"/>
  <c r="CL63" s="1"/>
  <c r="CL64" s="1"/>
  <c r="CM63" s="1"/>
  <c r="CM64" s="1"/>
  <c r="CN63" s="1"/>
  <c r="CN64" s="1"/>
  <c r="CO63" s="1"/>
  <c r="CO64" s="1"/>
  <c r="CP63" s="1"/>
  <c r="CP64" s="1"/>
  <c r="EJ39"/>
  <c r="EB39"/>
  <c r="DT39"/>
  <c r="DJ39"/>
  <c r="DB39"/>
  <c r="CT39"/>
  <c r="CJ39"/>
  <c r="CB39"/>
  <c r="BR39"/>
  <c r="BJ39"/>
  <c r="BB39"/>
  <c r="S39"/>
  <c r="Y13"/>
  <c r="AA13" s="1"/>
  <c r="AB13" s="1"/>
  <c r="AW5"/>
  <c r="AX4" s="1"/>
  <c r="AX5" s="1"/>
  <c r="AY4" s="1"/>
  <c r="Y37"/>
  <c r="AA37" s="1"/>
  <c r="F11"/>
  <c r="Y12"/>
  <c r="G15"/>
  <c r="G11" s="1"/>
  <c r="Z11"/>
  <c r="U11"/>
  <c r="Q11"/>
  <c r="M11"/>
  <c r="I11"/>
  <c r="E11"/>
  <c r="E5" s="1"/>
  <c r="F4" s="1"/>
  <c r="Y50"/>
  <c r="AA50" s="1"/>
  <c r="AB50" s="1"/>
  <c r="Y49"/>
  <c r="Y46"/>
  <c r="N39"/>
  <c r="I39"/>
  <c r="S15"/>
  <c r="S11" s="1"/>
  <c r="AA14"/>
  <c r="EK11"/>
  <c r="EG11"/>
  <c r="EC11"/>
  <c r="DY11"/>
  <c r="DU11"/>
  <c r="DQ11"/>
  <c r="DK11"/>
  <c r="DG11"/>
  <c r="DC11"/>
  <c r="CY11"/>
  <c r="CU11"/>
  <c r="CO11"/>
  <c r="CK11"/>
  <c r="CG11"/>
  <c r="CC11"/>
  <c r="BY11"/>
  <c r="BU11"/>
  <c r="BO11"/>
  <c r="BK11"/>
  <c r="BG11"/>
  <c r="BC11"/>
  <c r="AY11"/>
  <c r="R11"/>
  <c r="N11"/>
  <c r="J11"/>
  <c r="AV53"/>
  <c r="AA47"/>
  <c r="AB47" s="1"/>
  <c r="M39"/>
  <c r="EK39"/>
  <c r="EG39"/>
  <c r="EC39"/>
  <c r="DY39"/>
  <c r="DU39"/>
  <c r="DQ39"/>
  <c r="DK39"/>
  <c r="DG39"/>
  <c r="DC39"/>
  <c r="CY39"/>
  <c r="CU39"/>
  <c r="CO39"/>
  <c r="CK39"/>
  <c r="CG39"/>
  <c r="CC39"/>
  <c r="BY39"/>
  <c r="BU39"/>
  <c r="BO39"/>
  <c r="BK39"/>
  <c r="BG39"/>
  <c r="BC39"/>
  <c r="AY39"/>
  <c r="Z39"/>
  <c r="J39"/>
  <c r="F39"/>
  <c r="EH11"/>
  <c r="ED11"/>
  <c r="DZ11"/>
  <c r="DV11"/>
  <c r="DR11"/>
  <c r="DL11"/>
  <c r="DH11"/>
  <c r="DD11"/>
  <c r="CZ11"/>
  <c r="CV11"/>
  <c r="CP11"/>
  <c r="CL11"/>
  <c r="CH11"/>
  <c r="CD11"/>
  <c r="BZ11"/>
  <c r="BV11"/>
  <c r="BP11"/>
  <c r="BL11"/>
  <c r="BH11"/>
  <c r="BD11"/>
  <c r="AZ11"/>
  <c r="AA67" l="1"/>
  <c r="AA66" s="1"/>
  <c r="Y15"/>
  <c r="Y64"/>
  <c r="F5"/>
  <c r="G4" s="1"/>
  <c r="AU11"/>
  <c r="AY5"/>
  <c r="AZ4" s="1"/>
  <c r="AZ5" s="1"/>
  <c r="BA4" s="1"/>
  <c r="BA5" s="1"/>
  <c r="BB4" s="1"/>
  <c r="BB5" s="1"/>
  <c r="BC4" s="1"/>
  <c r="BU5"/>
  <c r="BV4" s="1"/>
  <c r="Y41"/>
  <c r="AA42"/>
  <c r="AU52"/>
  <c r="AU39" s="1"/>
  <c r="AA49"/>
  <c r="Y48"/>
  <c r="Y45"/>
  <c r="AA46"/>
  <c r="AB73"/>
  <c r="AB72" s="1"/>
  <c r="AB70" s="1"/>
  <c r="AB64" s="1"/>
  <c r="AA72"/>
  <c r="AA70" s="1"/>
  <c r="AA55"/>
  <c r="Y52"/>
  <c r="G5"/>
  <c r="H4" s="1"/>
  <c r="H5" s="1"/>
  <c r="I4" s="1"/>
  <c r="I5" s="1"/>
  <c r="J4" s="1"/>
  <c r="J5" s="1"/>
  <c r="K4" s="1"/>
  <c r="K5" s="1"/>
  <c r="L4" s="1"/>
  <c r="L5" s="1"/>
  <c r="M4" s="1"/>
  <c r="M5" s="1"/>
  <c r="N4" s="1"/>
  <c r="N5" s="1"/>
  <c r="O4" s="1"/>
  <c r="O5" s="1"/>
  <c r="P4" s="1"/>
  <c r="P5" s="1"/>
  <c r="Q4" s="1"/>
  <c r="Q5" s="1"/>
  <c r="R4" s="1"/>
  <c r="R5" s="1"/>
  <c r="S4" s="1"/>
  <c r="S5" s="1"/>
  <c r="T4" s="1"/>
  <c r="T5" s="1"/>
  <c r="U4" s="1"/>
  <c r="U5" s="1"/>
  <c r="V4" s="1"/>
  <c r="V5" s="1"/>
  <c r="W4" s="1"/>
  <c r="W5" s="1"/>
  <c r="X4" s="1"/>
  <c r="X5" s="1"/>
  <c r="Z4" s="1"/>
  <c r="Z5" s="1"/>
  <c r="BV5"/>
  <c r="BW4" s="1"/>
  <c r="BW5" s="1"/>
  <c r="BX4" s="1"/>
  <c r="BX5" s="1"/>
  <c r="BY4" s="1"/>
  <c r="BY5" s="1"/>
  <c r="BZ4" s="1"/>
  <c r="BZ5" s="1"/>
  <c r="CA4" s="1"/>
  <c r="CA5" s="1"/>
  <c r="CB4" s="1"/>
  <c r="CB5" s="1"/>
  <c r="CC4" s="1"/>
  <c r="CC5" s="1"/>
  <c r="CD4" s="1"/>
  <c r="CD5" s="1"/>
  <c r="CE4" s="1"/>
  <c r="CE5" s="1"/>
  <c r="CF4" s="1"/>
  <c r="CF5" s="1"/>
  <c r="CG4" s="1"/>
  <c r="CG5" s="1"/>
  <c r="CH4" s="1"/>
  <c r="CH5" s="1"/>
  <c r="CI4" s="1"/>
  <c r="CI5" s="1"/>
  <c r="CJ4" s="1"/>
  <c r="CJ5" s="1"/>
  <c r="CK4" s="1"/>
  <c r="CK5" s="1"/>
  <c r="CL4" s="1"/>
  <c r="CL5" s="1"/>
  <c r="CM4" s="1"/>
  <c r="CM5" s="1"/>
  <c r="CN4" s="1"/>
  <c r="CN5" s="1"/>
  <c r="CO4" s="1"/>
  <c r="CO5" s="1"/>
  <c r="CP4" s="1"/>
  <c r="CP5" s="1"/>
  <c r="Y11"/>
  <c r="AA12"/>
  <c r="BC5"/>
  <c r="BD4" s="1"/>
  <c r="BD5" s="1"/>
  <c r="BE4" s="1"/>
  <c r="BE5" s="1"/>
  <c r="BF4" s="1"/>
  <c r="BF5" s="1"/>
  <c r="BG4" s="1"/>
  <c r="BG5" s="1"/>
  <c r="BH4" s="1"/>
  <c r="BH5" s="1"/>
  <c r="BI4" s="1"/>
  <c r="BI5" s="1"/>
  <c r="BJ4" s="1"/>
  <c r="BJ5" s="1"/>
  <c r="BK4" s="1"/>
  <c r="BK5" s="1"/>
  <c r="BL4" s="1"/>
  <c r="BL5" s="1"/>
  <c r="BM4" s="1"/>
  <c r="BM5" s="1"/>
  <c r="BN4" s="1"/>
  <c r="BN5" s="1"/>
  <c r="BO4" s="1"/>
  <c r="BO5" s="1"/>
  <c r="BP4" s="1"/>
  <c r="BP5" s="1"/>
  <c r="BQ4" s="1"/>
  <c r="BQ5" s="1"/>
  <c r="BR4" s="1"/>
  <c r="BR5" s="1"/>
  <c r="CT5"/>
  <c r="CU4" s="1"/>
  <c r="CU5" s="1"/>
  <c r="CV4" s="1"/>
  <c r="CV5" s="1"/>
  <c r="CW4" s="1"/>
  <c r="CW5" s="1"/>
  <c r="CX4" s="1"/>
  <c r="CX5" s="1"/>
  <c r="CY4" s="1"/>
  <c r="CY5" s="1"/>
  <c r="CZ4" s="1"/>
  <c r="CZ5" s="1"/>
  <c r="DA4" s="1"/>
  <c r="DA5" s="1"/>
  <c r="DB4" s="1"/>
  <c r="DB5" s="1"/>
  <c r="DC4" s="1"/>
  <c r="DC5" s="1"/>
  <c r="DD4" s="1"/>
  <c r="DD5" s="1"/>
  <c r="DE4" s="1"/>
  <c r="DE5" s="1"/>
  <c r="DF4" s="1"/>
  <c r="DF5" s="1"/>
  <c r="DG4" s="1"/>
  <c r="DG5" s="1"/>
  <c r="DH4" s="1"/>
  <c r="DH5" s="1"/>
  <c r="DI4" s="1"/>
  <c r="DI5" s="1"/>
  <c r="DJ4" s="1"/>
  <c r="DJ5" s="1"/>
  <c r="DK4" s="1"/>
  <c r="DK5" s="1"/>
  <c r="DL4" s="1"/>
  <c r="DL5" s="1"/>
  <c r="DM4" s="1"/>
  <c r="DM5" s="1"/>
  <c r="DQ5"/>
  <c r="DR4" s="1"/>
  <c r="DR5" s="1"/>
  <c r="DS4" s="1"/>
  <c r="DS5" s="1"/>
  <c r="DT4" s="1"/>
  <c r="DT5" s="1"/>
  <c r="DU4" s="1"/>
  <c r="DU5" s="1"/>
  <c r="DV4" s="1"/>
  <c r="DV5" s="1"/>
  <c r="DW4" s="1"/>
  <c r="DW5" s="1"/>
  <c r="DX4" s="1"/>
  <c r="DX5" s="1"/>
  <c r="DY4" s="1"/>
  <c r="DY5" s="1"/>
  <c r="DZ4" s="1"/>
  <c r="DZ5" s="1"/>
  <c r="EA4" s="1"/>
  <c r="EA5" s="1"/>
  <c r="EB4" s="1"/>
  <c r="EB5" s="1"/>
  <c r="EC4" s="1"/>
  <c r="EC5" s="1"/>
  <c r="ED4" s="1"/>
  <c r="ED5" s="1"/>
  <c r="EE4" s="1"/>
  <c r="EE5" s="1"/>
  <c r="EF4" s="1"/>
  <c r="EF5" s="1"/>
  <c r="EG4" s="1"/>
  <c r="EG5" s="1"/>
  <c r="EH4" s="1"/>
  <c r="EH5" s="1"/>
  <c r="EI4" s="1"/>
  <c r="EI5" s="1"/>
  <c r="EJ4" s="1"/>
  <c r="EJ5" s="1"/>
  <c r="EK4" s="1"/>
  <c r="EK5" s="1"/>
  <c r="AA64" l="1"/>
  <c r="AV46"/>
  <c r="AV45" s="1"/>
  <c r="AA48"/>
  <c r="AB49"/>
  <c r="AB48" s="1"/>
  <c r="AB42"/>
  <c r="AB41" s="1"/>
  <c r="AA41"/>
  <c r="Y39"/>
  <c r="Y5" s="1"/>
  <c r="AB12"/>
  <c r="AB11" s="1"/>
  <c r="AA11"/>
  <c r="AB55"/>
  <c r="AB52" s="1"/>
  <c r="AA52"/>
  <c r="AV50"/>
  <c r="AV48" s="1"/>
  <c r="AB46"/>
  <c r="AB45" s="1"/>
  <c r="AA45"/>
  <c r="AV55"/>
  <c r="AV52" s="1"/>
  <c r="AU63" l="1"/>
  <c r="AU64" s="1"/>
  <c r="AB39"/>
  <c r="AA39"/>
  <c r="AA5" s="1"/>
  <c r="AU4" l="1"/>
  <c r="AU5" s="1"/>
</calcChain>
</file>

<file path=xl/comments1.xml><?xml version="1.0" encoding="utf-8"?>
<comments xmlns="http://schemas.openxmlformats.org/spreadsheetml/2006/main">
  <authors>
    <author>Sptrans</author>
  </authors>
  <commentList>
    <comment ref="AM33" authorId="0">
      <text>
        <r>
          <rPr>
            <sz val="9"/>
            <color indexed="81"/>
            <rFont val="Tahoma"/>
            <family val="2"/>
          </rPr>
          <t>710,00 LEILAO</t>
        </r>
      </text>
    </comment>
    <comment ref="AO33" authorId="0">
      <text>
        <r>
          <rPr>
            <sz val="9"/>
            <color indexed="81"/>
            <rFont val="Tahoma"/>
            <family val="2"/>
          </rPr>
          <t>900,00 LEILAO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>1.707.959
13º SALARIO
1.000.000 ajustado em 06/01/2015</t>
        </r>
      </text>
    </comment>
    <comment ref="AH47" authorId="0">
      <text>
        <r>
          <rPr>
            <b/>
            <sz val="9"/>
            <color indexed="81"/>
            <rFont val="Tahoma"/>
            <family val="2"/>
          </rPr>
          <t>Penhora viaçaõ castro de 01/12/2014 - R$ 4.493.537,11 (+) Rendimentos.</t>
        </r>
      </text>
    </comment>
    <comment ref="AI47" authorId="0">
      <text>
        <r>
          <rPr>
            <b/>
            <sz val="9"/>
            <color indexed="81"/>
            <rFont val="Tahoma"/>
            <family val="2"/>
          </rPr>
          <t>Transferencia para conta 1-6 - referente a penhora viação castro de 01/12/2014</t>
        </r>
      </text>
    </comment>
  </commentList>
</comments>
</file>

<file path=xl/sharedStrings.xml><?xml version="1.0" encoding="utf-8"?>
<sst xmlns="http://schemas.openxmlformats.org/spreadsheetml/2006/main" count="374" uniqueCount="76">
  <si>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</si>
  <si>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</si>
  <si>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</si>
  <si>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</si>
  <si>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</si>
  <si>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</si>
  <si>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</si>
  <si>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</si>
  <si>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</si>
  <si>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</si>
  <si>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REAL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</si>
  <si>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</si>
  <si>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</si>
  <si>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</si>
  <si>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</si>
  <si>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</si>
  <si>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</si>
  <si>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</si>
  <si>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</si>
  <si>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</si>
  <si>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</si>
  <si>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</si>
  <si>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</si>
  <si>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</si>
  <si>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</si>
  <si>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/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</si>
  <si>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</si>
  <si>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</si>
  <si>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</si>
  <si>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</si>
  <si>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</si>
  <si>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r>
      <t>Receita Emprést.</t>
    </r>
    <r>
      <rPr>
        <b/>
        <sz val="10"/>
        <color indexed="10"/>
        <rFont val="Arial"/>
        <family val="2"/>
      </rPr>
      <t xml:space="preserve"> / Devolução </t>
    </r>
    <r>
      <rPr>
        <b/>
        <sz val="10"/>
        <rFont val="Arial"/>
        <family val="2"/>
      </rPr>
      <t>p/Sistema</t>
    </r>
  </si>
  <si>
    <t>Recurso PMSP - Operação Man. Sist. Mun.Tran. Col.</t>
  </si>
  <si>
    <t>Recurso PMSP - Aumento Capital</t>
  </si>
  <si>
    <t>Outros</t>
  </si>
  <si>
    <t>A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</si>
  <si>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</si>
  <si>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</si>
  <si>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</si>
  <si>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</si>
  <si>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</si>
  <si>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</si>
  <si>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</si>
  <si>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</si>
  <si>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818/822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</si>
  <si>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</si>
  <si>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</si>
  <si>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</si>
  <si>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</si>
  <si>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</si>
  <si>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</si>
  <si>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</si>
  <si>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</si>
  <si>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Pendente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</si>
  <si>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</si>
  <si>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</si>
  <si>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</si>
  <si>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</si>
  <si>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</si>
  <si>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</si>
  <si>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</si>
  <si>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</si>
  <si>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</si>
  <si>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</si>
  <si>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</si>
  <si>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Previsto</t>
  </si>
  <si>
    <t>Final</t>
  </si>
  <si>
    <t>Total</t>
  </si>
  <si>
    <t>GERENCIAMENTO SISTEMA TRANSPORTE</t>
  </si>
  <si>
    <t>seg</t>
  </si>
  <si>
    <t>ter</t>
  </si>
  <si>
    <t>qua</t>
  </si>
  <si>
    <t>qui</t>
  </si>
  <si>
    <t>sex</t>
  </si>
  <si>
    <t>Orçado</t>
  </si>
  <si>
    <t>Real</t>
  </si>
</sst>
</file>

<file path=xl/styles.xml><?xml version="1.0" encoding="utf-8"?>
<styleSheet xmlns="http://schemas.openxmlformats.org/spreadsheetml/2006/main">
  <numFmts count="9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yy;@"/>
    <numFmt numFmtId="168" formatCode="[$-416]mmmm\-yy;@"/>
    <numFmt numFmtId="169" formatCode="dd/mm;@"/>
    <numFmt numFmtId="170" formatCode="#,##0_ ;[Red]\(#,##0\)"/>
    <numFmt numFmtId="171" formatCode="_(* #,##0_);[Black]_(* \(#,##0\);_(* &quot;-&quot;??_);_(@_)"/>
  </numFmts>
  <fonts count="17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2" fillId="0" borderId="0" xfId="2" applyFont="1" applyProtection="1"/>
    <xf numFmtId="0" fontId="2" fillId="0" borderId="0" xfId="2" applyFont="1" applyBorder="1" applyProtection="1"/>
    <xf numFmtId="0" fontId="2" fillId="2" borderId="0" xfId="2" applyFont="1" applyFill="1" applyProtection="1"/>
    <xf numFmtId="164" fontId="3" fillId="0" borderId="0" xfId="2" applyNumberFormat="1" applyFont="1" applyProtection="1"/>
    <xf numFmtId="0" fontId="4" fillId="0" borderId="0" xfId="2" applyFont="1" applyAlignment="1">
      <alignment horizontal="left"/>
    </xf>
    <xf numFmtId="0" fontId="1" fillId="0" borderId="0" xfId="2" applyFont="1" applyProtection="1"/>
    <xf numFmtId="0" fontId="5" fillId="0" borderId="0" xfId="2" applyFont="1" applyProtection="1"/>
    <xf numFmtId="0" fontId="3" fillId="0" borderId="0" xfId="2" applyFont="1" applyProtection="1"/>
    <xf numFmtId="43" fontId="2" fillId="0" borderId="0" xfId="1" applyFont="1" applyProtection="1"/>
    <xf numFmtId="0" fontId="5" fillId="2" borderId="0" xfId="2" applyFont="1" applyFill="1" applyProtection="1"/>
    <xf numFmtId="165" fontId="2" fillId="2" borderId="0" xfId="2" applyNumberFormat="1" applyFont="1" applyFill="1" applyProtection="1"/>
    <xf numFmtId="0" fontId="2" fillId="2" borderId="0" xfId="2" applyFont="1" applyFill="1" applyBorder="1" applyProtection="1"/>
    <xf numFmtId="166" fontId="2" fillId="2" borderId="0" xfId="2" applyNumberFormat="1" applyFont="1" applyFill="1" applyBorder="1" applyProtection="1"/>
    <xf numFmtId="164" fontId="3" fillId="2" borderId="0" xfId="2" applyNumberFormat="1" applyFont="1" applyFill="1" applyProtection="1"/>
    <xf numFmtId="0" fontId="1" fillId="2" borderId="0" xfId="2" applyFont="1" applyFill="1" applyProtection="1"/>
    <xf numFmtId="22" fontId="6" fillId="2" borderId="0" xfId="2" applyNumberFormat="1" applyFont="1" applyFill="1" applyAlignment="1" applyProtection="1">
      <alignment horizontal="left"/>
    </xf>
    <xf numFmtId="0" fontId="2" fillId="2" borderId="1" xfId="2" applyFont="1" applyFill="1" applyBorder="1" applyProtection="1"/>
    <xf numFmtId="166" fontId="5" fillId="2" borderId="2" xfId="2" applyNumberFormat="1" applyFont="1" applyFill="1" applyBorder="1" applyProtection="1"/>
    <xf numFmtId="3" fontId="7" fillId="3" borderId="1" xfId="2" applyNumberFormat="1" applyFont="1" applyFill="1" applyBorder="1" applyProtection="1"/>
    <xf numFmtId="166" fontId="5" fillId="2" borderId="1" xfId="2" applyNumberFormat="1" applyFont="1" applyFill="1" applyBorder="1" applyProtection="1"/>
    <xf numFmtId="166" fontId="5" fillId="3" borderId="1" xfId="2" applyNumberFormat="1" applyFont="1" applyFill="1" applyBorder="1" applyProtection="1"/>
    <xf numFmtId="0" fontId="4" fillId="2" borderId="3" xfId="2" applyFont="1" applyFill="1" applyBorder="1" applyAlignment="1" applyProtection="1">
      <alignment horizontal="left"/>
    </xf>
    <xf numFmtId="166" fontId="2" fillId="2" borderId="0" xfId="2" applyNumberFormat="1" applyFont="1" applyFill="1" applyProtection="1"/>
    <xf numFmtId="0" fontId="2" fillId="2" borderId="4" xfId="2" applyFont="1" applyFill="1" applyBorder="1" applyProtection="1"/>
    <xf numFmtId="166" fontId="5" fillId="2" borderId="0" xfId="2" applyNumberFormat="1" applyFont="1" applyFill="1" applyBorder="1" applyProtection="1"/>
    <xf numFmtId="3" fontId="7" fillId="3" borderId="4" xfId="2" applyNumberFormat="1" applyFont="1" applyFill="1" applyBorder="1" applyProtection="1"/>
    <xf numFmtId="166" fontId="5" fillId="2" borderId="4" xfId="2" applyNumberFormat="1" applyFont="1" applyFill="1" applyBorder="1" applyProtection="1"/>
    <xf numFmtId="166" fontId="5" fillId="3" borderId="4" xfId="2" applyNumberFormat="1" applyFont="1" applyFill="1" applyBorder="1" applyProtection="1"/>
    <xf numFmtId="0" fontId="4" fillId="2" borderId="5" xfId="2" applyFont="1" applyFill="1" applyBorder="1" applyAlignment="1" applyProtection="1">
      <alignment horizontal="left"/>
    </xf>
    <xf numFmtId="0" fontId="2" fillId="0" borderId="6" xfId="2" applyFont="1" applyBorder="1" applyProtection="1"/>
    <xf numFmtId="166" fontId="7" fillId="4" borderId="7" xfId="3" applyNumberFormat="1" applyFont="1" applyFill="1" applyBorder="1" applyAlignment="1" applyProtection="1">
      <alignment horizontal="right"/>
    </xf>
    <xf numFmtId="3" fontId="7" fillId="3" borderId="6" xfId="2" applyNumberFormat="1" applyFont="1" applyFill="1" applyBorder="1" applyProtection="1"/>
    <xf numFmtId="166" fontId="7" fillId="4" borderId="6" xfId="3" applyNumberFormat="1" applyFont="1" applyFill="1" applyBorder="1" applyAlignment="1" applyProtection="1">
      <alignment horizontal="right"/>
    </xf>
    <xf numFmtId="166" fontId="7" fillId="3" borderId="6" xfId="3" applyNumberFormat="1" applyFont="1" applyFill="1" applyBorder="1" applyAlignment="1" applyProtection="1">
      <alignment horizontal="right"/>
    </xf>
    <xf numFmtId="164" fontId="4" fillId="4" borderId="8" xfId="3" applyNumberFormat="1" applyFont="1" applyFill="1" applyBorder="1" applyAlignment="1" applyProtection="1">
      <alignment horizontal="center"/>
    </xf>
    <xf numFmtId="0" fontId="1" fillId="0" borderId="0" xfId="2" applyFont="1" applyBorder="1" applyProtection="1"/>
    <xf numFmtId="0" fontId="5" fillId="0" borderId="0" xfId="2" applyFont="1"/>
    <xf numFmtId="0" fontId="5" fillId="0" borderId="0" xfId="2" applyFont="1" applyBorder="1"/>
    <xf numFmtId="166" fontId="5" fillId="0" borderId="0" xfId="2" applyNumberFormat="1" applyFont="1"/>
    <xf numFmtId="166" fontId="5" fillId="0" borderId="0" xfId="2" applyNumberFormat="1" applyFont="1" applyBorder="1"/>
    <xf numFmtId="0" fontId="1" fillId="0" borderId="0" xfId="2" applyFont="1"/>
    <xf numFmtId="0" fontId="2" fillId="0" borderId="9" xfId="2" applyFont="1" applyBorder="1" applyProtection="1"/>
    <xf numFmtId="166" fontId="7" fillId="4" borderId="10" xfId="3" applyNumberFormat="1" applyFont="1" applyFill="1" applyBorder="1" applyAlignment="1" applyProtection="1">
      <alignment horizontal="right"/>
    </xf>
    <xf numFmtId="0" fontId="2" fillId="3" borderId="9" xfId="2" applyFont="1" applyFill="1" applyBorder="1" applyProtection="1"/>
    <xf numFmtId="166" fontId="7" fillId="4" borderId="9" xfId="3" applyNumberFormat="1" applyFont="1" applyFill="1" applyBorder="1" applyAlignment="1" applyProtection="1">
      <alignment horizontal="right"/>
    </xf>
    <xf numFmtId="166" fontId="7" fillId="3" borderId="9" xfId="3" applyNumberFormat="1" applyFont="1" applyFill="1" applyBorder="1" applyAlignment="1" applyProtection="1">
      <alignment horizontal="right"/>
    </xf>
    <xf numFmtId="164" fontId="4" fillId="4" borderId="11" xfId="3" applyNumberFormat="1" applyFont="1" applyFill="1" applyBorder="1" applyAlignment="1" applyProtection="1">
      <alignment horizontal="center"/>
    </xf>
    <xf numFmtId="166" fontId="8" fillId="2" borderId="2" xfId="2" applyNumberFormat="1" applyFont="1" applyFill="1" applyBorder="1" applyProtection="1"/>
    <xf numFmtId="166" fontId="2" fillId="2" borderId="1" xfId="2" applyNumberFormat="1" applyFont="1" applyFill="1" applyBorder="1" applyProtection="1"/>
    <xf numFmtId="166" fontId="8" fillId="2" borderId="1" xfId="2" applyNumberFormat="1" applyFont="1" applyFill="1" applyBorder="1" applyProtection="1"/>
    <xf numFmtId="0" fontId="9" fillId="2" borderId="3" xfId="2" applyFont="1" applyFill="1" applyBorder="1" applyAlignment="1" applyProtection="1">
      <alignment horizontal="left"/>
    </xf>
    <xf numFmtId="166" fontId="8" fillId="2" borderId="0" xfId="2" applyNumberFormat="1" applyFont="1" applyFill="1" applyBorder="1" applyProtection="1"/>
    <xf numFmtId="0" fontId="2" fillId="3" borderId="4" xfId="2" applyFont="1" applyFill="1" applyBorder="1" applyProtection="1"/>
    <xf numFmtId="166" fontId="2" fillId="2" borderId="4" xfId="2" applyNumberFormat="1" applyFont="1" applyFill="1" applyBorder="1" applyProtection="1"/>
    <xf numFmtId="166" fontId="8" fillId="2" borderId="4" xfId="2" applyNumberFormat="1" applyFont="1" applyFill="1" applyBorder="1" applyProtection="1"/>
    <xf numFmtId="0" fontId="9" fillId="2" borderId="5" xfId="2" applyFont="1" applyFill="1" applyBorder="1" applyAlignment="1" applyProtection="1">
      <alignment horizontal="left"/>
    </xf>
    <xf numFmtId="0" fontId="2" fillId="3" borderId="6" xfId="2" applyFont="1" applyFill="1" applyBorder="1" applyProtection="1"/>
    <xf numFmtId="0" fontId="2" fillId="2" borderId="10" xfId="2" applyFont="1" applyFill="1" applyBorder="1" applyProtection="1"/>
    <xf numFmtId="166" fontId="2" fillId="2" borderId="10" xfId="2" applyNumberFormat="1" applyFont="1" applyFill="1" applyBorder="1" applyProtection="1"/>
    <xf numFmtId="164" fontId="4" fillId="2" borderId="0" xfId="3" applyNumberFormat="1" applyFont="1" applyFill="1" applyBorder="1" applyAlignment="1" applyProtection="1">
      <alignment horizontal="left"/>
    </xf>
    <xf numFmtId="0" fontId="1" fillId="2" borderId="0" xfId="2" applyFont="1" applyFill="1" applyBorder="1" applyProtection="1"/>
    <xf numFmtId="0" fontId="2" fillId="0" borderId="1" xfId="2" applyFont="1" applyBorder="1" applyProtection="1"/>
    <xf numFmtId="166" fontId="7" fillId="4" borderId="2" xfId="3" applyNumberFormat="1" applyFont="1" applyFill="1" applyBorder="1" applyAlignment="1" applyProtection="1">
      <alignment horizontal="right"/>
    </xf>
    <xf numFmtId="0" fontId="2" fillId="3" borderId="1" xfId="2" applyFont="1" applyFill="1" applyBorder="1" applyProtection="1"/>
    <xf numFmtId="166" fontId="7" fillId="4" borderId="1" xfId="3" applyNumberFormat="1" applyFont="1" applyFill="1" applyBorder="1" applyAlignment="1" applyProtection="1">
      <alignment horizontal="right"/>
    </xf>
    <xf numFmtId="166" fontId="7" fillId="3" borderId="1" xfId="3" applyNumberFormat="1" applyFont="1" applyFill="1" applyBorder="1" applyAlignment="1" applyProtection="1">
      <alignment horizontal="right"/>
    </xf>
    <xf numFmtId="164" fontId="4" fillId="4" borderId="3" xfId="3" applyNumberFormat="1" applyFont="1" applyFill="1" applyBorder="1" applyAlignment="1" applyProtection="1">
      <alignment horizontal="center"/>
    </xf>
    <xf numFmtId="166" fontId="7" fillId="0" borderId="7" xfId="2" applyNumberFormat="1" applyFont="1" applyBorder="1" applyProtection="1"/>
    <xf numFmtId="166" fontId="7" fillId="2" borderId="6" xfId="2" applyNumberFormat="1" applyFont="1" applyFill="1" applyBorder="1" applyProtection="1"/>
    <xf numFmtId="166" fontId="2" fillId="3" borderId="6" xfId="2" applyNumberFormat="1" applyFont="1" applyFill="1" applyBorder="1" applyProtection="1"/>
    <xf numFmtId="166" fontId="7" fillId="2" borderId="7" xfId="2" applyNumberFormat="1" applyFont="1" applyFill="1" applyBorder="1" applyProtection="1"/>
    <xf numFmtId="164" fontId="4" fillId="2" borderId="8" xfId="3" applyNumberFormat="1" applyFont="1" applyFill="1" applyBorder="1" applyAlignment="1" applyProtection="1">
      <alignment horizontal="center"/>
    </xf>
    <xf numFmtId="167" fontId="10" fillId="5" borderId="1" xfId="3" applyNumberFormat="1" applyFont="1" applyFill="1" applyBorder="1" applyAlignment="1" applyProtection="1">
      <alignment horizontal="center" vertical="center"/>
    </xf>
    <xf numFmtId="38" fontId="11" fillId="2" borderId="0" xfId="2" applyNumberFormat="1" applyFont="1" applyFill="1" applyBorder="1" applyAlignment="1" applyProtection="1">
      <alignment horizontal="right" vertical="center"/>
    </xf>
    <xf numFmtId="168" fontId="7" fillId="3" borderId="1" xfId="3" applyNumberFormat="1" applyFont="1" applyFill="1" applyBorder="1" applyAlignment="1" applyProtection="1">
      <alignment horizontal="right" vertical="center"/>
    </xf>
    <xf numFmtId="167" fontId="10" fillId="2" borderId="1" xfId="3" applyNumberFormat="1" applyFont="1" applyFill="1" applyBorder="1" applyAlignment="1" applyProtection="1">
      <alignment horizontal="center" vertical="center"/>
    </xf>
    <xf numFmtId="14" fontId="10" fillId="2" borderId="1" xfId="3" applyNumberFormat="1" applyFont="1" applyFill="1" applyBorder="1" applyAlignment="1" applyProtection="1">
      <alignment horizontal="center" vertical="center"/>
    </xf>
    <xf numFmtId="38" fontId="11" fillId="6" borderId="0" xfId="2" applyNumberFormat="1" applyFont="1" applyFill="1" applyBorder="1" applyAlignment="1" applyProtection="1">
      <alignment horizontal="right" vertical="center"/>
    </xf>
    <xf numFmtId="167" fontId="10" fillId="3" borderId="1" xfId="3" applyNumberFormat="1" applyFont="1" applyFill="1" applyBorder="1" applyAlignment="1" applyProtection="1">
      <alignment horizontal="center" vertical="center"/>
    </xf>
    <xf numFmtId="168" fontId="7" fillId="2" borderId="1" xfId="3" applyNumberFormat="1" applyFont="1" applyFill="1" applyBorder="1" applyAlignment="1" applyProtection="1">
      <alignment horizontal="right" vertical="center"/>
    </xf>
    <xf numFmtId="168" fontId="10" fillId="5" borderId="4" xfId="3" applyNumberFormat="1" applyFont="1" applyFill="1" applyBorder="1" applyAlignment="1" applyProtection="1">
      <alignment horizontal="center" vertical="center"/>
    </xf>
    <xf numFmtId="169" fontId="8" fillId="2" borderId="0" xfId="2" applyNumberFormat="1" applyFont="1" applyFill="1" applyBorder="1" applyAlignment="1" applyProtection="1">
      <alignment horizontal="right" vertical="center"/>
    </xf>
    <xf numFmtId="168" fontId="7" fillId="3" borderId="4" xfId="3" applyNumberFormat="1" applyFont="1" applyFill="1" applyBorder="1" applyAlignment="1" applyProtection="1">
      <alignment horizontal="right" vertical="center"/>
    </xf>
    <xf numFmtId="168" fontId="10" fillId="2" borderId="4" xfId="3" applyNumberFormat="1" applyFont="1" applyFill="1" applyBorder="1" applyAlignment="1" applyProtection="1">
      <alignment horizontal="center" vertical="center"/>
    </xf>
    <xf numFmtId="168" fontId="10" fillId="3" borderId="4" xfId="3" applyNumberFormat="1" applyFont="1" applyFill="1" applyBorder="1" applyAlignment="1" applyProtection="1">
      <alignment horizontal="center" vertical="center"/>
    </xf>
    <xf numFmtId="169" fontId="8" fillId="2" borderId="0" xfId="2" applyNumberFormat="1" applyFont="1" applyFill="1" applyAlignment="1" applyProtection="1">
      <alignment horizontal="right" vertical="center"/>
    </xf>
    <xf numFmtId="168" fontId="7" fillId="2" borderId="4" xfId="3" applyNumberFormat="1" applyFont="1" applyFill="1" applyBorder="1" applyAlignment="1" applyProtection="1">
      <alignment horizontal="right" vertical="center"/>
    </xf>
    <xf numFmtId="168" fontId="5" fillId="2" borderId="0" xfId="3" applyNumberFormat="1" applyFont="1" applyFill="1" applyBorder="1" applyAlignment="1" applyProtection="1">
      <alignment horizontal="center" vertical="center"/>
    </xf>
    <xf numFmtId="168" fontId="10" fillId="5" borderId="6" xfId="3" applyNumberFormat="1" applyFont="1" applyFill="1" applyBorder="1" applyAlignment="1" applyProtection="1">
      <alignment horizontal="center" vertical="center"/>
    </xf>
    <xf numFmtId="168" fontId="7" fillId="3" borderId="6" xfId="3" applyNumberFormat="1" applyFont="1" applyFill="1" applyBorder="1" applyAlignment="1" applyProtection="1">
      <alignment horizontal="right" vertical="center"/>
    </xf>
    <xf numFmtId="168" fontId="10" fillId="2" borderId="6" xfId="3" applyNumberFormat="1" applyFont="1" applyFill="1" applyBorder="1" applyAlignment="1" applyProtection="1">
      <alignment horizontal="center" vertical="center"/>
    </xf>
    <xf numFmtId="168" fontId="10" fillId="3" borderId="6" xfId="3" applyNumberFormat="1" applyFont="1" applyFill="1" applyBorder="1" applyAlignment="1" applyProtection="1">
      <alignment horizontal="center" vertical="center"/>
    </xf>
    <xf numFmtId="168" fontId="7" fillId="2" borderId="6" xfId="3" applyNumberFormat="1" applyFont="1" applyFill="1" applyBorder="1" applyAlignment="1" applyProtection="1">
      <alignment horizontal="right" vertical="center"/>
    </xf>
    <xf numFmtId="0" fontId="4" fillId="2" borderId="0" xfId="2" quotePrefix="1" applyFont="1" applyFill="1" applyBorder="1" applyAlignment="1" applyProtection="1">
      <alignment horizontal="center" vertical="center"/>
    </xf>
    <xf numFmtId="0" fontId="1" fillId="2" borderId="0" xfId="2" applyFont="1" applyFill="1" applyBorder="1" applyAlignment="1" applyProtection="1">
      <alignment horizontal="left"/>
    </xf>
    <xf numFmtId="166" fontId="8" fillId="3" borderId="1" xfId="2" applyNumberFormat="1" applyFont="1" applyFill="1" applyBorder="1" applyProtection="1"/>
    <xf numFmtId="166" fontId="8" fillId="3" borderId="4" xfId="2" applyNumberFormat="1" applyFont="1" applyFill="1" applyBorder="1" applyProtection="1"/>
    <xf numFmtId="166" fontId="7" fillId="4" borderId="4" xfId="3" applyNumberFormat="1" applyFont="1" applyFill="1" applyBorder="1" applyAlignment="1" applyProtection="1">
      <alignment horizontal="right"/>
    </xf>
    <xf numFmtId="166" fontId="7" fillId="4" borderId="0" xfId="3" applyNumberFormat="1" applyFont="1" applyFill="1" applyBorder="1" applyAlignment="1" applyProtection="1">
      <alignment horizontal="right"/>
    </xf>
    <xf numFmtId="166" fontId="7" fillId="3" borderId="4" xfId="3" applyNumberFormat="1" applyFont="1" applyFill="1" applyBorder="1" applyAlignment="1" applyProtection="1">
      <alignment horizontal="right"/>
    </xf>
    <xf numFmtId="164" fontId="4" fillId="4" borderId="5" xfId="3" applyNumberFormat="1" applyFont="1" applyFill="1" applyBorder="1" applyAlignment="1" applyProtection="1">
      <alignment horizontal="center"/>
    </xf>
    <xf numFmtId="0" fontId="1" fillId="2" borderId="0" xfId="2" quotePrefix="1" applyFont="1" applyFill="1" applyProtection="1"/>
    <xf numFmtId="166" fontId="7" fillId="2" borderId="0" xfId="3" quotePrefix="1" applyNumberFormat="1" applyFont="1" applyFill="1" applyBorder="1" applyAlignment="1" applyProtection="1">
      <alignment horizontal="right"/>
    </xf>
    <xf numFmtId="166" fontId="2" fillId="0" borderId="0" xfId="2" applyNumberFormat="1" applyFont="1" applyBorder="1" applyProtection="1"/>
    <xf numFmtId="164" fontId="1" fillId="2" borderId="0" xfId="3" applyNumberFormat="1" applyFont="1" applyFill="1" applyBorder="1" applyAlignment="1" applyProtection="1">
      <alignment horizontal="left"/>
    </xf>
    <xf numFmtId="166" fontId="8" fillId="2" borderId="9" xfId="2" applyNumberFormat="1" applyFont="1" applyFill="1" applyBorder="1" applyProtection="1"/>
    <xf numFmtId="166" fontId="8" fillId="2" borderId="10" xfId="2" applyNumberFormat="1" applyFont="1" applyFill="1" applyBorder="1" applyProtection="1"/>
    <xf numFmtId="166" fontId="8" fillId="3" borderId="9" xfId="2" applyNumberFormat="1" applyFont="1" applyFill="1" applyBorder="1" applyProtection="1"/>
    <xf numFmtId="166" fontId="12" fillId="2" borderId="9" xfId="2" applyNumberFormat="1" applyFont="1" applyFill="1" applyBorder="1" applyProtection="1"/>
    <xf numFmtId="166" fontId="7" fillId="2" borderId="9" xfId="2" applyNumberFormat="1" applyFont="1" applyFill="1" applyBorder="1" applyProtection="1"/>
    <xf numFmtId="0" fontId="9" fillId="2" borderId="11" xfId="2" applyFont="1" applyFill="1" applyBorder="1" applyAlignment="1" applyProtection="1">
      <alignment horizontal="left"/>
    </xf>
    <xf numFmtId="0" fontId="2" fillId="2" borderId="0" xfId="2" applyFont="1" applyFill="1" applyAlignment="1" applyProtection="1">
      <alignment horizontal="center"/>
    </xf>
    <xf numFmtId="166" fontId="8" fillId="2" borderId="0" xfId="2" applyNumberFormat="1" applyFont="1" applyFill="1" applyBorder="1" applyAlignment="1" applyProtection="1">
      <alignment horizontal="center"/>
    </xf>
    <xf numFmtId="0" fontId="9" fillId="2" borderId="0" xfId="2" applyFont="1" applyFill="1" applyBorder="1" applyAlignment="1" applyProtection="1">
      <alignment horizontal="center"/>
    </xf>
    <xf numFmtId="0" fontId="4" fillId="0" borderId="0" xfId="2" applyFont="1" applyAlignment="1">
      <alignment horizontal="center"/>
    </xf>
    <xf numFmtId="0" fontId="1" fillId="2" borderId="0" xfId="2" applyFont="1" applyFill="1" applyAlignment="1" applyProtection="1">
      <alignment horizontal="center"/>
    </xf>
    <xf numFmtId="166" fontId="8" fillId="7" borderId="4" xfId="2" applyNumberFormat="1" applyFont="1" applyFill="1" applyBorder="1" applyProtection="1"/>
    <xf numFmtId="166" fontId="8" fillId="7" borderId="0" xfId="2" applyNumberFormat="1" applyFont="1" applyFill="1" applyBorder="1" applyProtection="1"/>
    <xf numFmtId="0" fontId="9" fillId="7" borderId="5" xfId="2" applyFont="1" applyFill="1" applyBorder="1" applyAlignment="1" applyProtection="1">
      <alignment horizontal="right"/>
    </xf>
    <xf numFmtId="0" fontId="4" fillId="2" borderId="0" xfId="2" applyFont="1" applyFill="1" applyAlignment="1">
      <alignment horizontal="left"/>
    </xf>
    <xf numFmtId="0" fontId="1" fillId="7" borderId="0" xfId="2" applyFont="1" applyFill="1"/>
    <xf numFmtId="166" fontId="8" fillId="3" borderId="0" xfId="2" applyNumberFormat="1" applyFont="1" applyFill="1" applyBorder="1" applyProtection="1"/>
    <xf numFmtId="43" fontId="2" fillId="2" borderId="0" xfId="1" applyFont="1" applyFill="1" applyBorder="1" applyProtection="1"/>
    <xf numFmtId="164" fontId="4" fillId="2" borderId="0" xfId="3" applyNumberFormat="1" applyFont="1" applyFill="1" applyBorder="1" applyAlignment="1" applyProtection="1">
      <alignment horizontal="center"/>
    </xf>
    <xf numFmtId="166" fontId="12" fillId="2" borderId="1" xfId="2" applyNumberFormat="1" applyFont="1" applyFill="1" applyBorder="1" applyProtection="1"/>
    <xf numFmtId="166" fontId="12" fillId="2" borderId="2" xfId="2" applyNumberFormat="1" applyFont="1" applyFill="1" applyBorder="1" applyProtection="1"/>
    <xf numFmtId="166" fontId="12" fillId="3" borderId="1" xfId="2" applyNumberFormat="1" applyFont="1" applyFill="1" applyBorder="1" applyProtection="1"/>
    <xf numFmtId="166" fontId="7" fillId="2" borderId="1" xfId="2" applyNumberFormat="1" applyFont="1" applyFill="1" applyBorder="1" applyProtection="1"/>
    <xf numFmtId="166" fontId="7" fillId="2" borderId="2" xfId="2" applyNumberFormat="1" applyFont="1" applyFill="1" applyBorder="1" applyProtection="1"/>
    <xf numFmtId="0" fontId="7" fillId="0" borderId="3" xfId="2" applyFont="1" applyBorder="1" applyAlignment="1" applyProtection="1">
      <alignment horizontal="right"/>
    </xf>
    <xf numFmtId="166" fontId="12" fillId="2" borderId="4" xfId="2" applyNumberFormat="1" applyFont="1" applyFill="1" applyBorder="1" applyProtection="1"/>
    <xf numFmtId="166" fontId="12" fillId="2" borderId="0" xfId="2" applyNumberFormat="1" applyFont="1" applyFill="1" applyBorder="1" applyProtection="1"/>
    <xf numFmtId="166" fontId="12" fillId="3" borderId="4" xfId="2" applyNumberFormat="1" applyFont="1" applyFill="1" applyBorder="1" applyProtection="1"/>
    <xf numFmtId="166" fontId="7" fillId="2" borderId="4" xfId="2" applyNumberFormat="1" applyFont="1" applyFill="1" applyBorder="1" applyProtection="1"/>
    <xf numFmtId="166" fontId="7" fillId="2" borderId="0" xfId="2" applyNumberFormat="1" applyFont="1" applyFill="1" applyBorder="1" applyProtection="1"/>
    <xf numFmtId="0" fontId="7" fillId="0" borderId="5" xfId="2" applyFont="1" applyBorder="1" applyAlignment="1" applyProtection="1">
      <alignment horizontal="right"/>
    </xf>
    <xf numFmtId="166" fontId="12" fillId="2" borderId="6" xfId="2" applyNumberFormat="1" applyFont="1" applyFill="1" applyBorder="1" applyProtection="1"/>
    <xf numFmtId="166" fontId="12" fillId="2" borderId="7" xfId="2" applyNumberFormat="1" applyFont="1" applyFill="1" applyBorder="1" applyProtection="1"/>
    <xf numFmtId="166" fontId="12" fillId="3" borderId="6" xfId="2" applyNumberFormat="1" applyFont="1" applyFill="1" applyBorder="1" applyProtection="1"/>
    <xf numFmtId="0" fontId="7" fillId="0" borderId="8" xfId="2" applyFont="1" applyBorder="1" applyAlignment="1" applyProtection="1">
      <alignment horizontal="right"/>
    </xf>
    <xf numFmtId="0" fontId="1" fillId="0" borderId="0" xfId="2"/>
    <xf numFmtId="0" fontId="1" fillId="0" borderId="0" xfId="2" applyBorder="1"/>
    <xf numFmtId="166" fontId="1" fillId="0" borderId="0" xfId="2" applyNumberFormat="1" applyBorder="1"/>
    <xf numFmtId="170" fontId="1" fillId="0" borderId="0" xfId="2" applyNumberFormat="1" applyBorder="1"/>
    <xf numFmtId="170" fontId="1" fillId="0" borderId="0" xfId="2" applyNumberFormat="1"/>
    <xf numFmtId="166" fontId="1" fillId="0" borderId="0" xfId="2" applyNumberFormat="1"/>
    <xf numFmtId="166" fontId="1" fillId="0" borderId="12" xfId="2" applyNumberFormat="1" applyBorder="1"/>
    <xf numFmtId="166" fontId="1" fillId="2" borderId="0" xfId="2" applyNumberFormat="1" applyFill="1"/>
    <xf numFmtId="0" fontId="4" fillId="0" borderId="0" xfId="2" applyFont="1"/>
    <xf numFmtId="166" fontId="7" fillId="4" borderId="13" xfId="3" applyNumberFormat="1" applyFont="1" applyFill="1" applyBorder="1" applyAlignment="1" applyProtection="1">
      <alignment horizontal="right"/>
    </xf>
    <xf numFmtId="166" fontId="7" fillId="3" borderId="13" xfId="3" applyNumberFormat="1" applyFont="1" applyFill="1" applyBorder="1" applyAlignment="1" applyProtection="1">
      <alignment horizontal="right"/>
    </xf>
    <xf numFmtId="170" fontId="7" fillId="4" borderId="1" xfId="3" applyNumberFormat="1" applyFont="1" applyFill="1" applyBorder="1" applyAlignment="1" applyProtection="1">
      <alignment horizontal="right"/>
    </xf>
    <xf numFmtId="171" fontId="7" fillId="4" borderId="1" xfId="3" applyNumberFormat="1" applyFont="1" applyFill="1" applyBorder="1" applyAlignment="1" applyProtection="1">
      <alignment horizontal="right"/>
    </xf>
    <xf numFmtId="170" fontId="7" fillId="4" borderId="13" xfId="3" applyNumberFormat="1" applyFont="1" applyFill="1" applyBorder="1" applyAlignment="1" applyProtection="1">
      <alignment horizontal="right"/>
    </xf>
    <xf numFmtId="170" fontId="7" fillId="4" borderId="2" xfId="3" applyNumberFormat="1" applyFont="1" applyFill="1" applyBorder="1" applyAlignment="1" applyProtection="1">
      <alignment horizontal="right"/>
    </xf>
    <xf numFmtId="171" fontId="7" fillId="4" borderId="2" xfId="3" applyNumberFormat="1" applyFont="1" applyFill="1" applyBorder="1" applyAlignment="1" applyProtection="1">
      <alignment horizontal="right"/>
    </xf>
    <xf numFmtId="166" fontId="7" fillId="0" borderId="14" xfId="2" applyNumberFormat="1" applyFont="1" applyBorder="1" applyProtection="1"/>
    <xf numFmtId="166" fontId="7" fillId="0" borderId="6" xfId="2" applyNumberFormat="1" applyFont="1" applyBorder="1" applyProtection="1"/>
    <xf numFmtId="166" fontId="7" fillId="3" borderId="14" xfId="2" applyNumberFormat="1" applyFont="1" applyFill="1" applyBorder="1" applyProtection="1"/>
    <xf numFmtId="171" fontId="7" fillId="2" borderId="6" xfId="2" applyNumberFormat="1" applyFont="1" applyFill="1" applyBorder="1" applyProtection="1"/>
    <xf numFmtId="166" fontId="7" fillId="3" borderId="6" xfId="2" applyNumberFormat="1" applyFont="1" applyFill="1" applyBorder="1" applyProtection="1"/>
    <xf numFmtId="171" fontId="7" fillId="0" borderId="14" xfId="2" applyNumberFormat="1" applyFont="1" applyBorder="1" applyProtection="1"/>
    <xf numFmtId="171" fontId="7" fillId="0" borderId="7" xfId="2" applyNumberFormat="1" applyFont="1" applyBorder="1" applyProtection="1"/>
    <xf numFmtId="171" fontId="7" fillId="2" borderId="7" xfId="2" applyNumberFormat="1" applyFont="1" applyFill="1" applyBorder="1" applyProtection="1"/>
    <xf numFmtId="169" fontId="14" fillId="2" borderId="0" xfId="2" applyNumberFormat="1" applyFont="1" applyFill="1" applyAlignment="1" applyProtection="1">
      <alignment horizontal="right" vertical="center"/>
    </xf>
    <xf numFmtId="14" fontId="14" fillId="2" borderId="0" xfId="2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</cellXfs>
  <cellStyles count="6">
    <cellStyle name="Normal" xfId="0" builtinId="0"/>
    <cellStyle name="Normal 2" xfId="2"/>
    <cellStyle name="Separador de milhares" xfId="1" builtinId="3"/>
    <cellStyle name="Separador de milhares 2" xfId="4"/>
    <cellStyle name="Separador de milhares 2 2" xfId="3"/>
    <cellStyle name="Separador de milhares 3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257175</xdr:rowOff>
    </xdr:from>
    <xdr:to>
      <xdr:col>32</xdr:col>
      <xdr:colOff>208547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29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29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28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26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26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28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28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AlternateStartup" Target="2015/2015%20fluxos/Fluxo%20Caixa%20Diario%202015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estão"/>
      <sheetName val="Sistema"/>
      <sheetName val="receita_remuneração"/>
      <sheetName val="Abertura Previsao"/>
    </sheetNames>
    <sheetDataSet>
      <sheetData sheetId="0"/>
      <sheetData sheetId="1">
        <row r="1">
          <cell r="AM1">
            <v>42053</v>
          </cell>
          <cell r="AN1">
            <v>42054</v>
          </cell>
          <cell r="AO1">
            <v>42055</v>
          </cell>
          <cell r="AP1">
            <v>42058</v>
          </cell>
          <cell r="AQ1">
            <v>42059</v>
          </cell>
          <cell r="AR1">
            <v>42060</v>
          </cell>
          <cell r="AS1">
            <v>42061</v>
          </cell>
          <cell r="AT1">
            <v>42062</v>
          </cell>
        </row>
        <row r="2">
          <cell r="AM2" t="str">
            <v>qua</v>
          </cell>
          <cell r="AN2" t="str">
            <v>qui</v>
          </cell>
          <cell r="AO2" t="str">
            <v>sex</v>
          </cell>
          <cell r="AP2" t="str">
            <v>seg</v>
          </cell>
          <cell r="AQ2" t="str">
            <v>ter</v>
          </cell>
          <cell r="AR2" t="str">
            <v>qua</v>
          </cell>
          <cell r="AS2" t="str">
            <v>qui</v>
          </cell>
          <cell r="AT2" t="str">
            <v>sex</v>
          </cell>
        </row>
        <row r="54">
          <cell r="AM54">
            <v>0</v>
          </cell>
          <cell r="AN54">
            <v>0</v>
          </cell>
          <cell r="AO54">
            <v>0</v>
          </cell>
          <cell r="AP54">
            <v>204.39</v>
          </cell>
          <cell r="AQ54">
            <v>3076.68</v>
          </cell>
          <cell r="AR54">
            <v>0</v>
          </cell>
          <cell r="AS54">
            <v>1755205.0200000003</v>
          </cell>
          <cell r="AT54">
            <v>0</v>
          </cell>
        </row>
        <row r="64">
          <cell r="AM64">
            <v>3800.13</v>
          </cell>
          <cell r="AN64">
            <v>3800</v>
          </cell>
          <cell r="AO64">
            <v>3800.13</v>
          </cell>
          <cell r="AP64">
            <v>3800</v>
          </cell>
          <cell r="AQ64">
            <v>19000.650000000001</v>
          </cell>
          <cell r="AR64">
            <v>3800.13</v>
          </cell>
          <cell r="AS64">
            <v>3800</v>
          </cell>
          <cell r="AT64">
            <v>11400.39</v>
          </cell>
        </row>
        <row r="71">
          <cell r="AM71">
            <v>2733.5</v>
          </cell>
          <cell r="AN71">
            <v>10461.5</v>
          </cell>
          <cell r="AO71">
            <v>2765</v>
          </cell>
          <cell r="AP71">
            <v>2467.5</v>
          </cell>
          <cell r="AQ71">
            <v>6317.5</v>
          </cell>
          <cell r="AR71">
            <v>186973</v>
          </cell>
          <cell r="AS71">
            <v>2586.5</v>
          </cell>
          <cell r="AT71">
            <v>2282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OL111"/>
  <sheetViews>
    <sheetView showGridLines="0" tabSelected="1" zoomScale="90" zoomScaleNormal="90" zoomScaleSheetLayoutView="50" workbookViewId="0">
      <pane xSplit="3" ySplit="5" topLeftCell="AQ6" activePane="bottomRight" state="frozen"/>
      <selection pane="topRight" activeCell="D1" sqref="D1"/>
      <selection pane="bottomLeft" activeCell="A6" sqref="A6"/>
      <selection pane="bottomRight" activeCell="AT6" sqref="AT6"/>
    </sheetView>
  </sheetViews>
  <sheetFormatPr defaultColWidth="9" defaultRowHeight="17"/>
  <cols>
    <col min="1" max="1" width="3.875" style="6" customWidth="1"/>
    <col min="2" max="2" width="9.75" style="5" customWidth="1"/>
    <col min="3" max="3" width="56.625" style="4" customWidth="1"/>
    <col min="4" max="9" width="15.625" style="1" hidden="1" customWidth="1"/>
    <col min="10" max="10" width="15.625" style="3" hidden="1" customWidth="1"/>
    <col min="11" max="23" width="15.625" style="1" hidden="1" customWidth="1"/>
    <col min="24" max="24" width="15.625" style="2" hidden="1" customWidth="1"/>
    <col min="25" max="25" width="15.625" style="1" hidden="1" customWidth="1"/>
    <col min="26" max="26" width="15.625" style="2" hidden="1" customWidth="1"/>
    <col min="27" max="27" width="15.625" style="1" customWidth="1"/>
    <col min="28" max="28" width="15.625" style="1" hidden="1" customWidth="1"/>
    <col min="29" max="47" width="15.625" style="1" customWidth="1"/>
    <col min="48" max="143" width="15.625" style="1" hidden="1" customWidth="1"/>
    <col min="144" max="144" width="11" style="1" bestFit="1" customWidth="1"/>
    <col min="145" max="145" width="11.125" style="1" bestFit="1" customWidth="1"/>
    <col min="146" max="16384" width="9" style="1"/>
  </cols>
  <sheetData>
    <row r="1" spans="1:145" s="12" customFormat="1" ht="25" customHeight="1">
      <c r="A1" s="61"/>
      <c r="B1" s="5"/>
      <c r="C1" s="94" t="s">
        <v>68</v>
      </c>
      <c r="D1" s="91" t="s">
        <v>67</v>
      </c>
      <c r="E1" s="166">
        <v>42006</v>
      </c>
      <c r="F1" s="86">
        <v>42009</v>
      </c>
      <c r="G1" s="86">
        <v>42010</v>
      </c>
      <c r="H1" s="86">
        <v>42011</v>
      </c>
      <c r="I1" s="86">
        <v>42012</v>
      </c>
      <c r="J1" s="86">
        <v>42013</v>
      </c>
      <c r="K1" s="86">
        <v>42016</v>
      </c>
      <c r="L1" s="86">
        <v>42017</v>
      </c>
      <c r="M1" s="86">
        <v>42018</v>
      </c>
      <c r="N1" s="86">
        <v>42019</v>
      </c>
      <c r="O1" s="86">
        <v>42020</v>
      </c>
      <c r="P1" s="86">
        <v>42023</v>
      </c>
      <c r="Q1" s="86">
        <v>42024</v>
      </c>
      <c r="R1" s="86">
        <v>42025</v>
      </c>
      <c r="S1" s="86">
        <v>42026</v>
      </c>
      <c r="T1" s="86">
        <v>42027</v>
      </c>
      <c r="U1" s="86">
        <v>42030</v>
      </c>
      <c r="V1" s="86">
        <v>42031</v>
      </c>
      <c r="W1" s="86">
        <v>42032</v>
      </c>
      <c r="X1" s="82">
        <v>42033</v>
      </c>
      <c r="Y1" s="91" t="s">
        <v>67</v>
      </c>
      <c r="Z1" s="82">
        <v>42034</v>
      </c>
      <c r="AA1" s="91" t="s">
        <v>67</v>
      </c>
      <c r="AB1" s="92" t="s">
        <v>67</v>
      </c>
      <c r="AC1" s="82">
        <v>42037</v>
      </c>
      <c r="AD1" s="82">
        <v>42038</v>
      </c>
      <c r="AE1" s="82">
        <v>42039</v>
      </c>
      <c r="AF1" s="82">
        <v>42040</v>
      </c>
      <c r="AG1" s="82">
        <v>42041</v>
      </c>
      <c r="AH1" s="82">
        <v>42044</v>
      </c>
      <c r="AI1" s="82">
        <v>42045</v>
      </c>
      <c r="AJ1" s="82">
        <v>42046</v>
      </c>
      <c r="AK1" s="82">
        <v>42047</v>
      </c>
      <c r="AL1" s="82">
        <v>42048</v>
      </c>
      <c r="AM1" s="82">
        <f>+[1]Sistema!AM1</f>
        <v>42053</v>
      </c>
      <c r="AN1" s="82">
        <f>+[1]Sistema!AN1</f>
        <v>42054</v>
      </c>
      <c r="AO1" s="82">
        <f>+[1]Sistema!AO1</f>
        <v>42055</v>
      </c>
      <c r="AP1" s="82">
        <f>+[1]Sistema!AP1</f>
        <v>42058</v>
      </c>
      <c r="AQ1" s="82">
        <f>+[1]Sistema!AQ1</f>
        <v>42059</v>
      </c>
      <c r="AR1" s="82">
        <f>+[1]Sistema!AR1</f>
        <v>42060</v>
      </c>
      <c r="AS1" s="82">
        <f>+[1]Sistema!AS1</f>
        <v>42061</v>
      </c>
      <c r="AT1" s="82">
        <f>+[1]Sistema!AT1</f>
        <v>42062</v>
      </c>
      <c r="AU1" s="91">
        <f>AU3</f>
        <v>42062</v>
      </c>
      <c r="AV1" s="92" t="s">
        <v>67</v>
      </c>
      <c r="AW1" s="82">
        <v>42065</v>
      </c>
      <c r="AX1" s="82">
        <v>42066</v>
      </c>
      <c r="AY1" s="82">
        <v>42067</v>
      </c>
      <c r="AZ1" s="82">
        <v>42068</v>
      </c>
      <c r="BA1" s="82">
        <v>42069</v>
      </c>
      <c r="BB1" s="82">
        <v>42072</v>
      </c>
      <c r="BC1" s="82">
        <v>42073</v>
      </c>
      <c r="BD1" s="82">
        <v>42074</v>
      </c>
      <c r="BE1" s="82">
        <v>42075</v>
      </c>
      <c r="BF1" s="82">
        <v>42076</v>
      </c>
      <c r="BG1" s="82">
        <v>42079</v>
      </c>
      <c r="BH1" s="82">
        <v>42080</v>
      </c>
      <c r="BI1" s="82">
        <v>42081</v>
      </c>
      <c r="BJ1" s="82">
        <v>42082</v>
      </c>
      <c r="BK1" s="82">
        <v>42083</v>
      </c>
      <c r="BL1" s="82">
        <v>42086</v>
      </c>
      <c r="BM1" s="82">
        <v>42087</v>
      </c>
      <c r="BN1" s="82">
        <v>42088</v>
      </c>
      <c r="BO1" s="82">
        <v>42089</v>
      </c>
      <c r="BP1" s="82">
        <v>42090</v>
      </c>
      <c r="BQ1" s="82">
        <v>42093</v>
      </c>
      <c r="BR1" s="82">
        <v>42094</v>
      </c>
      <c r="BS1" s="89" t="s">
        <v>67</v>
      </c>
      <c r="BT1" s="89" t="s">
        <v>67</v>
      </c>
      <c r="BU1" s="82">
        <v>42095</v>
      </c>
      <c r="BV1" s="82">
        <v>42096</v>
      </c>
      <c r="BW1" s="82">
        <v>42097</v>
      </c>
      <c r="BX1" s="82">
        <v>42100</v>
      </c>
      <c r="BY1" s="82">
        <v>42101</v>
      </c>
      <c r="BZ1" s="82">
        <v>42102</v>
      </c>
      <c r="CA1" s="82">
        <v>42103</v>
      </c>
      <c r="CB1" s="82">
        <v>42104</v>
      </c>
      <c r="CC1" s="82">
        <v>42107</v>
      </c>
      <c r="CD1" s="82">
        <v>42108</v>
      </c>
      <c r="CE1" s="82">
        <v>42109</v>
      </c>
      <c r="CF1" s="82">
        <v>42110</v>
      </c>
      <c r="CG1" s="82">
        <v>42111</v>
      </c>
      <c r="CH1" s="82">
        <v>42114</v>
      </c>
      <c r="CI1" s="82">
        <v>42115</v>
      </c>
      <c r="CJ1" s="82">
        <v>42116</v>
      </c>
      <c r="CK1" s="82">
        <v>42117</v>
      </c>
      <c r="CL1" s="82">
        <v>42118</v>
      </c>
      <c r="CM1" s="82">
        <v>42121</v>
      </c>
      <c r="CN1" s="82">
        <v>42122</v>
      </c>
      <c r="CO1" s="82">
        <v>42123</v>
      </c>
      <c r="CP1" s="82">
        <v>42124</v>
      </c>
      <c r="CQ1" s="89" t="s">
        <v>67</v>
      </c>
      <c r="CR1" s="89" t="s">
        <v>67</v>
      </c>
      <c r="CS1" s="82">
        <v>42125</v>
      </c>
      <c r="CT1" s="82">
        <v>42128</v>
      </c>
      <c r="CU1" s="82">
        <v>42129</v>
      </c>
      <c r="CV1" s="82">
        <v>42130</v>
      </c>
      <c r="CW1" s="82">
        <v>42131</v>
      </c>
      <c r="CX1" s="82">
        <v>42132</v>
      </c>
      <c r="CY1" s="82">
        <v>42135</v>
      </c>
      <c r="CZ1" s="82">
        <v>42136</v>
      </c>
      <c r="DA1" s="82">
        <v>42137</v>
      </c>
      <c r="DB1" s="82">
        <v>42138</v>
      </c>
      <c r="DC1" s="82">
        <v>42139</v>
      </c>
      <c r="DD1" s="82">
        <v>42142</v>
      </c>
      <c r="DE1" s="82">
        <v>42143</v>
      </c>
      <c r="DF1" s="82">
        <v>42144</v>
      </c>
      <c r="DG1" s="82">
        <v>42145</v>
      </c>
      <c r="DH1" s="82">
        <v>42146</v>
      </c>
      <c r="DI1" s="82">
        <v>42149</v>
      </c>
      <c r="DJ1" s="82">
        <v>42150</v>
      </c>
      <c r="DK1" s="82">
        <v>42151</v>
      </c>
      <c r="DL1" s="82">
        <v>42152</v>
      </c>
      <c r="DM1" s="82">
        <v>42153</v>
      </c>
      <c r="DN1" s="89" t="s">
        <v>67</v>
      </c>
      <c r="DO1" s="89" t="s">
        <v>67</v>
      </c>
      <c r="DP1" s="82">
        <v>42156</v>
      </c>
      <c r="DQ1" s="82">
        <v>42157</v>
      </c>
      <c r="DR1" s="82">
        <v>42158</v>
      </c>
      <c r="DS1" s="82">
        <v>42159</v>
      </c>
      <c r="DT1" s="82">
        <v>42160</v>
      </c>
      <c r="DU1" s="82">
        <v>42163</v>
      </c>
      <c r="DV1" s="82">
        <v>42164</v>
      </c>
      <c r="DW1" s="82">
        <v>42165</v>
      </c>
      <c r="DX1" s="82">
        <v>42166</v>
      </c>
      <c r="DY1" s="82">
        <v>42167</v>
      </c>
      <c r="DZ1" s="82">
        <v>42170</v>
      </c>
      <c r="EA1" s="82">
        <v>42171</v>
      </c>
      <c r="EB1" s="82">
        <v>42172</v>
      </c>
      <c r="EC1" s="82">
        <v>42173</v>
      </c>
      <c r="ED1" s="82">
        <v>42174</v>
      </c>
      <c r="EE1" s="82">
        <v>42177</v>
      </c>
      <c r="EF1" s="82">
        <v>42178</v>
      </c>
      <c r="EG1" s="82">
        <v>42179</v>
      </c>
      <c r="EH1" s="82">
        <v>42180</v>
      </c>
      <c r="EI1" s="82">
        <v>42181</v>
      </c>
      <c r="EJ1" s="82">
        <v>42184</v>
      </c>
      <c r="EK1" s="82">
        <v>42185</v>
      </c>
      <c r="EL1" s="89" t="s">
        <v>67</v>
      </c>
      <c r="EM1" s="89" t="s">
        <v>67</v>
      </c>
    </row>
    <row r="2" spans="1:145" s="12" customFormat="1" ht="25" customHeight="1">
      <c r="A2" s="61"/>
      <c r="B2" s="5"/>
      <c r="C2" s="88">
        <v>42036</v>
      </c>
      <c r="D2" s="84" t="s">
        <v>66</v>
      </c>
      <c r="E2" s="165" t="str">
        <f>TEXT(E1,"ddd")</f>
        <v>sex</v>
      </c>
      <c r="F2" s="86" t="s">
        <v>69</v>
      </c>
      <c r="G2" s="86" t="s">
        <v>70</v>
      </c>
      <c r="H2" s="86" t="s">
        <v>71</v>
      </c>
      <c r="I2" s="86" t="s">
        <v>72</v>
      </c>
      <c r="J2" s="86" t="s">
        <v>73</v>
      </c>
      <c r="K2" s="86" t="s">
        <v>69</v>
      </c>
      <c r="L2" s="86" t="s">
        <v>70</v>
      </c>
      <c r="M2" s="86" t="s">
        <v>71</v>
      </c>
      <c r="N2" s="86" t="s">
        <v>72</v>
      </c>
      <c r="O2" s="86" t="s">
        <v>73</v>
      </c>
      <c r="P2" s="86" t="s">
        <v>69</v>
      </c>
      <c r="Q2" s="86" t="s">
        <v>70</v>
      </c>
      <c r="R2" s="86" t="s">
        <v>71</v>
      </c>
      <c r="S2" s="86" t="s">
        <v>72</v>
      </c>
      <c r="T2" s="86" t="s">
        <v>73</v>
      </c>
      <c r="U2" s="86" t="s">
        <v>69</v>
      </c>
      <c r="V2" s="86" t="s">
        <v>70</v>
      </c>
      <c r="W2" s="86" t="s">
        <v>71</v>
      </c>
      <c r="X2" s="82" t="s">
        <v>72</v>
      </c>
      <c r="Y2" s="84" t="s">
        <v>11</v>
      </c>
      <c r="Z2" s="82" t="s">
        <v>73</v>
      </c>
      <c r="AA2" s="84" t="s">
        <v>66</v>
      </c>
      <c r="AB2" s="85" t="s">
        <v>74</v>
      </c>
      <c r="AC2" s="82" t="s">
        <v>69</v>
      </c>
      <c r="AD2" s="82" t="s">
        <v>70</v>
      </c>
      <c r="AE2" s="82" t="s">
        <v>71</v>
      </c>
      <c r="AF2" s="82" t="s">
        <v>72</v>
      </c>
      <c r="AG2" s="82" t="s">
        <v>73</v>
      </c>
      <c r="AH2" s="82" t="s">
        <v>69</v>
      </c>
      <c r="AI2" s="82" t="s">
        <v>70</v>
      </c>
      <c r="AJ2" s="82" t="s">
        <v>71</v>
      </c>
      <c r="AK2" s="82" t="s">
        <v>72</v>
      </c>
      <c r="AL2" s="82" t="s">
        <v>73</v>
      </c>
      <c r="AM2" s="82" t="str">
        <f>+[1]Sistema!AM2</f>
        <v>qua</v>
      </c>
      <c r="AN2" s="82" t="str">
        <f>+[1]Sistema!AN2</f>
        <v>qui</v>
      </c>
      <c r="AO2" s="82" t="str">
        <f>+[1]Sistema!AO2</f>
        <v>sex</v>
      </c>
      <c r="AP2" s="82" t="str">
        <f>+[1]Sistema!AP2</f>
        <v>seg</v>
      </c>
      <c r="AQ2" s="82" t="str">
        <f>+[1]Sistema!AQ2</f>
        <v>ter</v>
      </c>
      <c r="AR2" s="82" t="str">
        <f>+[1]Sistema!AR2</f>
        <v>qua</v>
      </c>
      <c r="AS2" s="82" t="str">
        <f>+[1]Sistema!AS2</f>
        <v>qui</v>
      </c>
      <c r="AT2" s="82" t="str">
        <f>+[1]Sistema!AT2</f>
        <v>sex</v>
      </c>
      <c r="AU2" s="84" t="s">
        <v>11</v>
      </c>
      <c r="AV2" s="85" t="s">
        <v>74</v>
      </c>
      <c r="AW2" s="82" t="s">
        <v>69</v>
      </c>
      <c r="AX2" s="82" t="s">
        <v>70</v>
      </c>
      <c r="AY2" s="82" t="s">
        <v>71</v>
      </c>
      <c r="AZ2" s="82" t="s">
        <v>72</v>
      </c>
      <c r="BA2" s="82" t="s">
        <v>73</v>
      </c>
      <c r="BB2" s="82" t="s">
        <v>69</v>
      </c>
      <c r="BC2" s="82" t="s">
        <v>70</v>
      </c>
      <c r="BD2" s="82" t="s">
        <v>71</v>
      </c>
      <c r="BE2" s="82" t="s">
        <v>72</v>
      </c>
      <c r="BF2" s="82" t="s">
        <v>73</v>
      </c>
      <c r="BG2" s="82" t="s">
        <v>69</v>
      </c>
      <c r="BH2" s="82" t="s">
        <v>70</v>
      </c>
      <c r="BI2" s="82" t="s">
        <v>71</v>
      </c>
      <c r="BJ2" s="82" t="s">
        <v>72</v>
      </c>
      <c r="BK2" s="82" t="s">
        <v>73</v>
      </c>
      <c r="BL2" s="82" t="s">
        <v>69</v>
      </c>
      <c r="BM2" s="82" t="s">
        <v>70</v>
      </c>
      <c r="BN2" s="82" t="s">
        <v>71</v>
      </c>
      <c r="BO2" s="82" t="s">
        <v>72</v>
      </c>
      <c r="BP2" s="82" t="s">
        <v>73</v>
      </c>
      <c r="BQ2" s="82" t="s">
        <v>69</v>
      </c>
      <c r="BR2" s="82" t="s">
        <v>70</v>
      </c>
      <c r="BS2" s="81" t="s">
        <v>66</v>
      </c>
      <c r="BT2" s="81" t="s">
        <v>74</v>
      </c>
      <c r="BU2" s="82" t="s">
        <v>71</v>
      </c>
      <c r="BV2" s="82" t="s">
        <v>72</v>
      </c>
      <c r="BW2" s="82" t="s">
        <v>73</v>
      </c>
      <c r="BX2" s="82" t="s">
        <v>69</v>
      </c>
      <c r="BY2" s="82" t="s">
        <v>70</v>
      </c>
      <c r="BZ2" s="82" t="s">
        <v>71</v>
      </c>
      <c r="CA2" s="82" t="s">
        <v>72</v>
      </c>
      <c r="CB2" s="82" t="s">
        <v>73</v>
      </c>
      <c r="CC2" s="82" t="s">
        <v>69</v>
      </c>
      <c r="CD2" s="82" t="s">
        <v>70</v>
      </c>
      <c r="CE2" s="82" t="s">
        <v>71</v>
      </c>
      <c r="CF2" s="82" t="s">
        <v>72</v>
      </c>
      <c r="CG2" s="82" t="s">
        <v>73</v>
      </c>
      <c r="CH2" s="82" t="s">
        <v>69</v>
      </c>
      <c r="CI2" s="82" t="s">
        <v>70</v>
      </c>
      <c r="CJ2" s="82" t="s">
        <v>71</v>
      </c>
      <c r="CK2" s="82" t="s">
        <v>72</v>
      </c>
      <c r="CL2" s="82" t="s">
        <v>73</v>
      </c>
      <c r="CM2" s="82" t="s">
        <v>69</v>
      </c>
      <c r="CN2" s="82" t="s">
        <v>70</v>
      </c>
      <c r="CO2" s="82" t="s">
        <v>71</v>
      </c>
      <c r="CP2" s="82" t="s">
        <v>72</v>
      </c>
      <c r="CQ2" s="81" t="s">
        <v>66</v>
      </c>
      <c r="CR2" s="81" t="s">
        <v>74</v>
      </c>
      <c r="CS2" s="82" t="s">
        <v>73</v>
      </c>
      <c r="CT2" s="82" t="s">
        <v>69</v>
      </c>
      <c r="CU2" s="82" t="s">
        <v>70</v>
      </c>
      <c r="CV2" s="82" t="s">
        <v>71</v>
      </c>
      <c r="CW2" s="82" t="s">
        <v>72</v>
      </c>
      <c r="CX2" s="82" t="s">
        <v>73</v>
      </c>
      <c r="CY2" s="82" t="s">
        <v>69</v>
      </c>
      <c r="CZ2" s="82" t="s">
        <v>70</v>
      </c>
      <c r="DA2" s="82" t="s">
        <v>71</v>
      </c>
      <c r="DB2" s="82" t="s">
        <v>72</v>
      </c>
      <c r="DC2" s="82" t="s">
        <v>73</v>
      </c>
      <c r="DD2" s="82" t="s">
        <v>69</v>
      </c>
      <c r="DE2" s="82" t="s">
        <v>70</v>
      </c>
      <c r="DF2" s="82" t="s">
        <v>71</v>
      </c>
      <c r="DG2" s="82" t="s">
        <v>72</v>
      </c>
      <c r="DH2" s="82" t="s">
        <v>73</v>
      </c>
      <c r="DI2" s="82" t="s">
        <v>69</v>
      </c>
      <c r="DJ2" s="82" t="s">
        <v>70</v>
      </c>
      <c r="DK2" s="82" t="s">
        <v>71</v>
      </c>
      <c r="DL2" s="82" t="s">
        <v>72</v>
      </c>
      <c r="DM2" s="82" t="s">
        <v>73</v>
      </c>
      <c r="DN2" s="81" t="s">
        <v>66</v>
      </c>
      <c r="DO2" s="81" t="s">
        <v>74</v>
      </c>
      <c r="DP2" s="82" t="s">
        <v>69</v>
      </c>
      <c r="DQ2" s="82" t="s">
        <v>70</v>
      </c>
      <c r="DR2" s="82" t="s">
        <v>71</v>
      </c>
      <c r="DS2" s="82" t="s">
        <v>72</v>
      </c>
      <c r="DT2" s="82" t="s">
        <v>73</v>
      </c>
      <c r="DU2" s="82" t="s">
        <v>69</v>
      </c>
      <c r="DV2" s="82" t="s">
        <v>70</v>
      </c>
      <c r="DW2" s="82" t="s">
        <v>71</v>
      </c>
      <c r="DX2" s="82" t="s">
        <v>72</v>
      </c>
      <c r="DY2" s="82" t="s">
        <v>73</v>
      </c>
      <c r="DZ2" s="82" t="s">
        <v>69</v>
      </c>
      <c r="EA2" s="82" t="s">
        <v>70</v>
      </c>
      <c r="EB2" s="82" t="s">
        <v>71</v>
      </c>
      <c r="EC2" s="82" t="s">
        <v>72</v>
      </c>
      <c r="ED2" s="82" t="s">
        <v>73</v>
      </c>
      <c r="EE2" s="82" t="s">
        <v>69</v>
      </c>
      <c r="EF2" s="82" t="s">
        <v>70</v>
      </c>
      <c r="EG2" s="82" t="s">
        <v>71</v>
      </c>
      <c r="EH2" s="82" t="s">
        <v>72</v>
      </c>
      <c r="EI2" s="82" t="s">
        <v>73</v>
      </c>
      <c r="EJ2" s="82" t="s">
        <v>69</v>
      </c>
      <c r="EK2" s="82" t="s">
        <v>70</v>
      </c>
      <c r="EL2" s="81" t="s">
        <v>66</v>
      </c>
      <c r="EM2" s="81" t="s">
        <v>74</v>
      </c>
    </row>
    <row r="3" spans="1:145" s="10" customFormat="1" ht="25" customHeight="1" thickBot="1">
      <c r="A3" s="15"/>
      <c r="B3" s="5"/>
      <c r="C3" s="6"/>
      <c r="D3" s="76">
        <v>41974</v>
      </c>
      <c r="E3" s="78" t="s">
        <v>10</v>
      </c>
      <c r="F3" s="78" t="s">
        <v>10</v>
      </c>
      <c r="G3" s="78" t="s">
        <v>10</v>
      </c>
      <c r="H3" s="78" t="s">
        <v>10</v>
      </c>
      <c r="I3" s="78" t="s">
        <v>10</v>
      </c>
      <c r="J3" s="78" t="s">
        <v>10</v>
      </c>
      <c r="K3" s="78" t="s">
        <v>10</v>
      </c>
      <c r="L3" s="78" t="s">
        <v>10</v>
      </c>
      <c r="M3" s="78" t="s">
        <v>10</v>
      </c>
      <c r="N3" s="78" t="s">
        <v>10</v>
      </c>
      <c r="O3" s="78" t="s">
        <v>10</v>
      </c>
      <c r="P3" s="78" t="s">
        <v>10</v>
      </c>
      <c r="Q3" s="78" t="s">
        <v>10</v>
      </c>
      <c r="R3" s="78" t="s">
        <v>10</v>
      </c>
      <c r="S3" s="78" t="s">
        <v>10</v>
      </c>
      <c r="T3" s="78" t="s">
        <v>10</v>
      </c>
      <c r="U3" s="78" t="s">
        <v>10</v>
      </c>
      <c r="V3" s="78" t="s">
        <v>10</v>
      </c>
      <c r="W3" s="78" t="s">
        <v>10</v>
      </c>
      <c r="X3" s="78" t="s">
        <v>10</v>
      </c>
      <c r="Y3" s="77">
        <f>+$X$1</f>
        <v>42033</v>
      </c>
      <c r="Z3" s="78" t="s">
        <v>10</v>
      </c>
      <c r="AA3" s="76">
        <v>42005</v>
      </c>
      <c r="AB3" s="79">
        <v>42005</v>
      </c>
      <c r="AC3" s="78" t="s">
        <v>75</v>
      </c>
      <c r="AD3" s="78" t="s">
        <v>75</v>
      </c>
      <c r="AE3" s="78" t="s">
        <v>75</v>
      </c>
      <c r="AF3" s="78" t="s">
        <v>75</v>
      </c>
      <c r="AG3" s="78" t="s">
        <v>75</v>
      </c>
      <c r="AH3" s="78" t="s">
        <v>75</v>
      </c>
      <c r="AI3" s="78" t="s">
        <v>75</v>
      </c>
      <c r="AJ3" s="78" t="s">
        <v>75</v>
      </c>
      <c r="AK3" s="78" t="s">
        <v>75</v>
      </c>
      <c r="AL3" s="78" t="s">
        <v>75</v>
      </c>
      <c r="AM3" s="78" t="s">
        <v>75</v>
      </c>
      <c r="AN3" s="78" t="s">
        <v>75</v>
      </c>
      <c r="AO3" s="78" t="s">
        <v>75</v>
      </c>
      <c r="AP3" s="78" t="s">
        <v>75</v>
      </c>
      <c r="AQ3" s="78" t="s">
        <v>75</v>
      </c>
      <c r="AR3" s="78" t="s">
        <v>75</v>
      </c>
      <c r="AS3" s="78" t="s">
        <v>75</v>
      </c>
      <c r="AT3" s="78" t="s">
        <v>75</v>
      </c>
      <c r="AU3" s="77">
        <f>+AT1</f>
        <v>42062</v>
      </c>
      <c r="AV3" s="79">
        <v>42036</v>
      </c>
      <c r="AW3" s="74" t="s">
        <v>65</v>
      </c>
      <c r="AX3" s="74" t="s">
        <v>65</v>
      </c>
      <c r="AY3" s="74" t="s">
        <v>65</v>
      </c>
      <c r="AZ3" s="74" t="s">
        <v>65</v>
      </c>
      <c r="BA3" s="74" t="s">
        <v>65</v>
      </c>
      <c r="BB3" s="74" t="s">
        <v>65</v>
      </c>
      <c r="BC3" s="74" t="s">
        <v>65</v>
      </c>
      <c r="BD3" s="74" t="s">
        <v>65</v>
      </c>
      <c r="BE3" s="74" t="s">
        <v>65</v>
      </c>
      <c r="BF3" s="74" t="s">
        <v>65</v>
      </c>
      <c r="BG3" s="74" t="s">
        <v>65</v>
      </c>
      <c r="BH3" s="74" t="s">
        <v>65</v>
      </c>
      <c r="BI3" s="74" t="s">
        <v>65</v>
      </c>
      <c r="BJ3" s="74" t="s">
        <v>65</v>
      </c>
      <c r="BK3" s="74" t="s">
        <v>65</v>
      </c>
      <c r="BL3" s="74" t="s">
        <v>65</v>
      </c>
      <c r="BM3" s="74" t="s">
        <v>65</v>
      </c>
      <c r="BN3" s="74" t="s">
        <v>65</v>
      </c>
      <c r="BO3" s="74" t="s">
        <v>65</v>
      </c>
      <c r="BP3" s="74" t="s">
        <v>65</v>
      </c>
      <c r="BQ3" s="74" t="s">
        <v>65</v>
      </c>
      <c r="BR3" s="74" t="s">
        <v>65</v>
      </c>
      <c r="BS3" s="73">
        <v>42064</v>
      </c>
      <c r="BT3" s="73">
        <v>42064</v>
      </c>
      <c r="BU3" s="74" t="s">
        <v>65</v>
      </c>
      <c r="BV3" s="74" t="s">
        <v>65</v>
      </c>
      <c r="BW3" s="74" t="s">
        <v>65</v>
      </c>
      <c r="BX3" s="74" t="s">
        <v>65</v>
      </c>
      <c r="BY3" s="74" t="s">
        <v>65</v>
      </c>
      <c r="BZ3" s="74" t="s">
        <v>65</v>
      </c>
      <c r="CA3" s="74" t="s">
        <v>65</v>
      </c>
      <c r="CB3" s="74" t="s">
        <v>65</v>
      </c>
      <c r="CC3" s="74" t="s">
        <v>65</v>
      </c>
      <c r="CD3" s="74" t="s">
        <v>65</v>
      </c>
      <c r="CE3" s="74" t="s">
        <v>65</v>
      </c>
      <c r="CF3" s="74" t="s">
        <v>65</v>
      </c>
      <c r="CG3" s="74" t="s">
        <v>65</v>
      </c>
      <c r="CH3" s="74" t="s">
        <v>65</v>
      </c>
      <c r="CI3" s="74" t="s">
        <v>65</v>
      </c>
      <c r="CJ3" s="74" t="s">
        <v>65</v>
      </c>
      <c r="CK3" s="74" t="s">
        <v>65</v>
      </c>
      <c r="CL3" s="74" t="s">
        <v>65</v>
      </c>
      <c r="CM3" s="74" t="s">
        <v>65</v>
      </c>
      <c r="CN3" s="74" t="s">
        <v>65</v>
      </c>
      <c r="CO3" s="74" t="s">
        <v>65</v>
      </c>
      <c r="CP3" s="74" t="s">
        <v>65</v>
      </c>
      <c r="CQ3" s="73">
        <v>42095</v>
      </c>
      <c r="CR3" s="73">
        <v>42095</v>
      </c>
      <c r="CS3" s="74" t="s">
        <v>65</v>
      </c>
      <c r="CT3" s="74" t="s">
        <v>65</v>
      </c>
      <c r="CU3" s="74" t="s">
        <v>65</v>
      </c>
      <c r="CV3" s="74" t="s">
        <v>65</v>
      </c>
      <c r="CW3" s="74" t="s">
        <v>65</v>
      </c>
      <c r="CX3" s="74" t="s">
        <v>65</v>
      </c>
      <c r="CY3" s="74" t="s">
        <v>65</v>
      </c>
      <c r="CZ3" s="74" t="s">
        <v>65</v>
      </c>
      <c r="DA3" s="74" t="s">
        <v>65</v>
      </c>
      <c r="DB3" s="74" t="s">
        <v>65</v>
      </c>
      <c r="DC3" s="74" t="s">
        <v>65</v>
      </c>
      <c r="DD3" s="74" t="s">
        <v>65</v>
      </c>
      <c r="DE3" s="74" t="s">
        <v>65</v>
      </c>
      <c r="DF3" s="74" t="s">
        <v>65</v>
      </c>
      <c r="DG3" s="74" t="s">
        <v>65</v>
      </c>
      <c r="DH3" s="74" t="s">
        <v>65</v>
      </c>
      <c r="DI3" s="74" t="s">
        <v>65</v>
      </c>
      <c r="DJ3" s="74" t="s">
        <v>65</v>
      </c>
      <c r="DK3" s="74" t="s">
        <v>65</v>
      </c>
      <c r="DL3" s="74" t="s">
        <v>65</v>
      </c>
      <c r="DM3" s="74" t="s">
        <v>65</v>
      </c>
      <c r="DN3" s="73">
        <v>42125</v>
      </c>
      <c r="DO3" s="73">
        <v>42125</v>
      </c>
      <c r="DP3" s="74" t="s">
        <v>65</v>
      </c>
      <c r="DQ3" s="74" t="s">
        <v>65</v>
      </c>
      <c r="DR3" s="74" t="s">
        <v>65</v>
      </c>
      <c r="DS3" s="74" t="s">
        <v>65</v>
      </c>
      <c r="DT3" s="74" t="s">
        <v>65</v>
      </c>
      <c r="DU3" s="74" t="s">
        <v>65</v>
      </c>
      <c r="DV3" s="74" t="s">
        <v>65</v>
      </c>
      <c r="DW3" s="74" t="s">
        <v>65</v>
      </c>
      <c r="DX3" s="74" t="s">
        <v>65</v>
      </c>
      <c r="DY3" s="74" t="s">
        <v>65</v>
      </c>
      <c r="DZ3" s="74" t="s">
        <v>65</v>
      </c>
      <c r="EA3" s="74" t="s">
        <v>65</v>
      </c>
      <c r="EB3" s="74" t="s">
        <v>65</v>
      </c>
      <c r="EC3" s="74" t="s">
        <v>65</v>
      </c>
      <c r="ED3" s="74" t="s">
        <v>65</v>
      </c>
      <c r="EE3" s="74" t="s">
        <v>65</v>
      </c>
      <c r="EF3" s="74" t="s">
        <v>65</v>
      </c>
      <c r="EG3" s="74" t="s">
        <v>65</v>
      </c>
      <c r="EH3" s="74" t="s">
        <v>65</v>
      </c>
      <c r="EI3" s="74" t="s">
        <v>65</v>
      </c>
      <c r="EJ3" s="74" t="s">
        <v>65</v>
      </c>
      <c r="EK3" s="74" t="s">
        <v>65</v>
      </c>
      <c r="EL3" s="73">
        <v>42156</v>
      </c>
      <c r="EM3" s="73">
        <v>42156</v>
      </c>
    </row>
    <row r="4" spans="1:145" s="2" customFormat="1" ht="25" customHeight="1">
      <c r="A4" s="36"/>
      <c r="B4" s="5"/>
      <c r="C4" s="72" t="s">
        <v>64</v>
      </c>
      <c r="D4" s="160"/>
      <c r="E4" s="163">
        <f t="shared" ref="E4:X4" si="0">+D5</f>
        <v>31035889.847000018</v>
      </c>
      <c r="F4" s="163">
        <f t="shared" si="0"/>
        <v>19499311.127000015</v>
      </c>
      <c r="G4" s="163">
        <f t="shared" si="0"/>
        <v>13767553.717000015</v>
      </c>
      <c r="H4" s="163">
        <f t="shared" si="0"/>
        <v>13723320.947000016</v>
      </c>
      <c r="I4" s="163">
        <f t="shared" si="0"/>
        <v>11518311.557000015</v>
      </c>
      <c r="J4" s="164">
        <f t="shared" si="0"/>
        <v>9687943.2070000134</v>
      </c>
      <c r="K4" s="163">
        <f t="shared" si="0"/>
        <v>9402219.3570000138</v>
      </c>
      <c r="L4" s="163">
        <f t="shared" si="0"/>
        <v>8991688.7370000128</v>
      </c>
      <c r="M4" s="163">
        <f t="shared" si="0"/>
        <v>9013575.727000013</v>
      </c>
      <c r="N4" s="163">
        <f t="shared" si="0"/>
        <v>5037003.0970000122</v>
      </c>
      <c r="O4" s="163">
        <f t="shared" si="0"/>
        <v>4613135.4870000118</v>
      </c>
      <c r="P4" s="163">
        <f t="shared" si="0"/>
        <v>4788260.0570000112</v>
      </c>
      <c r="Q4" s="163">
        <f t="shared" si="0"/>
        <v>3725545.0770000117</v>
      </c>
      <c r="R4" s="163">
        <f t="shared" si="0"/>
        <v>92322.837000012398</v>
      </c>
      <c r="S4" s="163">
        <f t="shared" si="0"/>
        <v>675994.42700001248</v>
      </c>
      <c r="T4" s="163">
        <f t="shared" si="0"/>
        <v>800962.98700001254</v>
      </c>
      <c r="U4" s="163">
        <f t="shared" si="0"/>
        <v>1493010.0070000126</v>
      </c>
      <c r="V4" s="163">
        <f t="shared" si="0"/>
        <v>1395116.9970000125</v>
      </c>
      <c r="W4" s="163">
        <f t="shared" si="0"/>
        <v>1539949.9770000125</v>
      </c>
      <c r="X4" s="163">
        <f t="shared" si="0"/>
        <v>1142776.8870000124</v>
      </c>
      <c r="Y4" s="160">
        <f>+E4</f>
        <v>31035889.847000018</v>
      </c>
      <c r="Z4" s="162">
        <f>+X5</f>
        <v>2348339.8270000117</v>
      </c>
      <c r="AA4" s="160">
        <f>+D5</f>
        <v>31035889.847000018</v>
      </c>
      <c r="AB4" s="161"/>
      <c r="AC4" s="68">
        <v>2253910.2170000225</v>
      </c>
      <c r="AD4" s="68">
        <v>932150.31700002262</v>
      </c>
      <c r="AE4" s="68">
        <v>2330767.3470000224</v>
      </c>
      <c r="AF4" s="68">
        <v>2327281.8370000226</v>
      </c>
      <c r="AG4" s="68">
        <v>3755666.3370000226</v>
      </c>
      <c r="AH4" s="68">
        <v>1873204.9170000246</v>
      </c>
      <c r="AI4" s="68">
        <v>6479718.6570000257</v>
      </c>
      <c r="AJ4" s="68">
        <v>1739394.0570000261</v>
      </c>
      <c r="AK4" s="68">
        <v>1362798.1170000262</v>
      </c>
      <c r="AL4" s="68">
        <v>2052037.1970000267</v>
      </c>
      <c r="AM4" s="68">
        <f t="shared" ref="AM4:AT4" si="1">+AL5</f>
        <v>2884243.9270000267</v>
      </c>
      <c r="AN4" s="68">
        <f t="shared" si="1"/>
        <v>2270268.3170000268</v>
      </c>
      <c r="AO4" s="68">
        <f t="shared" si="1"/>
        <v>2322450.8970000269</v>
      </c>
      <c r="AP4" s="68">
        <f t="shared" si="1"/>
        <v>2927116.5070000272</v>
      </c>
      <c r="AQ4" s="68">
        <f t="shared" si="1"/>
        <v>3276724.8670000271</v>
      </c>
      <c r="AR4" s="68">
        <f t="shared" si="1"/>
        <v>3173777.6670000269</v>
      </c>
      <c r="AS4" s="68">
        <f t="shared" si="1"/>
        <v>6189567.0070000272</v>
      </c>
      <c r="AT4" s="68">
        <f t="shared" si="1"/>
        <v>7356635.2870000275</v>
      </c>
      <c r="AU4" s="160">
        <f>AA5</f>
        <v>2253910.2170000225</v>
      </c>
      <c r="AV4" s="159"/>
      <c r="AW4" s="68">
        <f t="shared" ref="AW4:BR4" si="2">+AV5</f>
        <v>0</v>
      </c>
      <c r="AX4" s="68">
        <f t="shared" si="2"/>
        <v>0</v>
      </c>
      <c r="AY4" s="68" t="e">
        <f t="shared" si="2"/>
        <v>#REF!</v>
      </c>
      <c r="AZ4" s="68" t="e">
        <f t="shared" si="2"/>
        <v>#REF!</v>
      </c>
      <c r="BA4" s="68" t="e">
        <f t="shared" si="2"/>
        <v>#REF!</v>
      </c>
      <c r="BB4" s="68" t="e">
        <f t="shared" si="2"/>
        <v>#REF!</v>
      </c>
      <c r="BC4" s="68" t="e">
        <f t="shared" si="2"/>
        <v>#REF!</v>
      </c>
      <c r="BD4" s="68" t="e">
        <f t="shared" si="2"/>
        <v>#REF!</v>
      </c>
      <c r="BE4" s="68" t="e">
        <f t="shared" si="2"/>
        <v>#REF!</v>
      </c>
      <c r="BF4" s="68" t="e">
        <f t="shared" si="2"/>
        <v>#REF!</v>
      </c>
      <c r="BG4" s="68" t="e">
        <f t="shared" si="2"/>
        <v>#REF!</v>
      </c>
      <c r="BH4" s="68" t="e">
        <f t="shared" si="2"/>
        <v>#REF!</v>
      </c>
      <c r="BI4" s="68" t="e">
        <f t="shared" si="2"/>
        <v>#REF!</v>
      </c>
      <c r="BJ4" s="68" t="e">
        <f t="shared" si="2"/>
        <v>#REF!</v>
      </c>
      <c r="BK4" s="68" t="e">
        <f t="shared" si="2"/>
        <v>#REF!</v>
      </c>
      <c r="BL4" s="68" t="e">
        <f t="shared" si="2"/>
        <v>#REF!</v>
      </c>
      <c r="BM4" s="68" t="e">
        <f t="shared" si="2"/>
        <v>#REF!</v>
      </c>
      <c r="BN4" s="68" t="e">
        <f t="shared" si="2"/>
        <v>#REF!</v>
      </c>
      <c r="BO4" s="68" t="e">
        <f t="shared" si="2"/>
        <v>#REF!</v>
      </c>
      <c r="BP4" s="68" t="e">
        <f t="shared" si="2"/>
        <v>#REF!</v>
      </c>
      <c r="BQ4" s="68" t="e">
        <f t="shared" si="2"/>
        <v>#REF!</v>
      </c>
      <c r="BR4" s="68" t="e">
        <f t="shared" si="2"/>
        <v>#REF!</v>
      </c>
      <c r="BS4" s="158"/>
      <c r="BT4" s="157"/>
      <c r="BU4" s="68">
        <f t="shared" ref="BU4:CP4" si="3">+BT5</f>
        <v>0</v>
      </c>
      <c r="BV4" s="68" t="e">
        <f t="shared" si="3"/>
        <v>#REF!</v>
      </c>
      <c r="BW4" s="68" t="e">
        <f t="shared" si="3"/>
        <v>#REF!</v>
      </c>
      <c r="BX4" s="68" t="e">
        <f t="shared" si="3"/>
        <v>#REF!</v>
      </c>
      <c r="BY4" s="68" t="e">
        <f t="shared" si="3"/>
        <v>#REF!</v>
      </c>
      <c r="BZ4" s="68" t="e">
        <f t="shared" si="3"/>
        <v>#REF!</v>
      </c>
      <c r="CA4" s="68" t="e">
        <f t="shared" si="3"/>
        <v>#REF!</v>
      </c>
      <c r="CB4" s="68" t="e">
        <f t="shared" si="3"/>
        <v>#REF!</v>
      </c>
      <c r="CC4" s="68" t="e">
        <f t="shared" si="3"/>
        <v>#REF!</v>
      </c>
      <c r="CD4" s="68" t="e">
        <f t="shared" si="3"/>
        <v>#REF!</v>
      </c>
      <c r="CE4" s="68" t="e">
        <f t="shared" si="3"/>
        <v>#REF!</v>
      </c>
      <c r="CF4" s="68" t="e">
        <f t="shared" si="3"/>
        <v>#REF!</v>
      </c>
      <c r="CG4" s="68" t="e">
        <f t="shared" si="3"/>
        <v>#REF!</v>
      </c>
      <c r="CH4" s="68" t="e">
        <f t="shared" si="3"/>
        <v>#REF!</v>
      </c>
      <c r="CI4" s="68" t="e">
        <f t="shared" si="3"/>
        <v>#REF!</v>
      </c>
      <c r="CJ4" s="68" t="e">
        <f t="shared" si="3"/>
        <v>#REF!</v>
      </c>
      <c r="CK4" s="68" t="e">
        <f t="shared" si="3"/>
        <v>#REF!</v>
      </c>
      <c r="CL4" s="68" t="e">
        <f t="shared" si="3"/>
        <v>#REF!</v>
      </c>
      <c r="CM4" s="68" t="e">
        <f t="shared" si="3"/>
        <v>#REF!</v>
      </c>
      <c r="CN4" s="68" t="e">
        <f t="shared" si="3"/>
        <v>#REF!</v>
      </c>
      <c r="CO4" s="68" t="e">
        <f t="shared" si="3"/>
        <v>#REF!</v>
      </c>
      <c r="CP4" s="68" t="e">
        <f t="shared" si="3"/>
        <v>#REF!</v>
      </c>
      <c r="CQ4" s="158"/>
      <c r="CR4" s="157"/>
      <c r="CS4" s="68">
        <f t="shared" ref="CS4:DM4" si="4">+CR5</f>
        <v>0</v>
      </c>
      <c r="CT4" s="68" t="e">
        <f t="shared" si="4"/>
        <v>#REF!</v>
      </c>
      <c r="CU4" s="68" t="e">
        <f t="shared" si="4"/>
        <v>#REF!</v>
      </c>
      <c r="CV4" s="68" t="e">
        <f t="shared" si="4"/>
        <v>#REF!</v>
      </c>
      <c r="CW4" s="68" t="e">
        <f t="shared" si="4"/>
        <v>#REF!</v>
      </c>
      <c r="CX4" s="68" t="e">
        <f t="shared" si="4"/>
        <v>#REF!</v>
      </c>
      <c r="CY4" s="68" t="e">
        <f t="shared" si="4"/>
        <v>#REF!</v>
      </c>
      <c r="CZ4" s="68" t="e">
        <f t="shared" si="4"/>
        <v>#REF!</v>
      </c>
      <c r="DA4" s="68" t="e">
        <f t="shared" si="4"/>
        <v>#REF!</v>
      </c>
      <c r="DB4" s="68" t="e">
        <f t="shared" si="4"/>
        <v>#REF!</v>
      </c>
      <c r="DC4" s="68" t="e">
        <f t="shared" si="4"/>
        <v>#REF!</v>
      </c>
      <c r="DD4" s="68" t="e">
        <f t="shared" si="4"/>
        <v>#REF!</v>
      </c>
      <c r="DE4" s="68" t="e">
        <f t="shared" si="4"/>
        <v>#REF!</v>
      </c>
      <c r="DF4" s="68" t="e">
        <f t="shared" si="4"/>
        <v>#REF!</v>
      </c>
      <c r="DG4" s="68" t="e">
        <f t="shared" si="4"/>
        <v>#REF!</v>
      </c>
      <c r="DH4" s="68" t="e">
        <f t="shared" si="4"/>
        <v>#REF!</v>
      </c>
      <c r="DI4" s="68" t="e">
        <f t="shared" si="4"/>
        <v>#REF!</v>
      </c>
      <c r="DJ4" s="68" t="e">
        <f t="shared" si="4"/>
        <v>#REF!</v>
      </c>
      <c r="DK4" s="68" t="e">
        <f t="shared" si="4"/>
        <v>#REF!</v>
      </c>
      <c r="DL4" s="68" t="e">
        <f t="shared" si="4"/>
        <v>#REF!</v>
      </c>
      <c r="DM4" s="68" t="e">
        <f t="shared" si="4"/>
        <v>#REF!</v>
      </c>
      <c r="DN4" s="158"/>
      <c r="DO4" s="157"/>
      <c r="DP4" s="68">
        <f t="shared" ref="DP4:EK4" si="5">+DO5</f>
        <v>0</v>
      </c>
      <c r="DQ4" s="68" t="e">
        <f t="shared" si="5"/>
        <v>#REF!</v>
      </c>
      <c r="DR4" s="68" t="e">
        <f t="shared" si="5"/>
        <v>#REF!</v>
      </c>
      <c r="DS4" s="68" t="e">
        <f t="shared" si="5"/>
        <v>#REF!</v>
      </c>
      <c r="DT4" s="68" t="e">
        <f t="shared" si="5"/>
        <v>#REF!</v>
      </c>
      <c r="DU4" s="68" t="e">
        <f t="shared" si="5"/>
        <v>#REF!</v>
      </c>
      <c r="DV4" s="68" t="e">
        <f t="shared" si="5"/>
        <v>#REF!</v>
      </c>
      <c r="DW4" s="68" t="e">
        <f t="shared" si="5"/>
        <v>#REF!</v>
      </c>
      <c r="DX4" s="68" t="e">
        <f t="shared" si="5"/>
        <v>#REF!</v>
      </c>
      <c r="DY4" s="68" t="e">
        <f t="shared" si="5"/>
        <v>#REF!</v>
      </c>
      <c r="DZ4" s="68" t="e">
        <f t="shared" si="5"/>
        <v>#REF!</v>
      </c>
      <c r="EA4" s="68" t="e">
        <f t="shared" si="5"/>
        <v>#REF!</v>
      </c>
      <c r="EB4" s="68" t="e">
        <f t="shared" si="5"/>
        <v>#REF!</v>
      </c>
      <c r="EC4" s="68" t="e">
        <f t="shared" si="5"/>
        <v>#REF!</v>
      </c>
      <c r="ED4" s="68" t="e">
        <f t="shared" si="5"/>
        <v>#REF!</v>
      </c>
      <c r="EE4" s="68" t="e">
        <f t="shared" si="5"/>
        <v>#REF!</v>
      </c>
      <c r="EF4" s="68" t="e">
        <f t="shared" si="5"/>
        <v>#REF!</v>
      </c>
      <c r="EG4" s="68" t="e">
        <f t="shared" si="5"/>
        <v>#REF!</v>
      </c>
      <c r="EH4" s="68" t="e">
        <f t="shared" si="5"/>
        <v>#REF!</v>
      </c>
      <c r="EI4" s="68" t="e">
        <f t="shared" si="5"/>
        <v>#REF!</v>
      </c>
      <c r="EJ4" s="68" t="e">
        <f t="shared" si="5"/>
        <v>#REF!</v>
      </c>
      <c r="EK4" s="68" t="e">
        <f t="shared" si="5"/>
        <v>#REF!</v>
      </c>
      <c r="EL4" s="158"/>
      <c r="EM4" s="157"/>
    </row>
    <row r="5" spans="1:145" s="2" customFormat="1" ht="25" customHeight="1" thickBot="1">
      <c r="A5" s="36"/>
      <c r="B5" s="5"/>
      <c r="C5" s="67" t="s">
        <v>63</v>
      </c>
      <c r="D5" s="153">
        <v>31035889.847000018</v>
      </c>
      <c r="E5" s="156">
        <f t="shared" ref="E5:X5" si="6">+E4+E11-E39+E37</f>
        <v>19499311.127000015</v>
      </c>
      <c r="F5" s="156">
        <f t="shared" si="6"/>
        <v>13767553.717000015</v>
      </c>
      <c r="G5" s="156">
        <f t="shared" si="6"/>
        <v>13723320.947000016</v>
      </c>
      <c r="H5" s="156">
        <f t="shared" si="6"/>
        <v>11518311.557000015</v>
      </c>
      <c r="I5" s="156">
        <f t="shared" si="6"/>
        <v>9687943.2070000134</v>
      </c>
      <c r="J5" s="156">
        <f t="shared" si="6"/>
        <v>9402219.3570000138</v>
      </c>
      <c r="K5" s="156">
        <f t="shared" si="6"/>
        <v>8991688.7370000128</v>
      </c>
      <c r="L5" s="156">
        <f t="shared" si="6"/>
        <v>9013575.727000013</v>
      </c>
      <c r="M5" s="156">
        <f t="shared" si="6"/>
        <v>5037003.0970000122</v>
      </c>
      <c r="N5" s="156">
        <f t="shared" si="6"/>
        <v>4613135.4870000118</v>
      </c>
      <c r="O5" s="156">
        <f t="shared" si="6"/>
        <v>4788260.0570000112</v>
      </c>
      <c r="P5" s="155">
        <f t="shared" si="6"/>
        <v>3725545.0770000117</v>
      </c>
      <c r="Q5" s="155">
        <f t="shared" si="6"/>
        <v>92322.837000012398</v>
      </c>
      <c r="R5" s="155">
        <f t="shared" si="6"/>
        <v>675994.42700001248</v>
      </c>
      <c r="S5" s="155">
        <f t="shared" si="6"/>
        <v>800962.98700001254</v>
      </c>
      <c r="T5" s="155">
        <f t="shared" si="6"/>
        <v>1493010.0070000126</v>
      </c>
      <c r="U5" s="155">
        <f t="shared" si="6"/>
        <v>1395116.9970000125</v>
      </c>
      <c r="V5" s="155">
        <f t="shared" si="6"/>
        <v>1539949.9770000125</v>
      </c>
      <c r="W5" s="155">
        <f t="shared" si="6"/>
        <v>1142776.8870000124</v>
      </c>
      <c r="X5" s="155">
        <f t="shared" si="6"/>
        <v>2348339.8270000117</v>
      </c>
      <c r="Y5" s="153">
        <f>+Y4+Y11+Y37-Y39-D37</f>
        <v>1301814.5570000187</v>
      </c>
      <c r="Z5" s="154">
        <f>+Z4+Z11-Z39+Z37</f>
        <v>2253910.2170000114</v>
      </c>
      <c r="AA5" s="152">
        <f>+AA4+AA11+AA37-AA39-D37</f>
        <v>2253910.2170000225</v>
      </c>
      <c r="AB5" s="66"/>
      <c r="AC5" s="63">
        <v>932150.31700002262</v>
      </c>
      <c r="AD5" s="63">
        <v>2330767.3470000224</v>
      </c>
      <c r="AE5" s="63">
        <v>2327281.8370000226</v>
      </c>
      <c r="AF5" s="63">
        <v>3755666.3370000226</v>
      </c>
      <c r="AG5" s="63">
        <v>1873204.9170000246</v>
      </c>
      <c r="AH5" s="63">
        <v>6479718.6570000257</v>
      </c>
      <c r="AI5" s="63">
        <v>1739394.0570000261</v>
      </c>
      <c r="AJ5" s="63">
        <v>1362798.1170000262</v>
      </c>
      <c r="AK5" s="63">
        <v>2052037.1970000267</v>
      </c>
      <c r="AL5" s="63">
        <v>2884243.9270000267</v>
      </c>
      <c r="AM5" s="63">
        <f t="shared" ref="AM5:AT5" si="7">+AM4+AM11-AM39+AM37</f>
        <v>2270268.3170000268</v>
      </c>
      <c r="AN5" s="63">
        <f t="shared" si="7"/>
        <v>2322450.8970000269</v>
      </c>
      <c r="AO5" s="63">
        <f t="shared" si="7"/>
        <v>2927116.5070000272</v>
      </c>
      <c r="AP5" s="63">
        <f t="shared" si="7"/>
        <v>3276724.8670000271</v>
      </c>
      <c r="AQ5" s="63">
        <f t="shared" si="7"/>
        <v>3173777.6670000269</v>
      </c>
      <c r="AR5" s="63">
        <f t="shared" si="7"/>
        <v>6189567.0070000272</v>
      </c>
      <c r="AS5" s="63">
        <f t="shared" si="7"/>
        <v>7356635.2870000275</v>
      </c>
      <c r="AT5" s="63">
        <f t="shared" si="7"/>
        <v>5497996.097000028</v>
      </c>
      <c r="AU5" s="153">
        <f>+AU4+AU11+AU37-AU39-L37</f>
        <v>5497996.0970000178</v>
      </c>
      <c r="AV5" s="151"/>
      <c r="AW5" s="63">
        <f t="shared" ref="AW5:BR5" si="8">+AW4+AW11-AW39+AW37</f>
        <v>0</v>
      </c>
      <c r="AX5" s="63" t="e">
        <f t="shared" si="8"/>
        <v>#REF!</v>
      </c>
      <c r="AY5" s="63" t="e">
        <f t="shared" si="8"/>
        <v>#REF!</v>
      </c>
      <c r="AZ5" s="63" t="e">
        <f t="shared" si="8"/>
        <v>#REF!</v>
      </c>
      <c r="BA5" s="63" t="e">
        <f t="shared" si="8"/>
        <v>#REF!</v>
      </c>
      <c r="BB5" s="63" t="e">
        <f t="shared" si="8"/>
        <v>#REF!</v>
      </c>
      <c r="BC5" s="63" t="e">
        <f t="shared" si="8"/>
        <v>#REF!</v>
      </c>
      <c r="BD5" s="63" t="e">
        <f t="shared" si="8"/>
        <v>#REF!</v>
      </c>
      <c r="BE5" s="63" t="e">
        <f t="shared" si="8"/>
        <v>#REF!</v>
      </c>
      <c r="BF5" s="63" t="e">
        <f t="shared" si="8"/>
        <v>#REF!</v>
      </c>
      <c r="BG5" s="63" t="e">
        <f t="shared" si="8"/>
        <v>#REF!</v>
      </c>
      <c r="BH5" s="63" t="e">
        <f t="shared" si="8"/>
        <v>#REF!</v>
      </c>
      <c r="BI5" s="63" t="e">
        <f t="shared" si="8"/>
        <v>#REF!</v>
      </c>
      <c r="BJ5" s="63" t="e">
        <f t="shared" si="8"/>
        <v>#REF!</v>
      </c>
      <c r="BK5" s="63" t="e">
        <f t="shared" si="8"/>
        <v>#REF!</v>
      </c>
      <c r="BL5" s="63" t="e">
        <f t="shared" si="8"/>
        <v>#REF!</v>
      </c>
      <c r="BM5" s="63" t="e">
        <f t="shared" si="8"/>
        <v>#REF!</v>
      </c>
      <c r="BN5" s="63" t="e">
        <f t="shared" si="8"/>
        <v>#REF!</v>
      </c>
      <c r="BO5" s="63" t="e">
        <f t="shared" si="8"/>
        <v>#REF!</v>
      </c>
      <c r="BP5" s="63" t="e">
        <f t="shared" si="8"/>
        <v>#REF!</v>
      </c>
      <c r="BQ5" s="63" t="e">
        <f t="shared" si="8"/>
        <v>#REF!</v>
      </c>
      <c r="BR5" s="63" t="e">
        <f t="shared" si="8"/>
        <v>#REF!</v>
      </c>
      <c r="BS5" s="65"/>
      <c r="BT5" s="150"/>
      <c r="BU5" s="63" t="e">
        <f t="shared" ref="BU5:CP5" si="9">+BU4+BU11-BU39+BU37</f>
        <v>#REF!</v>
      </c>
      <c r="BV5" s="63" t="e">
        <f t="shared" si="9"/>
        <v>#REF!</v>
      </c>
      <c r="BW5" s="63" t="e">
        <f t="shared" si="9"/>
        <v>#REF!</v>
      </c>
      <c r="BX5" s="63" t="e">
        <f t="shared" si="9"/>
        <v>#REF!</v>
      </c>
      <c r="BY5" s="63" t="e">
        <f t="shared" si="9"/>
        <v>#REF!</v>
      </c>
      <c r="BZ5" s="63" t="e">
        <f t="shared" si="9"/>
        <v>#REF!</v>
      </c>
      <c r="CA5" s="63" t="e">
        <f t="shared" si="9"/>
        <v>#REF!</v>
      </c>
      <c r="CB5" s="63" t="e">
        <f t="shared" si="9"/>
        <v>#REF!</v>
      </c>
      <c r="CC5" s="63" t="e">
        <f t="shared" si="9"/>
        <v>#REF!</v>
      </c>
      <c r="CD5" s="63" t="e">
        <f t="shared" si="9"/>
        <v>#REF!</v>
      </c>
      <c r="CE5" s="63" t="e">
        <f t="shared" si="9"/>
        <v>#REF!</v>
      </c>
      <c r="CF5" s="63" t="e">
        <f t="shared" si="9"/>
        <v>#REF!</v>
      </c>
      <c r="CG5" s="63" t="e">
        <f t="shared" si="9"/>
        <v>#REF!</v>
      </c>
      <c r="CH5" s="63" t="e">
        <f t="shared" si="9"/>
        <v>#REF!</v>
      </c>
      <c r="CI5" s="63" t="e">
        <f t="shared" si="9"/>
        <v>#REF!</v>
      </c>
      <c r="CJ5" s="63" t="e">
        <f t="shared" si="9"/>
        <v>#REF!</v>
      </c>
      <c r="CK5" s="63" t="e">
        <f t="shared" si="9"/>
        <v>#REF!</v>
      </c>
      <c r="CL5" s="63" t="e">
        <f t="shared" si="9"/>
        <v>#REF!</v>
      </c>
      <c r="CM5" s="63" t="e">
        <f t="shared" si="9"/>
        <v>#REF!</v>
      </c>
      <c r="CN5" s="63" t="e">
        <f t="shared" si="9"/>
        <v>#REF!</v>
      </c>
      <c r="CO5" s="63" t="e">
        <f t="shared" si="9"/>
        <v>#REF!</v>
      </c>
      <c r="CP5" s="63" t="e">
        <f t="shared" si="9"/>
        <v>#REF!</v>
      </c>
      <c r="CQ5" s="65"/>
      <c r="CR5" s="150"/>
      <c r="CS5" s="63" t="e">
        <f t="shared" ref="CS5:DM5" si="10">+CS4+CS11-CS39+CS37</f>
        <v>#REF!</v>
      </c>
      <c r="CT5" s="63" t="e">
        <f t="shared" si="10"/>
        <v>#REF!</v>
      </c>
      <c r="CU5" s="63" t="e">
        <f t="shared" si="10"/>
        <v>#REF!</v>
      </c>
      <c r="CV5" s="63" t="e">
        <f t="shared" si="10"/>
        <v>#REF!</v>
      </c>
      <c r="CW5" s="63" t="e">
        <f t="shared" si="10"/>
        <v>#REF!</v>
      </c>
      <c r="CX5" s="63" t="e">
        <f t="shared" si="10"/>
        <v>#REF!</v>
      </c>
      <c r="CY5" s="63" t="e">
        <f t="shared" si="10"/>
        <v>#REF!</v>
      </c>
      <c r="CZ5" s="63" t="e">
        <f t="shared" si="10"/>
        <v>#REF!</v>
      </c>
      <c r="DA5" s="63" t="e">
        <f t="shared" si="10"/>
        <v>#REF!</v>
      </c>
      <c r="DB5" s="63" t="e">
        <f t="shared" si="10"/>
        <v>#REF!</v>
      </c>
      <c r="DC5" s="63" t="e">
        <f t="shared" si="10"/>
        <v>#REF!</v>
      </c>
      <c r="DD5" s="63" t="e">
        <f t="shared" si="10"/>
        <v>#REF!</v>
      </c>
      <c r="DE5" s="63" t="e">
        <f t="shared" si="10"/>
        <v>#REF!</v>
      </c>
      <c r="DF5" s="63" t="e">
        <f t="shared" si="10"/>
        <v>#REF!</v>
      </c>
      <c r="DG5" s="63" t="e">
        <f t="shared" si="10"/>
        <v>#REF!</v>
      </c>
      <c r="DH5" s="63" t="e">
        <f t="shared" si="10"/>
        <v>#REF!</v>
      </c>
      <c r="DI5" s="63" t="e">
        <f t="shared" si="10"/>
        <v>#REF!</v>
      </c>
      <c r="DJ5" s="63" t="e">
        <f t="shared" si="10"/>
        <v>#REF!</v>
      </c>
      <c r="DK5" s="63" t="e">
        <f t="shared" si="10"/>
        <v>#REF!</v>
      </c>
      <c r="DL5" s="63" t="e">
        <f t="shared" si="10"/>
        <v>#REF!</v>
      </c>
      <c r="DM5" s="63" t="e">
        <f t="shared" si="10"/>
        <v>#REF!</v>
      </c>
      <c r="DN5" s="65"/>
      <c r="DO5" s="150"/>
      <c r="DP5" s="63" t="e">
        <f t="shared" ref="DP5:EK5" si="11">+DP4+DP11-DP39+DP37</f>
        <v>#REF!</v>
      </c>
      <c r="DQ5" s="63" t="e">
        <f t="shared" si="11"/>
        <v>#REF!</v>
      </c>
      <c r="DR5" s="63" t="e">
        <f t="shared" si="11"/>
        <v>#REF!</v>
      </c>
      <c r="DS5" s="63" t="e">
        <f t="shared" si="11"/>
        <v>#REF!</v>
      </c>
      <c r="DT5" s="63" t="e">
        <f t="shared" si="11"/>
        <v>#REF!</v>
      </c>
      <c r="DU5" s="63" t="e">
        <f t="shared" si="11"/>
        <v>#REF!</v>
      </c>
      <c r="DV5" s="63" t="e">
        <f t="shared" si="11"/>
        <v>#REF!</v>
      </c>
      <c r="DW5" s="63" t="e">
        <f t="shared" si="11"/>
        <v>#REF!</v>
      </c>
      <c r="DX5" s="63" t="e">
        <f t="shared" si="11"/>
        <v>#REF!</v>
      </c>
      <c r="DY5" s="63" t="e">
        <f t="shared" si="11"/>
        <v>#REF!</v>
      </c>
      <c r="DZ5" s="63" t="e">
        <f t="shared" si="11"/>
        <v>#REF!</v>
      </c>
      <c r="EA5" s="63" t="e">
        <f t="shared" si="11"/>
        <v>#REF!</v>
      </c>
      <c r="EB5" s="63" t="e">
        <f t="shared" si="11"/>
        <v>#REF!</v>
      </c>
      <c r="EC5" s="63" t="e">
        <f t="shared" si="11"/>
        <v>#REF!</v>
      </c>
      <c r="ED5" s="63" t="e">
        <f t="shared" si="11"/>
        <v>#REF!</v>
      </c>
      <c r="EE5" s="63" t="e">
        <f t="shared" si="11"/>
        <v>#REF!</v>
      </c>
      <c r="EF5" s="63" t="e">
        <f t="shared" si="11"/>
        <v>#REF!</v>
      </c>
      <c r="EG5" s="63" t="e">
        <f t="shared" si="11"/>
        <v>#REF!</v>
      </c>
      <c r="EH5" s="63" t="e">
        <f t="shared" si="11"/>
        <v>#REF!</v>
      </c>
      <c r="EI5" s="63" t="e">
        <f t="shared" si="11"/>
        <v>#REF!</v>
      </c>
      <c r="EJ5" s="63" t="e">
        <f t="shared" si="11"/>
        <v>#REF!</v>
      </c>
      <c r="EK5" s="63" t="e">
        <f t="shared" si="11"/>
        <v>#REF!</v>
      </c>
      <c r="EL5" s="65"/>
      <c r="EM5" s="150"/>
    </row>
    <row r="6" spans="1:145" s="141" customFormat="1" ht="25" customHeight="1" thickBot="1">
      <c r="B6" s="149"/>
      <c r="E6" s="146"/>
      <c r="F6" s="146"/>
      <c r="G6" s="146"/>
      <c r="H6" s="146"/>
      <c r="I6" s="146"/>
      <c r="J6" s="148"/>
      <c r="L6" s="147"/>
      <c r="N6" s="146"/>
      <c r="O6" s="146"/>
      <c r="P6" s="146"/>
      <c r="Q6" s="146"/>
      <c r="R6" s="146"/>
      <c r="T6" s="145"/>
      <c r="U6" s="146"/>
      <c r="W6" s="146"/>
      <c r="X6" s="145"/>
      <c r="Y6" s="143"/>
      <c r="Z6" s="144"/>
      <c r="AA6" s="142"/>
      <c r="AB6" s="142">
        <f>COUNT(E1:Z1)</f>
        <v>21</v>
      </c>
      <c r="AC6" s="143"/>
      <c r="AD6" s="143"/>
      <c r="AE6" s="143"/>
      <c r="AF6" s="143"/>
      <c r="AG6" s="143"/>
      <c r="AH6" s="142"/>
      <c r="AI6" s="142"/>
      <c r="AJ6" s="142"/>
      <c r="AK6" s="142"/>
      <c r="AL6" s="142"/>
      <c r="AM6" s="167"/>
      <c r="AN6" s="167"/>
      <c r="AO6" s="167"/>
      <c r="AP6" s="167"/>
      <c r="AQ6" s="167"/>
      <c r="AR6" s="167"/>
      <c r="AS6" s="167"/>
      <c r="AT6" s="167"/>
      <c r="AU6" s="143"/>
      <c r="AV6" s="142">
        <f>COUNT(AC1:AU1)</f>
        <v>19</v>
      </c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</row>
    <row r="7" spans="1:145" s="15" customFormat="1" ht="25" customHeight="1">
      <c r="B7" s="5"/>
      <c r="C7" s="140" t="s">
        <v>62</v>
      </c>
      <c r="D7" s="69">
        <v>0</v>
      </c>
      <c r="E7" s="71">
        <f>28867.33+61.99</f>
        <v>28929.320000000003</v>
      </c>
      <c r="F7" s="71">
        <f>200970.27+79.96</f>
        <v>201050.22999999998</v>
      </c>
      <c r="G7" s="71">
        <f>202084.79+101.96</f>
        <v>202186.75</v>
      </c>
      <c r="H7" s="71">
        <f>9529.09+124.77</f>
        <v>9653.86</v>
      </c>
      <c r="I7" s="71">
        <f>126577.45+154.38</f>
        <v>126731.83</v>
      </c>
      <c r="J7" s="71">
        <f>37318.19+215.96</f>
        <v>37534.15</v>
      </c>
      <c r="K7" s="71">
        <f>35302.47+34.06</f>
        <v>35336.53</v>
      </c>
      <c r="L7" s="71">
        <f>87478.89+78.3</f>
        <v>87557.19</v>
      </c>
      <c r="M7" s="71">
        <f>98523.74+128.37</f>
        <v>98652.11</v>
      </c>
      <c r="N7" s="71">
        <f>22332.1+177.96</f>
        <v>22510.059999999998</v>
      </c>
      <c r="O7" s="71">
        <f>18012.71+280</f>
        <v>18292.71</v>
      </c>
      <c r="P7" s="71">
        <f>12678.82</f>
        <v>12678.82</v>
      </c>
      <c r="Q7" s="71">
        <f>15477.93+128.38</f>
        <v>15606.31</v>
      </c>
      <c r="R7" s="71">
        <f>17803.29+128.38</f>
        <v>17931.670000000002</v>
      </c>
      <c r="S7" s="71">
        <f>99095.86+259.18</f>
        <v>99355.04</v>
      </c>
      <c r="T7" s="71">
        <f>44088.63+141.77</f>
        <v>44230.399999999994</v>
      </c>
      <c r="U7" s="71">
        <f>25876.77+89.54</f>
        <v>25966.31</v>
      </c>
      <c r="V7" s="71">
        <f>35318.25+141.77</f>
        <v>35460.019999999997</v>
      </c>
      <c r="W7" s="71">
        <f>23730.34+87.09</f>
        <v>23817.43</v>
      </c>
      <c r="X7" s="71">
        <f>33493.62+144.54</f>
        <v>33638.160000000003</v>
      </c>
      <c r="Y7" s="69"/>
      <c r="Z7" s="71">
        <f>56889.95+194.86</f>
        <v>57084.81</v>
      </c>
      <c r="AA7" s="69">
        <v>0</v>
      </c>
      <c r="AB7" s="139"/>
      <c r="AC7" s="71">
        <v>153117.18</v>
      </c>
      <c r="AD7" s="71">
        <v>12389.88</v>
      </c>
      <c r="AE7" s="71">
        <v>95620.430000000008</v>
      </c>
      <c r="AF7" s="71">
        <v>61544.13</v>
      </c>
      <c r="AG7" s="71">
        <v>10162.93</v>
      </c>
      <c r="AH7" s="71">
        <v>4651065.2300000004</v>
      </c>
      <c r="AI7" s="71">
        <v>74158.06</v>
      </c>
      <c r="AJ7" s="71">
        <v>1640.43</v>
      </c>
      <c r="AK7" s="71">
        <v>2853.95</v>
      </c>
      <c r="AL7" s="71">
        <v>3877.41</v>
      </c>
      <c r="AM7" s="71">
        <f>6414.34+434.71</f>
        <v>6849.05</v>
      </c>
      <c r="AN7" s="71">
        <f>10001.4+490.05</f>
        <v>10491.449999999999</v>
      </c>
      <c r="AO7" s="71">
        <f>8292.2+543.17</f>
        <v>8835.3700000000008</v>
      </c>
      <c r="AP7" s="71">
        <f>7940.78+601.99</f>
        <v>8542.77</v>
      </c>
      <c r="AQ7" s="71">
        <v>8476.4</v>
      </c>
      <c r="AR7" s="71">
        <f>10316+55.6</f>
        <v>10371.6</v>
      </c>
      <c r="AS7" s="71">
        <f>27312.35+104.55</f>
        <v>27416.899999999998</v>
      </c>
      <c r="AT7" s="71">
        <f>9340.38+161.82</f>
        <v>9502.1999999999989</v>
      </c>
      <c r="AU7" s="69"/>
      <c r="AV7" s="139"/>
      <c r="AW7" s="138">
        <v>0</v>
      </c>
      <c r="AX7" s="138">
        <v>0</v>
      </c>
      <c r="AY7" s="138">
        <v>0</v>
      </c>
      <c r="AZ7" s="138">
        <v>0</v>
      </c>
      <c r="BA7" s="138">
        <v>0</v>
      </c>
      <c r="BB7" s="138">
        <v>0</v>
      </c>
      <c r="BC7" s="138">
        <v>0</v>
      </c>
      <c r="BD7" s="138">
        <v>0</v>
      </c>
      <c r="BE7" s="138">
        <v>0</v>
      </c>
      <c r="BF7" s="138">
        <v>0</v>
      </c>
      <c r="BG7" s="138">
        <v>0</v>
      </c>
      <c r="BH7" s="138">
        <v>0</v>
      </c>
      <c r="BI7" s="138">
        <v>0</v>
      </c>
      <c r="BJ7" s="138">
        <v>0</v>
      </c>
      <c r="BK7" s="138">
        <v>0</v>
      </c>
      <c r="BL7" s="138">
        <v>0</v>
      </c>
      <c r="BM7" s="138">
        <v>0</v>
      </c>
      <c r="BN7" s="138">
        <v>0</v>
      </c>
      <c r="BO7" s="138">
        <v>0</v>
      </c>
      <c r="BP7" s="138">
        <v>0</v>
      </c>
      <c r="BQ7" s="138">
        <v>0</v>
      </c>
      <c r="BR7" s="138">
        <v>0</v>
      </c>
      <c r="BS7" s="137">
        <v>0</v>
      </c>
      <c r="BT7" s="137"/>
      <c r="BU7" s="138">
        <v>0</v>
      </c>
      <c r="BV7" s="138">
        <v>0</v>
      </c>
      <c r="BW7" s="138">
        <v>0</v>
      </c>
      <c r="BX7" s="138">
        <v>0</v>
      </c>
      <c r="BY7" s="138">
        <v>0</v>
      </c>
      <c r="BZ7" s="138">
        <v>0</v>
      </c>
      <c r="CA7" s="138">
        <v>0</v>
      </c>
      <c r="CB7" s="138">
        <v>0</v>
      </c>
      <c r="CC7" s="138">
        <v>0</v>
      </c>
      <c r="CD7" s="138">
        <v>0</v>
      </c>
      <c r="CE7" s="138">
        <v>0</v>
      </c>
      <c r="CF7" s="138">
        <v>0</v>
      </c>
      <c r="CG7" s="138">
        <v>0</v>
      </c>
      <c r="CH7" s="138">
        <v>0</v>
      </c>
      <c r="CI7" s="138">
        <v>0</v>
      </c>
      <c r="CJ7" s="138">
        <v>0</v>
      </c>
      <c r="CK7" s="138">
        <v>0</v>
      </c>
      <c r="CL7" s="138">
        <v>0</v>
      </c>
      <c r="CM7" s="138">
        <v>0</v>
      </c>
      <c r="CN7" s="138">
        <v>0</v>
      </c>
      <c r="CO7" s="138">
        <v>0</v>
      </c>
      <c r="CP7" s="138">
        <v>0</v>
      </c>
      <c r="CQ7" s="137">
        <v>0</v>
      </c>
      <c r="CR7" s="137"/>
      <c r="CS7" s="138">
        <v>0</v>
      </c>
      <c r="CT7" s="138">
        <v>0</v>
      </c>
      <c r="CU7" s="138">
        <v>0</v>
      </c>
      <c r="CV7" s="138">
        <v>0</v>
      </c>
      <c r="CW7" s="138">
        <v>0</v>
      </c>
      <c r="CX7" s="138">
        <v>0</v>
      </c>
      <c r="CY7" s="138">
        <v>0</v>
      </c>
      <c r="CZ7" s="138">
        <v>0</v>
      </c>
      <c r="DA7" s="138">
        <v>0</v>
      </c>
      <c r="DB7" s="138">
        <v>0</v>
      </c>
      <c r="DC7" s="138">
        <v>0</v>
      </c>
      <c r="DD7" s="138">
        <v>0</v>
      </c>
      <c r="DE7" s="138">
        <v>0</v>
      </c>
      <c r="DF7" s="138">
        <v>0</v>
      </c>
      <c r="DG7" s="138">
        <v>0</v>
      </c>
      <c r="DH7" s="138">
        <v>0</v>
      </c>
      <c r="DI7" s="138">
        <v>0</v>
      </c>
      <c r="DJ7" s="138">
        <v>0</v>
      </c>
      <c r="DK7" s="138">
        <v>0</v>
      </c>
      <c r="DL7" s="138">
        <v>0</v>
      </c>
      <c r="DM7" s="138">
        <v>0</v>
      </c>
      <c r="DN7" s="137">
        <v>0</v>
      </c>
      <c r="DO7" s="137"/>
      <c r="DP7" s="138">
        <v>0</v>
      </c>
      <c r="DQ7" s="138">
        <v>0</v>
      </c>
      <c r="DR7" s="138">
        <v>0</v>
      </c>
      <c r="DS7" s="138">
        <v>0</v>
      </c>
      <c r="DT7" s="138">
        <v>0</v>
      </c>
      <c r="DU7" s="138">
        <v>0</v>
      </c>
      <c r="DV7" s="138">
        <v>0</v>
      </c>
      <c r="DW7" s="138">
        <v>0</v>
      </c>
      <c r="DX7" s="138">
        <v>0</v>
      </c>
      <c r="DY7" s="138">
        <v>0</v>
      </c>
      <c r="DZ7" s="138">
        <v>0</v>
      </c>
      <c r="EA7" s="138">
        <v>0</v>
      </c>
      <c r="EB7" s="138">
        <v>0</v>
      </c>
      <c r="EC7" s="138">
        <v>0</v>
      </c>
      <c r="ED7" s="138">
        <v>0</v>
      </c>
      <c r="EE7" s="138">
        <v>0</v>
      </c>
      <c r="EF7" s="138">
        <v>0</v>
      </c>
      <c r="EG7" s="138">
        <v>0</v>
      </c>
      <c r="EH7" s="138">
        <v>0</v>
      </c>
      <c r="EI7" s="138">
        <v>0</v>
      </c>
      <c r="EJ7" s="138">
        <v>0</v>
      </c>
      <c r="EK7" s="138">
        <v>0</v>
      </c>
      <c r="EL7" s="137">
        <v>0</v>
      </c>
      <c r="EM7" s="137"/>
    </row>
    <row r="8" spans="1:145" s="15" customFormat="1" ht="25" customHeight="1">
      <c r="B8" s="5"/>
      <c r="C8" s="136" t="s">
        <v>61</v>
      </c>
      <c r="D8" s="134">
        <v>0</v>
      </c>
      <c r="E8" s="135">
        <f>53573.44+12740249.08</f>
        <v>12793822.52</v>
      </c>
      <c r="F8" s="135">
        <f>51563.32+6842315.31</f>
        <v>6893878.6299999999</v>
      </c>
      <c r="G8" s="135">
        <f>6363.21+6843268.45</f>
        <v>6849631.6600000001</v>
      </c>
      <c r="H8" s="135">
        <f>31255.23+6344249.04</f>
        <v>6375504.2700000005</v>
      </c>
      <c r="I8" s="135">
        <f>23644.47+4695263.19</f>
        <v>4718907.66</v>
      </c>
      <c r="J8" s="135">
        <f>74738.99+4446235.64</f>
        <v>4520974.63</v>
      </c>
      <c r="K8" s="135">
        <f>26673.57+4148027.27</f>
        <v>4174700.84</v>
      </c>
      <c r="L8" s="135">
        <f>17889.74+4129081.02</f>
        <v>4146970.7600000002</v>
      </c>
      <c r="M8" s="135">
        <f>30964.84+3200175.29</f>
        <v>3231140.13</v>
      </c>
      <c r="N8" s="135">
        <f>16885.2+2901222.51</f>
        <v>2918107.71</v>
      </c>
      <c r="O8" s="135">
        <f>18245.43+3092142.05</f>
        <v>3110387.48</v>
      </c>
      <c r="P8" s="135">
        <f>37192.43+2952142.05</f>
        <v>2989334.48</v>
      </c>
      <c r="Q8" s="135">
        <v>9507.8700000000008</v>
      </c>
      <c r="R8" s="135">
        <f>36166.26+530000</f>
        <v>566166.26</v>
      </c>
      <c r="S8" s="135">
        <f>7097.23+605007.03</f>
        <v>612104.26</v>
      </c>
      <c r="T8" s="135">
        <f>10000+1355026.27</f>
        <v>1365026.27</v>
      </c>
      <c r="U8" s="135">
        <f>9156.46+1280126.27</f>
        <v>1289282.73</v>
      </c>
      <c r="V8" s="135">
        <f>10577.65+1420225.58</f>
        <v>1430803.23</v>
      </c>
      <c r="W8" s="135">
        <f>29441.24+1070359.77</f>
        <v>1099801.01</v>
      </c>
      <c r="X8" s="135">
        <f>46252.58+1700467.89</f>
        <v>1746720.47</v>
      </c>
      <c r="Y8" s="134"/>
      <c r="Z8" s="135">
        <f>24567.08+1628616.93</f>
        <v>1653184.01</v>
      </c>
      <c r="AA8" s="134">
        <v>0</v>
      </c>
      <c r="AB8" s="133"/>
      <c r="AC8" s="135">
        <v>240163.66999999998</v>
      </c>
      <c r="AD8" s="135">
        <v>1774986.7000000002</v>
      </c>
      <c r="AE8" s="135">
        <v>1786509.92</v>
      </c>
      <c r="AF8" s="135">
        <v>3184103.21</v>
      </c>
      <c r="AG8" s="135">
        <v>1397427.39</v>
      </c>
      <c r="AH8" s="135">
        <v>1362901.03</v>
      </c>
      <c r="AI8" s="135">
        <v>1197292.08</v>
      </c>
      <c r="AJ8" s="135">
        <v>1121718.52</v>
      </c>
      <c r="AK8" s="135">
        <v>1123883.47</v>
      </c>
      <c r="AL8" s="135">
        <v>1961606.55</v>
      </c>
      <c r="AM8" s="135">
        <f>5338.55+1634145.64</f>
        <v>1639484.19</v>
      </c>
      <c r="AN8" s="135">
        <f>23577.68+1664378.02</f>
        <v>1687955.7</v>
      </c>
      <c r="AO8" s="135">
        <f>7482.51+2344647.9</f>
        <v>2352130.4099999997</v>
      </c>
      <c r="AP8" s="135">
        <f>64132.38+2640246.7</f>
        <v>2704379.08</v>
      </c>
      <c r="AQ8" s="135">
        <f>8752.61+2590730.64</f>
        <v>2599483.25</v>
      </c>
      <c r="AR8" s="135">
        <f>6163.61+2301203.98</f>
        <v>2307367.59</v>
      </c>
      <c r="AS8" s="135">
        <f>10364.98+7011647.06</f>
        <v>7022012.04</v>
      </c>
      <c r="AT8" s="135">
        <f>35843.37+5162265.89</f>
        <v>5198109.26</v>
      </c>
      <c r="AU8" s="134"/>
      <c r="AV8" s="133"/>
      <c r="AW8" s="132">
        <v>0</v>
      </c>
      <c r="AX8" s="132">
        <v>0</v>
      </c>
      <c r="AY8" s="132">
        <v>0</v>
      </c>
      <c r="AZ8" s="132">
        <v>0</v>
      </c>
      <c r="BA8" s="132">
        <v>0</v>
      </c>
      <c r="BB8" s="132">
        <v>0</v>
      </c>
      <c r="BC8" s="132">
        <v>0</v>
      </c>
      <c r="BD8" s="132">
        <v>0</v>
      </c>
      <c r="BE8" s="132">
        <v>0</v>
      </c>
      <c r="BF8" s="132">
        <v>0</v>
      </c>
      <c r="BG8" s="132">
        <v>0</v>
      </c>
      <c r="BH8" s="132">
        <v>0</v>
      </c>
      <c r="BI8" s="132">
        <v>0</v>
      </c>
      <c r="BJ8" s="132">
        <v>0</v>
      </c>
      <c r="BK8" s="132">
        <v>0</v>
      </c>
      <c r="BL8" s="132">
        <v>0</v>
      </c>
      <c r="BM8" s="132">
        <v>0</v>
      </c>
      <c r="BN8" s="132">
        <v>0</v>
      </c>
      <c r="BO8" s="132">
        <v>0</v>
      </c>
      <c r="BP8" s="132">
        <v>0</v>
      </c>
      <c r="BQ8" s="132">
        <v>0</v>
      </c>
      <c r="BR8" s="132">
        <v>0</v>
      </c>
      <c r="BS8" s="131">
        <v>0</v>
      </c>
      <c r="BT8" s="131"/>
      <c r="BU8" s="132">
        <v>0</v>
      </c>
      <c r="BV8" s="132">
        <v>0</v>
      </c>
      <c r="BW8" s="132">
        <v>0</v>
      </c>
      <c r="BX8" s="132">
        <v>0</v>
      </c>
      <c r="BY8" s="132">
        <v>0</v>
      </c>
      <c r="BZ8" s="132">
        <v>0</v>
      </c>
      <c r="CA8" s="132">
        <v>0</v>
      </c>
      <c r="CB8" s="132">
        <v>0</v>
      </c>
      <c r="CC8" s="132">
        <v>0</v>
      </c>
      <c r="CD8" s="132">
        <v>0</v>
      </c>
      <c r="CE8" s="132">
        <v>0</v>
      </c>
      <c r="CF8" s="132">
        <v>0</v>
      </c>
      <c r="CG8" s="132">
        <v>0</v>
      </c>
      <c r="CH8" s="132">
        <v>0</v>
      </c>
      <c r="CI8" s="132">
        <v>0</v>
      </c>
      <c r="CJ8" s="132">
        <v>0</v>
      </c>
      <c r="CK8" s="132">
        <v>0</v>
      </c>
      <c r="CL8" s="132">
        <v>0</v>
      </c>
      <c r="CM8" s="132">
        <v>0</v>
      </c>
      <c r="CN8" s="132">
        <v>0</v>
      </c>
      <c r="CO8" s="132">
        <v>0</v>
      </c>
      <c r="CP8" s="132">
        <v>0</v>
      </c>
      <c r="CQ8" s="131">
        <v>0</v>
      </c>
      <c r="CR8" s="131"/>
      <c r="CS8" s="132">
        <v>0</v>
      </c>
      <c r="CT8" s="132">
        <v>0</v>
      </c>
      <c r="CU8" s="132">
        <v>0</v>
      </c>
      <c r="CV8" s="132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0</v>
      </c>
      <c r="DB8" s="132">
        <v>0</v>
      </c>
      <c r="DC8" s="132">
        <v>0</v>
      </c>
      <c r="DD8" s="132">
        <v>0</v>
      </c>
      <c r="DE8" s="132">
        <v>0</v>
      </c>
      <c r="DF8" s="132">
        <v>0</v>
      </c>
      <c r="DG8" s="132">
        <v>0</v>
      </c>
      <c r="DH8" s="132">
        <v>0</v>
      </c>
      <c r="DI8" s="132">
        <v>0</v>
      </c>
      <c r="DJ8" s="132">
        <v>0</v>
      </c>
      <c r="DK8" s="132">
        <v>0</v>
      </c>
      <c r="DL8" s="132">
        <v>0</v>
      </c>
      <c r="DM8" s="132">
        <v>0</v>
      </c>
      <c r="DN8" s="131">
        <v>0</v>
      </c>
      <c r="DO8" s="131"/>
      <c r="DP8" s="132">
        <v>0</v>
      </c>
      <c r="DQ8" s="132">
        <v>0</v>
      </c>
      <c r="DR8" s="132">
        <v>0</v>
      </c>
      <c r="DS8" s="132">
        <v>0</v>
      </c>
      <c r="DT8" s="132">
        <v>0</v>
      </c>
      <c r="DU8" s="132">
        <v>0</v>
      </c>
      <c r="DV8" s="132">
        <v>0</v>
      </c>
      <c r="DW8" s="132">
        <v>0</v>
      </c>
      <c r="DX8" s="132">
        <v>0</v>
      </c>
      <c r="DY8" s="132">
        <v>0</v>
      </c>
      <c r="DZ8" s="132">
        <v>0</v>
      </c>
      <c r="EA8" s="132">
        <v>0</v>
      </c>
      <c r="EB8" s="132">
        <v>0</v>
      </c>
      <c r="EC8" s="132">
        <v>0</v>
      </c>
      <c r="ED8" s="132">
        <v>0</v>
      </c>
      <c r="EE8" s="132">
        <v>0</v>
      </c>
      <c r="EF8" s="132">
        <v>0</v>
      </c>
      <c r="EG8" s="132">
        <v>0</v>
      </c>
      <c r="EH8" s="132">
        <v>0</v>
      </c>
      <c r="EI8" s="132">
        <v>0</v>
      </c>
      <c r="EJ8" s="132">
        <v>0</v>
      </c>
      <c r="EK8" s="132">
        <v>0</v>
      </c>
      <c r="EL8" s="131">
        <v>0</v>
      </c>
      <c r="EM8" s="131"/>
    </row>
    <row r="9" spans="1:145" s="15" customFormat="1" ht="25" customHeight="1" thickBot="1">
      <c r="B9" s="5"/>
      <c r="C9" s="130" t="s">
        <v>60</v>
      </c>
      <c r="D9" s="128">
        <v>0</v>
      </c>
      <c r="E9" s="129">
        <f>15071.63+6661487.67</f>
        <v>6676559.2999999998</v>
      </c>
      <c r="F9" s="129">
        <f>18722.04+6653902.53</f>
        <v>6672624.5700000003</v>
      </c>
      <c r="G9" s="129">
        <f>15877.7+6655625.54</f>
        <v>6671503.2400000002</v>
      </c>
      <c r="H9" s="129">
        <f>10772.93+5122380.08</f>
        <v>5133153.01</v>
      </c>
      <c r="I9" s="129">
        <f>3388.01+4838915.47</f>
        <v>4842303.4799999995</v>
      </c>
      <c r="J9" s="129">
        <f>23388.01+4820322.33</f>
        <v>4843710.34</v>
      </c>
      <c r="K9" s="129">
        <f>13488.69+4768163.11</f>
        <v>4781651.8000000007</v>
      </c>
      <c r="L9" s="129">
        <f>9166.82+4769881.56</f>
        <v>4779048.38</v>
      </c>
      <c r="M9" s="129">
        <f>35350.39+1671859.98</f>
        <v>1707210.3699999999</v>
      </c>
      <c r="N9" s="129">
        <f>15046.1+1657471.52</f>
        <v>1672517.62</v>
      </c>
      <c r="O9" s="129">
        <f>16459.07+1643120.7</f>
        <v>1659579.77</v>
      </c>
      <c r="P9" s="129">
        <f>15622.85+643120.7</f>
        <v>658743.54999999993</v>
      </c>
      <c r="Q9" s="129">
        <f>22513.83+44694.51</f>
        <v>67208.34</v>
      </c>
      <c r="R9" s="129">
        <f>17854.46+374694.51</f>
        <v>392548.97000000003</v>
      </c>
      <c r="S9" s="129">
        <f>4771.97+84731.24</f>
        <v>89503.21</v>
      </c>
      <c r="T9" s="129">
        <f>2000+81753.55</f>
        <v>83753.55</v>
      </c>
      <c r="U9" s="129">
        <f>3072.61+76795.6</f>
        <v>79868.210000000006</v>
      </c>
      <c r="V9" s="129">
        <f>1867.9+71819.08</f>
        <v>73686.98</v>
      </c>
      <c r="W9" s="129">
        <f>7317.67+11841.03</f>
        <v>19158.7</v>
      </c>
      <c r="X9" s="129">
        <f>6138.66+561842.79</f>
        <v>567981.45000000007</v>
      </c>
      <c r="Y9" s="128"/>
      <c r="Z9" s="129">
        <f>3789.57+539852.31</f>
        <v>543641.88</v>
      </c>
      <c r="AA9" s="128">
        <v>0</v>
      </c>
      <c r="AB9" s="127"/>
      <c r="AC9" s="129">
        <v>538869.47000000009</v>
      </c>
      <c r="AD9" s="129">
        <v>543390.2699999999</v>
      </c>
      <c r="AE9" s="129">
        <v>445150.99000000005</v>
      </c>
      <c r="AF9" s="129">
        <v>509928.5</v>
      </c>
      <c r="AG9" s="129">
        <v>465614.55</v>
      </c>
      <c r="AH9" s="129">
        <v>465753.17</v>
      </c>
      <c r="AI9" s="129">
        <v>467944.56</v>
      </c>
      <c r="AJ9" s="129">
        <v>239439.96</v>
      </c>
      <c r="AK9" s="129">
        <v>925300.57</v>
      </c>
      <c r="AL9" s="129">
        <v>918760.2300000001</v>
      </c>
      <c r="AM9" s="129">
        <f>4086.55+619849.05</f>
        <v>623935.60000000009</v>
      </c>
      <c r="AN9" s="129">
        <f>27086.55+596917.85</f>
        <v>624004.4</v>
      </c>
      <c r="AO9" s="129">
        <f>5161.11+560990.27</f>
        <v>566151.38</v>
      </c>
      <c r="AP9" s="129">
        <f>2659.52+561143.78</f>
        <v>563803.30000000005</v>
      </c>
      <c r="AQ9" s="129">
        <f>4559.52+561258.78</f>
        <v>565818.30000000005</v>
      </c>
      <c r="AR9" s="129">
        <f>20434.99+3851393.56</f>
        <v>3871828.5500000003</v>
      </c>
      <c r="AS9" s="129">
        <f>25633.42+281573.77</f>
        <v>307207.19</v>
      </c>
      <c r="AT9" s="129">
        <f>8800.35+281584.53</f>
        <v>290384.88</v>
      </c>
      <c r="AU9" s="128"/>
      <c r="AV9" s="127"/>
      <c r="AW9" s="126">
        <v>0</v>
      </c>
      <c r="AX9" s="126">
        <v>0</v>
      </c>
      <c r="AY9" s="126">
        <v>0</v>
      </c>
      <c r="AZ9" s="126">
        <v>0</v>
      </c>
      <c r="BA9" s="126">
        <v>0</v>
      </c>
      <c r="BB9" s="126">
        <v>0</v>
      </c>
      <c r="BC9" s="126">
        <v>0</v>
      </c>
      <c r="BD9" s="126">
        <v>0</v>
      </c>
      <c r="BE9" s="126">
        <v>0</v>
      </c>
      <c r="BF9" s="126">
        <v>0</v>
      </c>
      <c r="BG9" s="126">
        <v>0</v>
      </c>
      <c r="BH9" s="126">
        <v>0</v>
      </c>
      <c r="BI9" s="126">
        <v>0</v>
      </c>
      <c r="BJ9" s="126">
        <v>0</v>
      </c>
      <c r="BK9" s="126">
        <v>0</v>
      </c>
      <c r="BL9" s="126">
        <v>0</v>
      </c>
      <c r="BM9" s="126">
        <v>0</v>
      </c>
      <c r="BN9" s="126">
        <v>0</v>
      </c>
      <c r="BO9" s="126">
        <v>0</v>
      </c>
      <c r="BP9" s="126">
        <v>0</v>
      </c>
      <c r="BQ9" s="126">
        <v>0</v>
      </c>
      <c r="BR9" s="126">
        <v>0</v>
      </c>
      <c r="BS9" s="125">
        <v>0</v>
      </c>
      <c r="BT9" s="125"/>
      <c r="BU9" s="126">
        <v>0</v>
      </c>
      <c r="BV9" s="126">
        <v>0</v>
      </c>
      <c r="BW9" s="126">
        <v>0</v>
      </c>
      <c r="BX9" s="126">
        <v>0</v>
      </c>
      <c r="BY9" s="126">
        <v>0</v>
      </c>
      <c r="BZ9" s="126">
        <v>0</v>
      </c>
      <c r="CA9" s="126">
        <v>0</v>
      </c>
      <c r="CB9" s="126">
        <v>0</v>
      </c>
      <c r="CC9" s="126">
        <v>0</v>
      </c>
      <c r="CD9" s="126">
        <v>0</v>
      </c>
      <c r="CE9" s="126">
        <v>0</v>
      </c>
      <c r="CF9" s="126">
        <v>0</v>
      </c>
      <c r="CG9" s="126">
        <v>0</v>
      </c>
      <c r="CH9" s="126">
        <v>0</v>
      </c>
      <c r="CI9" s="126">
        <v>0</v>
      </c>
      <c r="CJ9" s="126">
        <v>0</v>
      </c>
      <c r="CK9" s="126">
        <v>0</v>
      </c>
      <c r="CL9" s="126">
        <v>0</v>
      </c>
      <c r="CM9" s="126">
        <v>0</v>
      </c>
      <c r="CN9" s="126">
        <v>0</v>
      </c>
      <c r="CO9" s="126">
        <v>0</v>
      </c>
      <c r="CP9" s="126">
        <v>0</v>
      </c>
      <c r="CQ9" s="125">
        <v>0</v>
      </c>
      <c r="CR9" s="125"/>
      <c r="CS9" s="126">
        <v>0</v>
      </c>
      <c r="CT9" s="126">
        <v>0</v>
      </c>
      <c r="CU9" s="126">
        <v>0</v>
      </c>
      <c r="CV9" s="126">
        <v>0</v>
      </c>
      <c r="CW9" s="126">
        <v>0</v>
      </c>
      <c r="CX9" s="126">
        <v>0</v>
      </c>
      <c r="CY9" s="126">
        <v>0</v>
      </c>
      <c r="CZ9" s="126">
        <v>0</v>
      </c>
      <c r="DA9" s="126">
        <v>0</v>
      </c>
      <c r="DB9" s="126">
        <v>0</v>
      </c>
      <c r="DC9" s="126">
        <v>0</v>
      </c>
      <c r="DD9" s="126">
        <v>0</v>
      </c>
      <c r="DE9" s="126">
        <v>0</v>
      </c>
      <c r="DF9" s="126">
        <v>0</v>
      </c>
      <c r="DG9" s="126">
        <v>0</v>
      </c>
      <c r="DH9" s="126">
        <v>0</v>
      </c>
      <c r="DI9" s="126">
        <v>0</v>
      </c>
      <c r="DJ9" s="126">
        <v>0</v>
      </c>
      <c r="DK9" s="126">
        <v>0</v>
      </c>
      <c r="DL9" s="126">
        <v>0</v>
      </c>
      <c r="DM9" s="126">
        <v>0</v>
      </c>
      <c r="DN9" s="125">
        <v>0</v>
      </c>
      <c r="DO9" s="125"/>
      <c r="DP9" s="126">
        <v>0</v>
      </c>
      <c r="DQ9" s="126">
        <v>0</v>
      </c>
      <c r="DR9" s="126">
        <v>0</v>
      </c>
      <c r="DS9" s="126">
        <v>0</v>
      </c>
      <c r="DT9" s="126">
        <v>0</v>
      </c>
      <c r="DU9" s="126">
        <v>0</v>
      </c>
      <c r="DV9" s="126">
        <v>0</v>
      </c>
      <c r="DW9" s="126">
        <v>0</v>
      </c>
      <c r="DX9" s="126">
        <v>0</v>
      </c>
      <c r="DY9" s="126">
        <v>0</v>
      </c>
      <c r="DZ9" s="126">
        <v>0</v>
      </c>
      <c r="EA9" s="126">
        <v>0</v>
      </c>
      <c r="EB9" s="126">
        <v>0</v>
      </c>
      <c r="EC9" s="126">
        <v>0</v>
      </c>
      <c r="ED9" s="126">
        <v>0</v>
      </c>
      <c r="EE9" s="126">
        <v>0</v>
      </c>
      <c r="EF9" s="126">
        <v>0</v>
      </c>
      <c r="EG9" s="126">
        <v>0</v>
      </c>
      <c r="EH9" s="126">
        <v>0</v>
      </c>
      <c r="EI9" s="126">
        <v>0</v>
      </c>
      <c r="EJ9" s="126">
        <v>0</v>
      </c>
      <c r="EK9" s="126">
        <v>0</v>
      </c>
      <c r="EL9" s="125">
        <v>0</v>
      </c>
      <c r="EM9" s="125"/>
      <c r="EO9" s="82"/>
    </row>
    <row r="10" spans="1:145" s="12" customFormat="1" ht="25" customHeight="1" thickBot="1">
      <c r="A10" s="61"/>
      <c r="B10" s="5"/>
      <c r="C10" s="124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2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</row>
    <row r="11" spans="1:145" s="2" customFormat="1" ht="25" customHeight="1">
      <c r="A11" s="36"/>
      <c r="B11" s="5"/>
      <c r="C11" s="35" t="s">
        <v>59</v>
      </c>
      <c r="D11" s="33">
        <v>0</v>
      </c>
      <c r="E11" s="31">
        <f t="shared" ref="E11:X11" si="12">+E12+E13+E14+E15+E34+E35</f>
        <v>41249.65</v>
      </c>
      <c r="F11" s="31">
        <f t="shared" si="12"/>
        <v>187502.3</v>
      </c>
      <c r="G11" s="31">
        <f t="shared" si="12"/>
        <v>24289.800000000003</v>
      </c>
      <c r="H11" s="31">
        <f t="shared" si="12"/>
        <v>17824.690000000002</v>
      </c>
      <c r="I11" s="31">
        <f t="shared" si="12"/>
        <v>82496.290000000008</v>
      </c>
      <c r="J11" s="31">
        <f t="shared" si="12"/>
        <v>19798.73</v>
      </c>
      <c r="K11" s="31">
        <f t="shared" si="12"/>
        <v>15054.36</v>
      </c>
      <c r="L11" s="31">
        <f t="shared" si="12"/>
        <v>14606.689999999999</v>
      </c>
      <c r="M11" s="31">
        <f t="shared" si="12"/>
        <v>70963.64</v>
      </c>
      <c r="N11" s="31">
        <f t="shared" si="12"/>
        <v>41878.85</v>
      </c>
      <c r="O11" s="31">
        <f t="shared" si="12"/>
        <v>274856.43</v>
      </c>
      <c r="P11" s="31">
        <f t="shared" si="12"/>
        <v>68483.16</v>
      </c>
      <c r="Q11" s="31">
        <f t="shared" si="12"/>
        <v>2990158.29</v>
      </c>
      <c r="R11" s="31">
        <f t="shared" si="12"/>
        <v>8821.64</v>
      </c>
      <c r="S11" s="31">
        <f t="shared" si="12"/>
        <v>202323.83000000002</v>
      </c>
      <c r="T11" s="31">
        <f t="shared" si="12"/>
        <v>2163799.67</v>
      </c>
      <c r="U11" s="31">
        <f t="shared" si="12"/>
        <v>35703.979999999996</v>
      </c>
      <c r="V11" s="31">
        <f t="shared" si="12"/>
        <v>190686.97999999998</v>
      </c>
      <c r="W11" s="31">
        <f t="shared" si="12"/>
        <v>29277.910000000003</v>
      </c>
      <c r="X11" s="31">
        <f t="shared" si="12"/>
        <v>6542707.6499999994</v>
      </c>
      <c r="Y11" s="33">
        <f>+Y12+Y13+Y15+Y34+Y35+Y14</f>
        <v>11975959.27</v>
      </c>
      <c r="Z11" s="31">
        <f>+Z12+Z13+Z14+Z15+Z34+Z35</f>
        <v>2131316.5499999998</v>
      </c>
      <c r="AA11" s="33">
        <f>+AA12+AA13+AA15+AA34+AA35+AA14</f>
        <v>15153801.090000002</v>
      </c>
      <c r="AB11" s="34">
        <f>+AB12+AB13+AB15+AB34+AB35+AB14</f>
        <v>31774639.510000002</v>
      </c>
      <c r="AC11" s="31">
        <v>327011.73</v>
      </c>
      <c r="AD11" s="31">
        <v>1653199.2899999998</v>
      </c>
      <c r="AE11" s="31">
        <v>5008380.8</v>
      </c>
      <c r="AF11" s="31">
        <v>3023461.13</v>
      </c>
      <c r="AG11" s="31">
        <v>5421101.3399999999</v>
      </c>
      <c r="AH11" s="31">
        <v>8051741.4100000001</v>
      </c>
      <c r="AI11" s="31">
        <v>72592.05</v>
      </c>
      <c r="AJ11" s="31">
        <v>17053.41</v>
      </c>
      <c r="AK11" s="31">
        <v>4172110.51</v>
      </c>
      <c r="AL11" s="31">
        <v>1120637.96</v>
      </c>
      <c r="AM11" s="31">
        <f t="shared" ref="AM11:AT11" si="13">+AM12+AM13+AM14+AM15+AM34+AM35</f>
        <v>79185.61</v>
      </c>
      <c r="AN11" s="31">
        <f t="shared" si="13"/>
        <v>230297.97999999998</v>
      </c>
      <c r="AO11" s="31">
        <f t="shared" si="13"/>
        <v>6371378.7599999998</v>
      </c>
      <c r="AP11" s="31">
        <f t="shared" si="13"/>
        <v>545801.42000000004</v>
      </c>
      <c r="AQ11" s="31">
        <f t="shared" si="13"/>
        <v>32673.88</v>
      </c>
      <c r="AR11" s="31">
        <f t="shared" si="13"/>
        <v>3993752.85</v>
      </c>
      <c r="AS11" s="31">
        <f t="shared" si="13"/>
        <v>4781197.6300000008</v>
      </c>
      <c r="AT11" s="31">
        <f t="shared" si="13"/>
        <v>383302.65000000008</v>
      </c>
      <c r="AU11" s="33">
        <f>+AU12+AU13+AU15+AU34+AU35+AU14</f>
        <v>45284880.409999996</v>
      </c>
      <c r="AV11" s="34"/>
      <c r="AW11" s="31">
        <f t="shared" ref="AW11:BR11" si="14">+AW12+AW13+AW14+AW15+AW34+AW35</f>
        <v>0</v>
      </c>
      <c r="AX11" s="31" t="e">
        <f t="shared" si="14"/>
        <v>#REF!</v>
      </c>
      <c r="AY11" s="31" t="e">
        <f t="shared" si="14"/>
        <v>#REF!</v>
      </c>
      <c r="AZ11" s="31" t="e">
        <f t="shared" si="14"/>
        <v>#REF!</v>
      </c>
      <c r="BA11" s="31" t="e">
        <f t="shared" si="14"/>
        <v>#REF!</v>
      </c>
      <c r="BB11" s="31" t="e">
        <f t="shared" si="14"/>
        <v>#REF!</v>
      </c>
      <c r="BC11" s="31" t="e">
        <f t="shared" si="14"/>
        <v>#REF!</v>
      </c>
      <c r="BD11" s="31" t="e">
        <f t="shared" si="14"/>
        <v>#REF!</v>
      </c>
      <c r="BE11" s="31" t="e">
        <f t="shared" si="14"/>
        <v>#REF!</v>
      </c>
      <c r="BF11" s="31" t="e">
        <f t="shared" si="14"/>
        <v>#REF!</v>
      </c>
      <c r="BG11" s="31" t="e">
        <f t="shared" si="14"/>
        <v>#REF!</v>
      </c>
      <c r="BH11" s="31" t="e">
        <f t="shared" si="14"/>
        <v>#REF!</v>
      </c>
      <c r="BI11" s="31" t="e">
        <f t="shared" si="14"/>
        <v>#REF!</v>
      </c>
      <c r="BJ11" s="31" t="e">
        <f t="shared" si="14"/>
        <v>#REF!</v>
      </c>
      <c r="BK11" s="31" t="e">
        <f t="shared" si="14"/>
        <v>#REF!</v>
      </c>
      <c r="BL11" s="31" t="e">
        <f t="shared" si="14"/>
        <v>#REF!</v>
      </c>
      <c r="BM11" s="31" t="e">
        <f t="shared" si="14"/>
        <v>#REF!</v>
      </c>
      <c r="BN11" s="31" t="e">
        <f t="shared" si="14"/>
        <v>#REF!</v>
      </c>
      <c r="BO11" s="31" t="e">
        <f t="shared" si="14"/>
        <v>#REF!</v>
      </c>
      <c r="BP11" s="31" t="e">
        <f t="shared" si="14"/>
        <v>#REF!</v>
      </c>
      <c r="BQ11" s="31" t="e">
        <f t="shared" si="14"/>
        <v>#REF!</v>
      </c>
      <c r="BR11" s="31" t="e">
        <f t="shared" si="14"/>
        <v>#REF!</v>
      </c>
      <c r="BS11" s="33"/>
      <c r="BT11" s="33"/>
      <c r="BU11" s="31" t="e">
        <f t="shared" ref="BU11:CP11" si="15">+BU12+BU13+BU14+BU15+BU34+BU35</f>
        <v>#REF!</v>
      </c>
      <c r="BV11" s="31" t="e">
        <f t="shared" si="15"/>
        <v>#REF!</v>
      </c>
      <c r="BW11" s="31" t="e">
        <f t="shared" si="15"/>
        <v>#REF!</v>
      </c>
      <c r="BX11" s="31" t="e">
        <f t="shared" si="15"/>
        <v>#REF!</v>
      </c>
      <c r="BY11" s="31" t="e">
        <f t="shared" si="15"/>
        <v>#REF!</v>
      </c>
      <c r="BZ11" s="31" t="e">
        <f t="shared" si="15"/>
        <v>#REF!</v>
      </c>
      <c r="CA11" s="31" t="e">
        <f t="shared" si="15"/>
        <v>#REF!</v>
      </c>
      <c r="CB11" s="31" t="e">
        <f t="shared" si="15"/>
        <v>#REF!</v>
      </c>
      <c r="CC11" s="31" t="e">
        <f t="shared" si="15"/>
        <v>#REF!</v>
      </c>
      <c r="CD11" s="31" t="e">
        <f t="shared" si="15"/>
        <v>#REF!</v>
      </c>
      <c r="CE11" s="31" t="e">
        <f t="shared" si="15"/>
        <v>#REF!</v>
      </c>
      <c r="CF11" s="31" t="e">
        <f t="shared" si="15"/>
        <v>#REF!</v>
      </c>
      <c r="CG11" s="31" t="e">
        <f t="shared" si="15"/>
        <v>#REF!</v>
      </c>
      <c r="CH11" s="31" t="e">
        <f t="shared" si="15"/>
        <v>#REF!</v>
      </c>
      <c r="CI11" s="31" t="e">
        <f t="shared" si="15"/>
        <v>#REF!</v>
      </c>
      <c r="CJ11" s="31" t="e">
        <f t="shared" si="15"/>
        <v>#REF!</v>
      </c>
      <c r="CK11" s="31" t="e">
        <f t="shared" si="15"/>
        <v>#REF!</v>
      </c>
      <c r="CL11" s="31" t="e">
        <f t="shared" si="15"/>
        <v>#REF!</v>
      </c>
      <c r="CM11" s="31" t="e">
        <f t="shared" si="15"/>
        <v>#REF!</v>
      </c>
      <c r="CN11" s="31" t="e">
        <f t="shared" si="15"/>
        <v>#REF!</v>
      </c>
      <c r="CO11" s="31" t="e">
        <f t="shared" si="15"/>
        <v>#REF!</v>
      </c>
      <c r="CP11" s="31" t="e">
        <f t="shared" si="15"/>
        <v>#REF!</v>
      </c>
      <c r="CQ11" s="33"/>
      <c r="CR11" s="33"/>
      <c r="CS11" s="31" t="e">
        <f t="shared" ref="CS11:DM11" si="16">+CS12+CS13+CS14+CS15+CS34+CS35</f>
        <v>#REF!</v>
      </c>
      <c r="CT11" s="31" t="e">
        <f t="shared" si="16"/>
        <v>#REF!</v>
      </c>
      <c r="CU11" s="31" t="e">
        <f t="shared" si="16"/>
        <v>#REF!</v>
      </c>
      <c r="CV11" s="31" t="e">
        <f t="shared" si="16"/>
        <v>#REF!</v>
      </c>
      <c r="CW11" s="31" t="e">
        <f t="shared" si="16"/>
        <v>#REF!</v>
      </c>
      <c r="CX11" s="31" t="e">
        <f t="shared" si="16"/>
        <v>#REF!</v>
      </c>
      <c r="CY11" s="31" t="e">
        <f t="shared" si="16"/>
        <v>#REF!</v>
      </c>
      <c r="CZ11" s="31" t="e">
        <f t="shared" si="16"/>
        <v>#REF!</v>
      </c>
      <c r="DA11" s="31" t="e">
        <f t="shared" si="16"/>
        <v>#REF!</v>
      </c>
      <c r="DB11" s="31" t="e">
        <f t="shared" si="16"/>
        <v>#REF!</v>
      </c>
      <c r="DC11" s="31" t="e">
        <f t="shared" si="16"/>
        <v>#REF!</v>
      </c>
      <c r="DD11" s="31" t="e">
        <f t="shared" si="16"/>
        <v>#REF!</v>
      </c>
      <c r="DE11" s="31" t="e">
        <f t="shared" si="16"/>
        <v>#REF!</v>
      </c>
      <c r="DF11" s="31" t="e">
        <f t="shared" si="16"/>
        <v>#REF!</v>
      </c>
      <c r="DG11" s="31" t="e">
        <f t="shared" si="16"/>
        <v>#REF!</v>
      </c>
      <c r="DH11" s="31" t="e">
        <f t="shared" si="16"/>
        <v>#REF!</v>
      </c>
      <c r="DI11" s="31" t="e">
        <f t="shared" si="16"/>
        <v>#REF!</v>
      </c>
      <c r="DJ11" s="31" t="e">
        <f t="shared" si="16"/>
        <v>#REF!</v>
      </c>
      <c r="DK11" s="31" t="e">
        <f t="shared" si="16"/>
        <v>#REF!</v>
      </c>
      <c r="DL11" s="31" t="e">
        <f t="shared" si="16"/>
        <v>#REF!</v>
      </c>
      <c r="DM11" s="31" t="e">
        <f t="shared" si="16"/>
        <v>#REF!</v>
      </c>
      <c r="DN11" s="33"/>
      <c r="DO11" s="33"/>
      <c r="DP11" s="31" t="e">
        <f t="shared" ref="DP11:EK11" si="17">+DP12+DP13+DP14+DP15+DP34+DP35</f>
        <v>#REF!</v>
      </c>
      <c r="DQ11" s="31" t="e">
        <f t="shared" si="17"/>
        <v>#REF!</v>
      </c>
      <c r="DR11" s="31" t="e">
        <f t="shared" si="17"/>
        <v>#REF!</v>
      </c>
      <c r="DS11" s="31" t="e">
        <f t="shared" si="17"/>
        <v>#REF!</v>
      </c>
      <c r="DT11" s="31" t="e">
        <f t="shared" si="17"/>
        <v>#REF!</v>
      </c>
      <c r="DU11" s="31" t="e">
        <f t="shared" si="17"/>
        <v>#REF!</v>
      </c>
      <c r="DV11" s="31" t="e">
        <f t="shared" si="17"/>
        <v>#REF!</v>
      </c>
      <c r="DW11" s="31" t="e">
        <f t="shared" si="17"/>
        <v>#REF!</v>
      </c>
      <c r="DX11" s="31" t="e">
        <f t="shared" si="17"/>
        <v>#REF!</v>
      </c>
      <c r="DY11" s="31" t="e">
        <f t="shared" si="17"/>
        <v>#REF!</v>
      </c>
      <c r="DZ11" s="31" t="e">
        <f t="shared" si="17"/>
        <v>#REF!</v>
      </c>
      <c r="EA11" s="31" t="e">
        <f t="shared" si="17"/>
        <v>#REF!</v>
      </c>
      <c r="EB11" s="31" t="e">
        <f t="shared" si="17"/>
        <v>#REF!</v>
      </c>
      <c r="EC11" s="31" t="e">
        <f t="shared" si="17"/>
        <v>#REF!</v>
      </c>
      <c r="ED11" s="31" t="e">
        <f t="shared" si="17"/>
        <v>#REF!</v>
      </c>
      <c r="EE11" s="31" t="e">
        <f t="shared" si="17"/>
        <v>#REF!</v>
      </c>
      <c r="EF11" s="31" t="e">
        <f t="shared" si="17"/>
        <v>#REF!</v>
      </c>
      <c r="EG11" s="31" t="e">
        <f t="shared" si="17"/>
        <v>#REF!</v>
      </c>
      <c r="EH11" s="31" t="e">
        <f t="shared" si="17"/>
        <v>#REF!</v>
      </c>
      <c r="EI11" s="31" t="e">
        <f t="shared" si="17"/>
        <v>#REF!</v>
      </c>
      <c r="EJ11" s="31" t="e">
        <f t="shared" si="17"/>
        <v>#REF!</v>
      </c>
      <c r="EK11" s="31" t="e">
        <f t="shared" si="17"/>
        <v>#REF!</v>
      </c>
      <c r="EL11" s="33"/>
      <c r="EM11" s="33"/>
    </row>
    <row r="12" spans="1:145" s="3" customFormat="1" ht="25" customHeight="1">
      <c r="A12" s="15"/>
      <c r="B12" s="5">
        <v>810</v>
      </c>
      <c r="C12" s="56" t="s">
        <v>58</v>
      </c>
      <c r="D12" s="55"/>
      <c r="E12" s="52">
        <v>14090.63</v>
      </c>
      <c r="F12" s="52">
        <v>9851.41</v>
      </c>
      <c r="G12" s="52">
        <v>7465.45</v>
      </c>
      <c r="H12" s="52">
        <v>8646.19</v>
      </c>
      <c r="I12" s="52">
        <v>11346.8</v>
      </c>
      <c r="J12" s="52">
        <v>10297.17</v>
      </c>
      <c r="K12" s="52">
        <v>3432.39</v>
      </c>
      <c r="L12" s="52">
        <v>3432.39</v>
      </c>
      <c r="M12" s="52">
        <v>3432</v>
      </c>
      <c r="N12" s="52">
        <v>3432</v>
      </c>
      <c r="O12" s="52">
        <v>10297.17</v>
      </c>
      <c r="P12" s="52">
        <v>1561.74</v>
      </c>
      <c r="Q12" s="52">
        <v>1487.16</v>
      </c>
      <c r="R12" s="52">
        <v>2683.18</v>
      </c>
      <c r="S12" s="52">
        <v>2437.0100000000002</v>
      </c>
      <c r="T12" s="52">
        <v>1681.18</v>
      </c>
      <c r="U12" s="52">
        <v>17607.39</v>
      </c>
      <c r="V12" s="52">
        <v>3432.39</v>
      </c>
      <c r="W12" s="52">
        <v>3432.39</v>
      </c>
      <c r="X12" s="52">
        <v>3432.39</v>
      </c>
      <c r="Y12" s="55">
        <f>SUM(E12:$X$12)</f>
        <v>123478.42999999998</v>
      </c>
      <c r="Z12" s="52">
        <v>10297.17</v>
      </c>
      <c r="AA12" s="55">
        <f>SUM(E12:Z12)-Y12</f>
        <v>133775.59999999998</v>
      </c>
      <c r="AB12" s="97">
        <f>128613-AA12</f>
        <v>-5162.5999999999767</v>
      </c>
      <c r="AC12" s="52">
        <v>16047.75</v>
      </c>
      <c r="AD12" s="52">
        <v>3432.39</v>
      </c>
      <c r="AE12" s="52">
        <v>3432.39</v>
      </c>
      <c r="AF12" s="52">
        <v>3432.39</v>
      </c>
      <c r="AG12" s="52">
        <v>10664.54</v>
      </c>
      <c r="AH12" s="52">
        <v>2926.1</v>
      </c>
      <c r="AI12" s="52">
        <v>3496.12</v>
      </c>
      <c r="AJ12" s="52">
        <v>4978.13</v>
      </c>
      <c r="AK12" s="52">
        <v>3800.13</v>
      </c>
      <c r="AL12" s="52">
        <v>11400.39</v>
      </c>
      <c r="AM12" s="52">
        <f>+[1]Sistema!AM64</f>
        <v>3800.13</v>
      </c>
      <c r="AN12" s="52">
        <f>+[1]Sistema!AN64</f>
        <v>3800</v>
      </c>
      <c r="AO12" s="52">
        <f>+[1]Sistema!AO64</f>
        <v>3800.13</v>
      </c>
      <c r="AP12" s="52">
        <f>+[1]Sistema!AP64</f>
        <v>3800</v>
      </c>
      <c r="AQ12" s="52">
        <f>+[1]Sistema!AQ64</f>
        <v>19000.650000000001</v>
      </c>
      <c r="AR12" s="52">
        <f>+[1]Sistema!AR64</f>
        <v>3800.13</v>
      </c>
      <c r="AS12" s="52">
        <f>+[1]Sistema!AS64</f>
        <v>3800</v>
      </c>
      <c r="AT12" s="52">
        <f>+[1]Sistema!AT64</f>
        <v>11400.39</v>
      </c>
      <c r="AU12" s="55">
        <f>SUM($AC12:AT12)</f>
        <v>116811.76</v>
      </c>
      <c r="AV12" s="97"/>
      <c r="AW12" s="52">
        <v>0</v>
      </c>
      <c r="AX12" s="52" t="e">
        <v>#REF!</v>
      </c>
      <c r="AY12" s="52" t="e">
        <v>#REF!</v>
      </c>
      <c r="AZ12" s="52" t="e">
        <v>#REF!</v>
      </c>
      <c r="BA12" s="52" t="e">
        <v>#REF!</v>
      </c>
      <c r="BB12" s="52" t="e">
        <v>#REF!</v>
      </c>
      <c r="BC12" s="52" t="e">
        <v>#REF!</v>
      </c>
      <c r="BD12" s="52" t="e">
        <v>#REF!</v>
      </c>
      <c r="BE12" s="52" t="e">
        <v>#REF!</v>
      </c>
      <c r="BF12" s="52" t="e">
        <v>#REF!</v>
      </c>
      <c r="BG12" s="52" t="e">
        <v>#REF!</v>
      </c>
      <c r="BH12" s="52" t="e">
        <v>#REF!</v>
      </c>
      <c r="BI12" s="52" t="e">
        <v>#REF!</v>
      </c>
      <c r="BJ12" s="52" t="e">
        <v>#REF!</v>
      </c>
      <c r="BK12" s="52" t="e">
        <v>#REF!</v>
      </c>
      <c r="BL12" s="52" t="e">
        <v>#REF!</v>
      </c>
      <c r="BM12" s="52" t="e">
        <v>#REF!</v>
      </c>
      <c r="BN12" s="52" t="e">
        <v>#REF!</v>
      </c>
      <c r="BO12" s="52" t="e">
        <v>#REF!</v>
      </c>
      <c r="BP12" s="52" t="e">
        <v>#REF!</v>
      </c>
      <c r="BQ12" s="52" t="e">
        <v>#REF!</v>
      </c>
      <c r="BR12" s="52" t="e">
        <v>#REF!</v>
      </c>
      <c r="BS12" s="55"/>
      <c r="BT12" s="55"/>
      <c r="BU12" s="52" t="e">
        <v>#REF!</v>
      </c>
      <c r="BV12" s="52" t="e">
        <v>#REF!</v>
      </c>
      <c r="BW12" s="52" t="e">
        <v>#REF!</v>
      </c>
      <c r="BX12" s="52" t="e">
        <v>#REF!</v>
      </c>
      <c r="BY12" s="52" t="e">
        <v>#REF!</v>
      </c>
      <c r="BZ12" s="52" t="e">
        <v>#REF!</v>
      </c>
      <c r="CA12" s="52" t="e">
        <v>#REF!</v>
      </c>
      <c r="CB12" s="52" t="e">
        <v>#REF!</v>
      </c>
      <c r="CC12" s="52" t="e">
        <v>#REF!</v>
      </c>
      <c r="CD12" s="52" t="e">
        <v>#REF!</v>
      </c>
      <c r="CE12" s="52" t="e">
        <v>#REF!</v>
      </c>
      <c r="CF12" s="52" t="e">
        <v>#REF!</v>
      </c>
      <c r="CG12" s="52" t="e">
        <v>#REF!</v>
      </c>
      <c r="CH12" s="52" t="e">
        <v>#REF!</v>
      </c>
      <c r="CI12" s="52" t="e">
        <v>#REF!</v>
      </c>
      <c r="CJ12" s="52" t="e">
        <v>#REF!</v>
      </c>
      <c r="CK12" s="52" t="e">
        <v>#REF!</v>
      </c>
      <c r="CL12" s="52" t="e">
        <v>#REF!</v>
      </c>
      <c r="CM12" s="52" t="e">
        <v>#REF!</v>
      </c>
      <c r="CN12" s="52" t="e">
        <v>#REF!</v>
      </c>
      <c r="CO12" s="52" t="e">
        <v>#REF!</v>
      </c>
      <c r="CP12" s="52" t="e">
        <v>#REF!</v>
      </c>
      <c r="CQ12" s="55"/>
      <c r="CR12" s="55"/>
      <c r="CS12" s="52" t="e">
        <v>#REF!</v>
      </c>
      <c r="CT12" s="52" t="e">
        <v>#REF!</v>
      </c>
      <c r="CU12" s="52" t="e">
        <v>#REF!</v>
      </c>
      <c r="CV12" s="52" t="e">
        <v>#REF!</v>
      </c>
      <c r="CW12" s="52" t="e">
        <v>#REF!</v>
      </c>
      <c r="CX12" s="52" t="e">
        <v>#REF!</v>
      </c>
      <c r="CY12" s="52" t="e">
        <v>#REF!</v>
      </c>
      <c r="CZ12" s="52" t="e">
        <v>#REF!</v>
      </c>
      <c r="DA12" s="52" t="e">
        <v>#REF!</v>
      </c>
      <c r="DB12" s="52" t="e">
        <v>#REF!</v>
      </c>
      <c r="DC12" s="52" t="e">
        <v>#REF!</v>
      </c>
      <c r="DD12" s="52" t="e">
        <v>#REF!</v>
      </c>
      <c r="DE12" s="52" t="e">
        <v>#REF!</v>
      </c>
      <c r="DF12" s="52" t="e">
        <v>#REF!</v>
      </c>
      <c r="DG12" s="52" t="e">
        <v>#REF!</v>
      </c>
      <c r="DH12" s="52" t="e">
        <v>#REF!</v>
      </c>
      <c r="DI12" s="52" t="e">
        <v>#REF!</v>
      </c>
      <c r="DJ12" s="52" t="e">
        <v>#REF!</v>
      </c>
      <c r="DK12" s="52" t="e">
        <v>#REF!</v>
      </c>
      <c r="DL12" s="52" t="e">
        <v>#REF!</v>
      </c>
      <c r="DM12" s="52" t="e">
        <v>#REF!</v>
      </c>
      <c r="DN12" s="55"/>
      <c r="DO12" s="55"/>
      <c r="DP12" s="52" t="e">
        <v>#REF!</v>
      </c>
      <c r="DQ12" s="52" t="e">
        <v>#REF!</v>
      </c>
      <c r="DR12" s="52" t="e">
        <v>#REF!</v>
      </c>
      <c r="DS12" s="52" t="e">
        <v>#REF!</v>
      </c>
      <c r="DT12" s="52" t="e">
        <v>#REF!</v>
      </c>
      <c r="DU12" s="52" t="e">
        <v>#REF!</v>
      </c>
      <c r="DV12" s="52" t="e">
        <v>#REF!</v>
      </c>
      <c r="DW12" s="52" t="e">
        <v>#REF!</v>
      </c>
      <c r="DX12" s="52" t="e">
        <v>#REF!</v>
      </c>
      <c r="DY12" s="52" t="e">
        <v>#REF!</v>
      </c>
      <c r="DZ12" s="52" t="e">
        <v>#REF!</v>
      </c>
      <c r="EA12" s="52" t="e">
        <v>#REF!</v>
      </c>
      <c r="EB12" s="52" t="e">
        <v>#REF!</v>
      </c>
      <c r="EC12" s="52" t="e">
        <v>#REF!</v>
      </c>
      <c r="ED12" s="52" t="e">
        <v>#REF!</v>
      </c>
      <c r="EE12" s="52" t="e">
        <v>#REF!</v>
      </c>
      <c r="EF12" s="52" t="e">
        <v>#REF!</v>
      </c>
      <c r="EG12" s="52" t="e">
        <v>#REF!</v>
      </c>
      <c r="EH12" s="52" t="e">
        <v>#REF!</v>
      </c>
      <c r="EI12" s="52" t="e">
        <v>#REF!</v>
      </c>
      <c r="EJ12" s="52" t="e">
        <v>#REF!</v>
      </c>
      <c r="EK12" s="52" t="e">
        <v>#REF!</v>
      </c>
      <c r="EL12" s="55"/>
      <c r="EM12" s="55"/>
    </row>
    <row r="13" spans="1:145" s="3" customFormat="1" ht="25" customHeight="1">
      <c r="A13" s="15"/>
      <c r="B13" s="5">
        <v>816</v>
      </c>
      <c r="C13" s="56" t="s">
        <v>57</v>
      </c>
      <c r="D13" s="55"/>
      <c r="E13" s="52">
        <v>193.29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2">
        <v>0</v>
      </c>
      <c r="Q13" s="52">
        <v>1796019.35</v>
      </c>
      <c r="R13" s="52">
        <v>0</v>
      </c>
      <c r="S13" s="52">
        <v>0</v>
      </c>
      <c r="T13" s="52">
        <v>0</v>
      </c>
      <c r="U13" s="52">
        <v>0</v>
      </c>
      <c r="V13" s="52">
        <v>0</v>
      </c>
      <c r="W13" s="52">
        <v>0</v>
      </c>
      <c r="X13" s="52">
        <v>0</v>
      </c>
      <c r="Y13" s="55">
        <f>SUM(E13:$X$13)</f>
        <v>1796212.6400000001</v>
      </c>
      <c r="Z13" s="52">
        <v>0</v>
      </c>
      <c r="AA13" s="55">
        <f>SUM(E13:Z13)-Y13</f>
        <v>1796212.6400000001</v>
      </c>
      <c r="AB13" s="97">
        <f>1807950-AA13</f>
        <v>11737.35999999987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f>+[1]Sistema!AM54</f>
        <v>0</v>
      </c>
      <c r="AN13" s="52">
        <f>+[1]Sistema!AN54</f>
        <v>0</v>
      </c>
      <c r="AO13" s="52">
        <f>+[1]Sistema!AO54</f>
        <v>0</v>
      </c>
      <c r="AP13" s="52">
        <f>+[1]Sistema!AP54</f>
        <v>204.39</v>
      </c>
      <c r="AQ13" s="52">
        <f>+[1]Sistema!AQ54</f>
        <v>3076.68</v>
      </c>
      <c r="AR13" s="52">
        <f>+[1]Sistema!AR54</f>
        <v>0</v>
      </c>
      <c r="AS13" s="52">
        <f>+[1]Sistema!AS54</f>
        <v>1755205.0200000003</v>
      </c>
      <c r="AT13" s="52">
        <f>+[1]Sistema!AT54</f>
        <v>0</v>
      </c>
      <c r="AU13" s="55">
        <f>SUM($AC13:AT13)</f>
        <v>1758486.0900000003</v>
      </c>
      <c r="AV13" s="97"/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5"/>
      <c r="BT13" s="55"/>
      <c r="BU13" s="52">
        <v>0</v>
      </c>
      <c r="BV13" s="52">
        <v>0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0</v>
      </c>
      <c r="CH13" s="52">
        <v>0</v>
      </c>
      <c r="CI13" s="52">
        <v>0</v>
      </c>
      <c r="CJ13" s="52">
        <v>0</v>
      </c>
      <c r="CK13" s="52">
        <v>0</v>
      </c>
      <c r="CL13" s="52">
        <v>0</v>
      </c>
      <c r="CM13" s="52">
        <v>0</v>
      </c>
      <c r="CN13" s="52">
        <v>0</v>
      </c>
      <c r="CO13" s="52">
        <v>0</v>
      </c>
      <c r="CP13" s="52">
        <v>0</v>
      </c>
      <c r="CQ13" s="55"/>
      <c r="CR13" s="55"/>
      <c r="CS13" s="52">
        <v>0</v>
      </c>
      <c r="CT13" s="52">
        <v>0</v>
      </c>
      <c r="CU13" s="52">
        <v>0</v>
      </c>
      <c r="CV13" s="52">
        <v>0</v>
      </c>
      <c r="CW13" s="52">
        <v>0</v>
      </c>
      <c r="CX13" s="52">
        <v>0</v>
      </c>
      <c r="CY13" s="52">
        <v>0</v>
      </c>
      <c r="CZ13" s="52">
        <v>0</v>
      </c>
      <c r="DA13" s="52">
        <v>0</v>
      </c>
      <c r="DB13" s="52">
        <v>0</v>
      </c>
      <c r="DC13" s="52">
        <v>0</v>
      </c>
      <c r="DD13" s="52">
        <v>0</v>
      </c>
      <c r="DE13" s="52">
        <v>0</v>
      </c>
      <c r="DF13" s="52">
        <v>0</v>
      </c>
      <c r="DG13" s="52">
        <v>0</v>
      </c>
      <c r="DH13" s="52">
        <v>0</v>
      </c>
      <c r="DI13" s="52">
        <v>0</v>
      </c>
      <c r="DJ13" s="52">
        <v>0</v>
      </c>
      <c r="DK13" s="52">
        <v>0</v>
      </c>
      <c r="DL13" s="52">
        <v>0</v>
      </c>
      <c r="DM13" s="52">
        <v>0</v>
      </c>
      <c r="DN13" s="55"/>
      <c r="DO13" s="55"/>
      <c r="DP13" s="52">
        <v>0</v>
      </c>
      <c r="DQ13" s="52">
        <v>0</v>
      </c>
      <c r="DR13" s="52">
        <v>0</v>
      </c>
      <c r="DS13" s="52">
        <v>0</v>
      </c>
      <c r="DT13" s="52">
        <v>0</v>
      </c>
      <c r="DU13" s="52">
        <v>0</v>
      </c>
      <c r="DV13" s="52">
        <v>0</v>
      </c>
      <c r="DW13" s="52">
        <v>0</v>
      </c>
      <c r="DX13" s="52">
        <v>0</v>
      </c>
      <c r="DY13" s="52">
        <v>0</v>
      </c>
      <c r="DZ13" s="52">
        <v>0</v>
      </c>
      <c r="EA13" s="52">
        <v>0</v>
      </c>
      <c r="EB13" s="52">
        <v>0</v>
      </c>
      <c r="EC13" s="52">
        <v>0</v>
      </c>
      <c r="ED13" s="52">
        <v>0</v>
      </c>
      <c r="EE13" s="52">
        <v>0</v>
      </c>
      <c r="EF13" s="52">
        <v>0</v>
      </c>
      <c r="EG13" s="52">
        <v>0</v>
      </c>
      <c r="EH13" s="52">
        <v>0</v>
      </c>
      <c r="EI13" s="52">
        <v>0</v>
      </c>
      <c r="EJ13" s="52">
        <v>0</v>
      </c>
      <c r="EK13" s="52">
        <v>0</v>
      </c>
      <c r="EL13" s="55"/>
      <c r="EM13" s="55"/>
    </row>
    <row r="14" spans="1:145" s="3" customFormat="1" ht="25" customHeight="1">
      <c r="A14" s="15"/>
      <c r="B14" s="5">
        <v>816</v>
      </c>
      <c r="C14" s="56" t="s">
        <v>56</v>
      </c>
      <c r="D14" s="55"/>
      <c r="E14" s="52">
        <v>10128.6</v>
      </c>
      <c r="F14" s="52">
        <v>8969.4</v>
      </c>
      <c r="G14" s="52">
        <v>7689</v>
      </c>
      <c r="H14" s="52">
        <v>4136.93</v>
      </c>
      <c r="I14" s="52">
        <v>5807</v>
      </c>
      <c r="J14" s="52">
        <v>3738</v>
      </c>
      <c r="K14" s="52">
        <v>3895.5</v>
      </c>
      <c r="L14" s="52">
        <v>7273</v>
      </c>
      <c r="M14" s="52">
        <v>3804.5</v>
      </c>
      <c r="N14" s="52">
        <v>3909.5</v>
      </c>
      <c r="O14" s="52">
        <v>258108.5</v>
      </c>
      <c r="P14" s="52">
        <v>1554.28</v>
      </c>
      <c r="Q14" s="52">
        <v>1480.07</v>
      </c>
      <c r="R14" s="52">
        <v>5442.16</v>
      </c>
      <c r="S14" s="52">
        <v>3810.5</v>
      </c>
      <c r="T14" s="52">
        <v>1698.88</v>
      </c>
      <c r="U14" s="52">
        <v>11253</v>
      </c>
      <c r="V14" s="52">
        <v>3272.5</v>
      </c>
      <c r="W14" s="52">
        <v>8785</v>
      </c>
      <c r="X14" s="52">
        <v>3241</v>
      </c>
      <c r="Y14" s="55">
        <f>SUM(E14:$X$14)</f>
        <v>357997.32</v>
      </c>
      <c r="Z14" s="52">
        <v>2695</v>
      </c>
      <c r="AA14" s="55">
        <f>SUM(E14:Z14)-Y14</f>
        <v>360692.32</v>
      </c>
      <c r="AB14" s="97"/>
      <c r="AC14" s="52">
        <v>2887.5</v>
      </c>
      <c r="AD14" s="52">
        <v>7220.5</v>
      </c>
      <c r="AE14" s="52">
        <v>2607.5</v>
      </c>
      <c r="AF14" s="52">
        <v>2432.5</v>
      </c>
      <c r="AG14" s="52">
        <v>2614.5</v>
      </c>
      <c r="AH14" s="52">
        <v>1627.78</v>
      </c>
      <c r="AI14" s="52">
        <v>5149.58</v>
      </c>
      <c r="AJ14" s="52">
        <v>9668</v>
      </c>
      <c r="AK14" s="52">
        <v>2527</v>
      </c>
      <c r="AL14" s="52">
        <v>129315.5</v>
      </c>
      <c r="AM14" s="52">
        <f>+[1]Sistema!AM71</f>
        <v>2733.5</v>
      </c>
      <c r="AN14" s="52">
        <f>+[1]Sistema!AN71</f>
        <v>10461.5</v>
      </c>
      <c r="AO14" s="52">
        <f>+[1]Sistema!AO71</f>
        <v>2765</v>
      </c>
      <c r="AP14" s="52">
        <f>+[1]Sistema!AP71</f>
        <v>2467.5</v>
      </c>
      <c r="AQ14" s="52">
        <f>+[1]Sistema!AQ71</f>
        <v>6317.5</v>
      </c>
      <c r="AR14" s="52">
        <f>+[1]Sistema!AR71</f>
        <v>186973</v>
      </c>
      <c r="AS14" s="52">
        <f>+[1]Sistema!AS71</f>
        <v>2586.5</v>
      </c>
      <c r="AT14" s="52">
        <f>+[1]Sistema!AT71</f>
        <v>2282</v>
      </c>
      <c r="AU14" s="55">
        <f>SUM($AC14:AT14)</f>
        <v>382636.86</v>
      </c>
      <c r="AV14" s="97"/>
      <c r="AW14" s="52">
        <v>0</v>
      </c>
      <c r="AX14" s="52" t="e">
        <v>#REF!</v>
      </c>
      <c r="AY14" s="52" t="e">
        <v>#REF!</v>
      </c>
      <c r="AZ14" s="52" t="e">
        <v>#REF!</v>
      </c>
      <c r="BA14" s="52" t="e">
        <v>#REF!</v>
      </c>
      <c r="BB14" s="52" t="e">
        <v>#REF!</v>
      </c>
      <c r="BC14" s="52" t="e">
        <v>#REF!</v>
      </c>
      <c r="BD14" s="52" t="e">
        <v>#REF!</v>
      </c>
      <c r="BE14" s="52" t="e">
        <v>#REF!</v>
      </c>
      <c r="BF14" s="52" t="e">
        <v>#REF!</v>
      </c>
      <c r="BG14" s="52" t="e">
        <v>#REF!</v>
      </c>
      <c r="BH14" s="52" t="e">
        <v>#REF!</v>
      </c>
      <c r="BI14" s="52" t="e">
        <v>#REF!</v>
      </c>
      <c r="BJ14" s="52" t="e">
        <v>#REF!</v>
      </c>
      <c r="BK14" s="52" t="e">
        <v>#REF!</v>
      </c>
      <c r="BL14" s="52" t="e">
        <v>#REF!</v>
      </c>
      <c r="BM14" s="52" t="e">
        <v>#REF!</v>
      </c>
      <c r="BN14" s="52" t="e">
        <v>#REF!</v>
      </c>
      <c r="BO14" s="52" t="e">
        <v>#REF!</v>
      </c>
      <c r="BP14" s="52" t="e">
        <v>#REF!</v>
      </c>
      <c r="BQ14" s="52" t="e">
        <v>#REF!</v>
      </c>
      <c r="BR14" s="52" t="e">
        <v>#REF!</v>
      </c>
      <c r="BS14" s="55"/>
      <c r="BT14" s="55"/>
      <c r="BU14" s="52" t="e">
        <v>#REF!</v>
      </c>
      <c r="BV14" s="52" t="e">
        <v>#REF!</v>
      </c>
      <c r="BW14" s="52" t="e">
        <v>#REF!</v>
      </c>
      <c r="BX14" s="52" t="e">
        <v>#REF!</v>
      </c>
      <c r="BY14" s="52" t="e">
        <v>#REF!</v>
      </c>
      <c r="BZ14" s="52" t="e">
        <v>#REF!</v>
      </c>
      <c r="CA14" s="52" t="e">
        <v>#REF!</v>
      </c>
      <c r="CB14" s="52" t="e">
        <v>#REF!</v>
      </c>
      <c r="CC14" s="52" t="e">
        <v>#REF!</v>
      </c>
      <c r="CD14" s="52" t="e">
        <v>#REF!</v>
      </c>
      <c r="CE14" s="52" t="e">
        <v>#REF!</v>
      </c>
      <c r="CF14" s="52" t="e">
        <v>#REF!</v>
      </c>
      <c r="CG14" s="52" t="e">
        <v>#REF!</v>
      </c>
      <c r="CH14" s="52" t="e">
        <v>#REF!</v>
      </c>
      <c r="CI14" s="52" t="e">
        <v>#REF!</v>
      </c>
      <c r="CJ14" s="52" t="e">
        <v>#REF!</v>
      </c>
      <c r="CK14" s="52" t="e">
        <v>#REF!</v>
      </c>
      <c r="CL14" s="52" t="e">
        <v>#REF!</v>
      </c>
      <c r="CM14" s="52" t="e">
        <v>#REF!</v>
      </c>
      <c r="CN14" s="52" t="e">
        <v>#REF!</v>
      </c>
      <c r="CO14" s="52" t="e">
        <v>#REF!</v>
      </c>
      <c r="CP14" s="52" t="e">
        <v>#REF!</v>
      </c>
      <c r="CQ14" s="55"/>
      <c r="CR14" s="55"/>
      <c r="CS14" s="52" t="e">
        <v>#REF!</v>
      </c>
      <c r="CT14" s="52" t="e">
        <v>#REF!</v>
      </c>
      <c r="CU14" s="52" t="e">
        <v>#REF!</v>
      </c>
      <c r="CV14" s="52" t="e">
        <v>#REF!</v>
      </c>
      <c r="CW14" s="52" t="e">
        <v>#REF!</v>
      </c>
      <c r="CX14" s="52" t="e">
        <v>#REF!</v>
      </c>
      <c r="CY14" s="52" t="e">
        <v>#REF!</v>
      </c>
      <c r="CZ14" s="52" t="e">
        <v>#REF!</v>
      </c>
      <c r="DA14" s="52" t="e">
        <v>#REF!</v>
      </c>
      <c r="DB14" s="52" t="e">
        <v>#REF!</v>
      </c>
      <c r="DC14" s="52" t="e">
        <v>#REF!</v>
      </c>
      <c r="DD14" s="52" t="e">
        <v>#REF!</v>
      </c>
      <c r="DE14" s="52" t="e">
        <v>#REF!</v>
      </c>
      <c r="DF14" s="52" t="e">
        <v>#REF!</v>
      </c>
      <c r="DG14" s="52" t="e">
        <v>#REF!</v>
      </c>
      <c r="DH14" s="52" t="e">
        <v>#REF!</v>
      </c>
      <c r="DI14" s="52" t="e">
        <v>#REF!</v>
      </c>
      <c r="DJ14" s="52" t="e">
        <v>#REF!</v>
      </c>
      <c r="DK14" s="52" t="e">
        <v>#REF!</v>
      </c>
      <c r="DL14" s="52" t="e">
        <v>#REF!</v>
      </c>
      <c r="DM14" s="52" t="e">
        <v>#REF!</v>
      </c>
      <c r="DN14" s="55"/>
      <c r="DO14" s="55"/>
      <c r="DP14" s="52" t="e">
        <v>#REF!</v>
      </c>
      <c r="DQ14" s="52" t="e">
        <v>#REF!</v>
      </c>
      <c r="DR14" s="52" t="e">
        <v>#REF!</v>
      </c>
      <c r="DS14" s="52" t="e">
        <v>#REF!</v>
      </c>
      <c r="DT14" s="52" t="e">
        <v>#REF!</v>
      </c>
      <c r="DU14" s="52" t="e">
        <v>#REF!</v>
      </c>
      <c r="DV14" s="52" t="e">
        <v>#REF!</v>
      </c>
      <c r="DW14" s="52" t="e">
        <v>#REF!</v>
      </c>
      <c r="DX14" s="52" t="e">
        <v>#REF!</v>
      </c>
      <c r="DY14" s="52" t="e">
        <v>#REF!</v>
      </c>
      <c r="DZ14" s="52" t="e">
        <v>#REF!</v>
      </c>
      <c r="EA14" s="52" t="e">
        <v>#REF!</v>
      </c>
      <c r="EB14" s="52" t="e">
        <v>#REF!</v>
      </c>
      <c r="EC14" s="52" t="e">
        <v>#REF!</v>
      </c>
      <c r="ED14" s="52" t="e">
        <v>#REF!</v>
      </c>
      <c r="EE14" s="52" t="e">
        <v>#REF!</v>
      </c>
      <c r="EF14" s="52" t="e">
        <v>#REF!</v>
      </c>
      <c r="EG14" s="52" t="e">
        <v>#REF!</v>
      </c>
      <c r="EH14" s="52" t="e">
        <v>#REF!</v>
      </c>
      <c r="EI14" s="52" t="e">
        <v>#REF!</v>
      </c>
      <c r="EJ14" s="52" t="e">
        <v>#REF!</v>
      </c>
      <c r="EK14" s="52" t="e">
        <v>#REF!</v>
      </c>
      <c r="EL14" s="55"/>
      <c r="EM14" s="55"/>
    </row>
    <row r="15" spans="1:145" s="3" customFormat="1" ht="25" customHeight="1">
      <c r="A15" s="15"/>
      <c r="B15" s="5"/>
      <c r="C15" s="56" t="s">
        <v>55</v>
      </c>
      <c r="D15" s="55"/>
      <c r="E15" s="52">
        <f t="shared" ref="E15:AA15" si="18">SUM(E16:E33)</f>
        <v>16837.13</v>
      </c>
      <c r="F15" s="52">
        <f t="shared" si="18"/>
        <v>168681.49</v>
      </c>
      <c r="G15" s="52">
        <f t="shared" si="18"/>
        <v>9135.35</v>
      </c>
      <c r="H15" s="52">
        <f t="shared" si="18"/>
        <v>5041.5700000000006</v>
      </c>
      <c r="I15" s="52">
        <f t="shared" si="18"/>
        <v>65342.490000000005</v>
      </c>
      <c r="J15" s="52">
        <f t="shared" si="18"/>
        <v>5763.5599999999995</v>
      </c>
      <c r="K15" s="52">
        <f t="shared" si="18"/>
        <v>7726.47</v>
      </c>
      <c r="L15" s="52">
        <f t="shared" si="18"/>
        <v>3901.3</v>
      </c>
      <c r="M15" s="52">
        <f t="shared" si="18"/>
        <v>63727.14</v>
      </c>
      <c r="N15" s="52">
        <f t="shared" si="18"/>
        <v>34537.35</v>
      </c>
      <c r="O15" s="52">
        <f t="shared" si="18"/>
        <v>6450.76</v>
      </c>
      <c r="P15" s="52">
        <f t="shared" si="18"/>
        <v>65367.14</v>
      </c>
      <c r="Q15" s="52">
        <f t="shared" si="18"/>
        <v>1191171.71</v>
      </c>
      <c r="R15" s="52">
        <f t="shared" si="18"/>
        <v>696.3</v>
      </c>
      <c r="S15" s="52">
        <f t="shared" si="18"/>
        <v>196076.32</v>
      </c>
      <c r="T15" s="52">
        <f t="shared" si="18"/>
        <v>33583.090000000004</v>
      </c>
      <c r="U15" s="52">
        <f t="shared" si="18"/>
        <v>6843.59</v>
      </c>
      <c r="V15" s="52">
        <f t="shared" si="18"/>
        <v>183982.09</v>
      </c>
      <c r="W15" s="52">
        <f t="shared" si="18"/>
        <v>17060.520000000004</v>
      </c>
      <c r="X15" s="52">
        <f t="shared" si="18"/>
        <v>183776.52999999997</v>
      </c>
      <c r="Y15" s="55">
        <f t="shared" si="18"/>
        <v>1219176.6299999997</v>
      </c>
      <c r="Z15" s="52">
        <f t="shared" si="18"/>
        <v>118324.38</v>
      </c>
      <c r="AA15" s="55">
        <f t="shared" si="18"/>
        <v>2384026.2800000007</v>
      </c>
      <c r="AB15" s="97"/>
      <c r="AC15" s="52">
        <v>308076.48</v>
      </c>
      <c r="AD15" s="52">
        <v>1642546.4</v>
      </c>
      <c r="AE15" s="52">
        <v>2340.91</v>
      </c>
      <c r="AF15" s="52">
        <v>17596.240000000002</v>
      </c>
      <c r="AG15" s="52">
        <v>407822.3</v>
      </c>
      <c r="AH15" s="52">
        <v>47187.53</v>
      </c>
      <c r="AI15" s="52">
        <v>63946.35</v>
      </c>
      <c r="AJ15" s="52">
        <v>2407.2799999999997</v>
      </c>
      <c r="AK15" s="52">
        <v>165783.38</v>
      </c>
      <c r="AL15" s="52">
        <v>979922.07</v>
      </c>
      <c r="AM15" s="52">
        <f t="shared" ref="AM15:AP15" si="19">SUM(AM16:AM33)</f>
        <v>72651.98</v>
      </c>
      <c r="AN15" s="52">
        <f t="shared" si="19"/>
        <v>216036.47999999998</v>
      </c>
      <c r="AO15" s="52">
        <f t="shared" si="19"/>
        <v>564813.63</v>
      </c>
      <c r="AP15" s="52">
        <f t="shared" si="19"/>
        <v>539329.53</v>
      </c>
      <c r="AQ15" s="52">
        <f t="shared" ref="AQ15:AT15" si="20">SUM(AQ16:AQ33)</f>
        <v>4279.05</v>
      </c>
      <c r="AR15" s="52">
        <f t="shared" ref="AR15:AT15" si="21">SUM(AR16:AR33)</f>
        <v>2979.7200000000003</v>
      </c>
      <c r="AS15" s="52">
        <f t="shared" si="21"/>
        <v>19606.11</v>
      </c>
      <c r="AT15" s="52">
        <f t="shared" si="21"/>
        <v>369620.26000000007</v>
      </c>
      <c r="AU15" s="55">
        <f t="shared" ref="AU15" si="22">SUM(AU16:AU33)</f>
        <v>5426945.7000000002</v>
      </c>
      <c r="AV15" s="97"/>
      <c r="AW15" s="122">
        <f t="shared" ref="AW15:BR15" si="23">SUM(AW16:AW33)</f>
        <v>0</v>
      </c>
      <c r="AX15" s="122">
        <f t="shared" si="23"/>
        <v>0</v>
      </c>
      <c r="AY15" s="122">
        <f t="shared" si="23"/>
        <v>0</v>
      </c>
      <c r="AZ15" s="122">
        <f t="shared" si="23"/>
        <v>0</v>
      </c>
      <c r="BA15" s="122">
        <f t="shared" si="23"/>
        <v>0</v>
      </c>
      <c r="BB15" s="122">
        <f t="shared" si="23"/>
        <v>0</v>
      </c>
      <c r="BC15" s="122">
        <f t="shared" si="23"/>
        <v>0</v>
      </c>
      <c r="BD15" s="122">
        <f t="shared" si="23"/>
        <v>0</v>
      </c>
      <c r="BE15" s="122">
        <f t="shared" si="23"/>
        <v>0</v>
      </c>
      <c r="BF15" s="122">
        <f t="shared" si="23"/>
        <v>0</v>
      </c>
      <c r="BG15" s="122">
        <f t="shared" si="23"/>
        <v>0</v>
      </c>
      <c r="BH15" s="122">
        <f t="shared" si="23"/>
        <v>0</v>
      </c>
      <c r="BI15" s="122">
        <f t="shared" si="23"/>
        <v>0</v>
      </c>
      <c r="BJ15" s="122">
        <f t="shared" si="23"/>
        <v>0</v>
      </c>
      <c r="BK15" s="122">
        <f t="shared" si="23"/>
        <v>0</v>
      </c>
      <c r="BL15" s="122">
        <f t="shared" si="23"/>
        <v>0</v>
      </c>
      <c r="BM15" s="122">
        <f t="shared" si="23"/>
        <v>0</v>
      </c>
      <c r="BN15" s="122">
        <f t="shared" si="23"/>
        <v>0</v>
      </c>
      <c r="BO15" s="122">
        <f t="shared" si="23"/>
        <v>0</v>
      </c>
      <c r="BP15" s="122">
        <f t="shared" si="23"/>
        <v>0</v>
      </c>
      <c r="BQ15" s="122">
        <f t="shared" si="23"/>
        <v>0</v>
      </c>
      <c r="BR15" s="122">
        <f t="shared" si="23"/>
        <v>0</v>
      </c>
      <c r="BS15" s="97"/>
      <c r="BT15" s="97"/>
      <c r="BU15" s="122">
        <f t="shared" ref="BU15:CP15" si="24">SUM(BU16:BU33)</f>
        <v>0</v>
      </c>
      <c r="BV15" s="122">
        <f t="shared" si="24"/>
        <v>0</v>
      </c>
      <c r="BW15" s="122">
        <f t="shared" si="24"/>
        <v>0</v>
      </c>
      <c r="BX15" s="122">
        <f t="shared" si="24"/>
        <v>0</v>
      </c>
      <c r="BY15" s="122">
        <f t="shared" si="24"/>
        <v>0</v>
      </c>
      <c r="BZ15" s="122">
        <f t="shared" si="24"/>
        <v>0</v>
      </c>
      <c r="CA15" s="122">
        <f t="shared" si="24"/>
        <v>0</v>
      </c>
      <c r="CB15" s="122">
        <f t="shared" si="24"/>
        <v>0</v>
      </c>
      <c r="CC15" s="122">
        <f t="shared" si="24"/>
        <v>0</v>
      </c>
      <c r="CD15" s="122">
        <f t="shared" si="24"/>
        <v>0</v>
      </c>
      <c r="CE15" s="122">
        <f t="shared" si="24"/>
        <v>0</v>
      </c>
      <c r="CF15" s="122">
        <f t="shared" si="24"/>
        <v>0</v>
      </c>
      <c r="CG15" s="122">
        <f t="shared" si="24"/>
        <v>0</v>
      </c>
      <c r="CH15" s="122">
        <f t="shared" si="24"/>
        <v>0</v>
      </c>
      <c r="CI15" s="122">
        <f t="shared" si="24"/>
        <v>0</v>
      </c>
      <c r="CJ15" s="122">
        <f t="shared" si="24"/>
        <v>0</v>
      </c>
      <c r="CK15" s="122">
        <f t="shared" si="24"/>
        <v>0</v>
      </c>
      <c r="CL15" s="122">
        <f t="shared" si="24"/>
        <v>0</v>
      </c>
      <c r="CM15" s="122">
        <f t="shared" si="24"/>
        <v>0</v>
      </c>
      <c r="CN15" s="122">
        <f t="shared" si="24"/>
        <v>0</v>
      </c>
      <c r="CO15" s="122">
        <f t="shared" si="24"/>
        <v>0</v>
      </c>
      <c r="CP15" s="122">
        <f t="shared" si="24"/>
        <v>0</v>
      </c>
      <c r="CQ15" s="97"/>
      <c r="CR15" s="97"/>
      <c r="CS15" s="122">
        <f t="shared" ref="CS15:DM15" si="25">SUM(CS16:CS33)</f>
        <v>0</v>
      </c>
      <c r="CT15" s="122">
        <f t="shared" si="25"/>
        <v>0</v>
      </c>
      <c r="CU15" s="122">
        <f t="shared" si="25"/>
        <v>0</v>
      </c>
      <c r="CV15" s="122">
        <f t="shared" si="25"/>
        <v>0</v>
      </c>
      <c r="CW15" s="122">
        <f t="shared" si="25"/>
        <v>0</v>
      </c>
      <c r="CX15" s="122">
        <f t="shared" si="25"/>
        <v>0</v>
      </c>
      <c r="CY15" s="122">
        <f t="shared" si="25"/>
        <v>0</v>
      </c>
      <c r="CZ15" s="122">
        <f t="shared" si="25"/>
        <v>0</v>
      </c>
      <c r="DA15" s="122">
        <f t="shared" si="25"/>
        <v>0</v>
      </c>
      <c r="DB15" s="122">
        <f t="shared" si="25"/>
        <v>0</v>
      </c>
      <c r="DC15" s="122">
        <f t="shared" si="25"/>
        <v>0</v>
      </c>
      <c r="DD15" s="122">
        <f t="shared" si="25"/>
        <v>0</v>
      </c>
      <c r="DE15" s="122">
        <f t="shared" si="25"/>
        <v>0</v>
      </c>
      <c r="DF15" s="122">
        <f t="shared" si="25"/>
        <v>0</v>
      </c>
      <c r="DG15" s="122">
        <f t="shared" si="25"/>
        <v>0</v>
      </c>
      <c r="DH15" s="122">
        <f t="shared" si="25"/>
        <v>0</v>
      </c>
      <c r="DI15" s="122">
        <f t="shared" si="25"/>
        <v>0</v>
      </c>
      <c r="DJ15" s="122">
        <f t="shared" si="25"/>
        <v>0</v>
      </c>
      <c r="DK15" s="122">
        <f t="shared" si="25"/>
        <v>0</v>
      </c>
      <c r="DL15" s="122">
        <f t="shared" si="25"/>
        <v>0</v>
      </c>
      <c r="DM15" s="122">
        <f t="shared" si="25"/>
        <v>0</v>
      </c>
      <c r="DN15" s="97"/>
      <c r="DO15" s="97"/>
      <c r="DP15" s="122">
        <f t="shared" ref="DP15:EK15" si="26">SUM(DP16:DP33)</f>
        <v>0</v>
      </c>
      <c r="DQ15" s="122">
        <f t="shared" si="26"/>
        <v>0</v>
      </c>
      <c r="DR15" s="122">
        <f t="shared" si="26"/>
        <v>0</v>
      </c>
      <c r="DS15" s="122">
        <f t="shared" si="26"/>
        <v>0</v>
      </c>
      <c r="DT15" s="122">
        <f t="shared" si="26"/>
        <v>0</v>
      </c>
      <c r="DU15" s="122">
        <f t="shared" si="26"/>
        <v>0</v>
      </c>
      <c r="DV15" s="122">
        <f t="shared" si="26"/>
        <v>0</v>
      </c>
      <c r="DW15" s="122">
        <f t="shared" si="26"/>
        <v>0</v>
      </c>
      <c r="DX15" s="122">
        <f t="shared" si="26"/>
        <v>0</v>
      </c>
      <c r="DY15" s="122">
        <f t="shared" si="26"/>
        <v>0</v>
      </c>
      <c r="DZ15" s="122">
        <f t="shared" si="26"/>
        <v>0</v>
      </c>
      <c r="EA15" s="122">
        <f t="shared" si="26"/>
        <v>0</v>
      </c>
      <c r="EB15" s="122">
        <f t="shared" si="26"/>
        <v>0</v>
      </c>
      <c r="EC15" s="122">
        <f t="shared" si="26"/>
        <v>0</v>
      </c>
      <c r="ED15" s="122">
        <f t="shared" si="26"/>
        <v>0</v>
      </c>
      <c r="EE15" s="122">
        <f t="shared" si="26"/>
        <v>0</v>
      </c>
      <c r="EF15" s="122">
        <f t="shared" si="26"/>
        <v>0</v>
      </c>
      <c r="EG15" s="122">
        <f t="shared" si="26"/>
        <v>0</v>
      </c>
      <c r="EH15" s="122">
        <f t="shared" si="26"/>
        <v>0</v>
      </c>
      <c r="EI15" s="122">
        <f t="shared" si="26"/>
        <v>0</v>
      </c>
      <c r="EJ15" s="122">
        <f t="shared" si="26"/>
        <v>0</v>
      </c>
      <c r="EK15" s="122">
        <f t="shared" si="26"/>
        <v>0</v>
      </c>
      <c r="EL15" s="97"/>
      <c r="EM15" s="97"/>
    </row>
    <row r="16" spans="1:145" s="3" customFormat="1" ht="25" customHeight="1">
      <c r="A16" s="121" t="s">
        <v>35</v>
      </c>
      <c r="B16" s="120">
        <v>804</v>
      </c>
      <c r="C16" s="119" t="s">
        <v>54</v>
      </c>
      <c r="D16" s="117"/>
      <c r="E16" s="118">
        <v>5313.61</v>
      </c>
      <c r="F16" s="118">
        <v>4499.3599999999997</v>
      </c>
      <c r="G16" s="118">
        <v>2698.15</v>
      </c>
      <c r="H16" s="118">
        <v>2757.94</v>
      </c>
      <c r="I16" s="118">
        <v>2579.15</v>
      </c>
      <c r="J16" s="118">
        <v>2440.89</v>
      </c>
      <c r="K16" s="118">
        <v>4666.47</v>
      </c>
      <c r="L16" s="118">
        <v>2816.44</v>
      </c>
      <c r="M16" s="118">
        <v>3122.76</v>
      </c>
      <c r="N16" s="118">
        <v>1708.35</v>
      </c>
      <c r="O16" s="118">
        <v>1670.76</v>
      </c>
      <c r="P16" s="118">
        <v>3230.26</v>
      </c>
      <c r="Q16" s="118">
        <v>1416.94</v>
      </c>
      <c r="R16" s="118">
        <v>84.3</v>
      </c>
      <c r="S16" s="118">
        <v>90.26</v>
      </c>
      <c r="T16" s="118">
        <v>183.32</v>
      </c>
      <c r="U16" s="118">
        <v>231.59</v>
      </c>
      <c r="V16" s="118">
        <v>175.02</v>
      </c>
      <c r="W16" s="118">
        <v>275.69</v>
      </c>
      <c r="X16" s="118">
        <v>167.33</v>
      </c>
      <c r="Y16" s="117">
        <f>SUM(E16:$X$16)</f>
        <v>40128.590000000004</v>
      </c>
      <c r="Z16" s="118">
        <v>208.88</v>
      </c>
      <c r="AA16" s="117">
        <f t="shared" ref="AA16:AA35" si="27">SUM(E16:Z16)-Y16</f>
        <v>40337.470000000008</v>
      </c>
      <c r="AB16" s="97"/>
      <c r="AC16" s="118">
        <v>426.74</v>
      </c>
      <c r="AD16" s="118">
        <v>123.84</v>
      </c>
      <c r="AE16" s="118">
        <v>151.63999999999999</v>
      </c>
      <c r="AF16" s="118">
        <v>196.68</v>
      </c>
      <c r="AG16" s="118">
        <v>256.5</v>
      </c>
      <c r="AH16" s="118">
        <v>304.25</v>
      </c>
      <c r="AI16" s="118">
        <v>240.04</v>
      </c>
      <c r="AJ16" s="118">
        <v>271.27999999999997</v>
      </c>
      <c r="AK16" s="118">
        <v>275.27999999999997</v>
      </c>
      <c r="AL16" s="118">
        <v>610.07000000000005</v>
      </c>
      <c r="AM16" s="118">
        <v>882.33</v>
      </c>
      <c r="AN16" s="118">
        <v>356.52</v>
      </c>
      <c r="AO16" s="118">
        <v>395.42</v>
      </c>
      <c r="AP16" s="118">
        <v>811.13</v>
      </c>
      <c r="AQ16" s="118">
        <v>599.16999999999996</v>
      </c>
      <c r="AR16" s="118">
        <v>663.72</v>
      </c>
      <c r="AS16" s="118">
        <v>672.24</v>
      </c>
      <c r="AT16" s="118">
        <v>808.9</v>
      </c>
      <c r="AU16" s="117">
        <f>SUM($AC16:AT16)</f>
        <v>8045.75</v>
      </c>
      <c r="AV16" s="97"/>
      <c r="AW16" s="118">
        <v>0</v>
      </c>
      <c r="AX16" s="118">
        <v>0</v>
      </c>
      <c r="AY16" s="118">
        <v>0</v>
      </c>
      <c r="AZ16" s="118">
        <v>0</v>
      </c>
      <c r="BA16" s="118">
        <v>0</v>
      </c>
      <c r="BB16" s="118">
        <v>0</v>
      </c>
      <c r="BC16" s="118">
        <v>0</v>
      </c>
      <c r="BD16" s="118">
        <v>0</v>
      </c>
      <c r="BE16" s="118">
        <v>0</v>
      </c>
      <c r="BF16" s="118">
        <v>0</v>
      </c>
      <c r="BG16" s="118">
        <v>0</v>
      </c>
      <c r="BH16" s="118">
        <v>0</v>
      </c>
      <c r="BI16" s="118">
        <v>0</v>
      </c>
      <c r="BJ16" s="118">
        <v>0</v>
      </c>
      <c r="BK16" s="118">
        <v>0</v>
      </c>
      <c r="BL16" s="118">
        <v>0</v>
      </c>
      <c r="BM16" s="118">
        <v>0</v>
      </c>
      <c r="BN16" s="118">
        <v>0</v>
      </c>
      <c r="BO16" s="118">
        <v>0</v>
      </c>
      <c r="BP16" s="118">
        <v>0</v>
      </c>
      <c r="BQ16" s="118">
        <v>0</v>
      </c>
      <c r="BR16" s="118">
        <v>0</v>
      </c>
      <c r="BS16" s="117"/>
      <c r="BT16" s="117"/>
      <c r="BU16" s="118">
        <v>0</v>
      </c>
      <c r="BV16" s="118">
        <v>0</v>
      </c>
      <c r="BW16" s="118">
        <v>0</v>
      </c>
      <c r="BX16" s="118">
        <v>0</v>
      </c>
      <c r="BY16" s="118">
        <v>0</v>
      </c>
      <c r="BZ16" s="118">
        <v>0</v>
      </c>
      <c r="CA16" s="118">
        <v>0</v>
      </c>
      <c r="CB16" s="118">
        <v>0</v>
      </c>
      <c r="CC16" s="118">
        <v>0</v>
      </c>
      <c r="CD16" s="118">
        <v>0</v>
      </c>
      <c r="CE16" s="118">
        <v>0</v>
      </c>
      <c r="CF16" s="118">
        <v>0</v>
      </c>
      <c r="CG16" s="118">
        <v>0</v>
      </c>
      <c r="CH16" s="118">
        <v>0</v>
      </c>
      <c r="CI16" s="118">
        <v>0</v>
      </c>
      <c r="CJ16" s="118">
        <v>0</v>
      </c>
      <c r="CK16" s="118">
        <v>0</v>
      </c>
      <c r="CL16" s="118">
        <v>0</v>
      </c>
      <c r="CM16" s="118">
        <v>0</v>
      </c>
      <c r="CN16" s="118">
        <v>0</v>
      </c>
      <c r="CO16" s="118">
        <v>0</v>
      </c>
      <c r="CP16" s="118">
        <v>0</v>
      </c>
      <c r="CQ16" s="117"/>
      <c r="CR16" s="117"/>
      <c r="CS16" s="118">
        <v>0</v>
      </c>
      <c r="CT16" s="118">
        <v>0</v>
      </c>
      <c r="CU16" s="118">
        <v>0</v>
      </c>
      <c r="CV16" s="118">
        <v>0</v>
      </c>
      <c r="CW16" s="118">
        <v>0</v>
      </c>
      <c r="CX16" s="118">
        <v>0</v>
      </c>
      <c r="CY16" s="118">
        <v>0</v>
      </c>
      <c r="CZ16" s="118">
        <v>0</v>
      </c>
      <c r="DA16" s="118">
        <v>0</v>
      </c>
      <c r="DB16" s="118">
        <v>0</v>
      </c>
      <c r="DC16" s="118">
        <v>0</v>
      </c>
      <c r="DD16" s="118">
        <v>0</v>
      </c>
      <c r="DE16" s="118">
        <v>0</v>
      </c>
      <c r="DF16" s="118">
        <v>0</v>
      </c>
      <c r="DG16" s="118">
        <v>0</v>
      </c>
      <c r="DH16" s="118">
        <v>0</v>
      </c>
      <c r="DI16" s="118">
        <v>0</v>
      </c>
      <c r="DJ16" s="118">
        <v>0</v>
      </c>
      <c r="DK16" s="118">
        <v>0</v>
      </c>
      <c r="DL16" s="118">
        <v>0</v>
      </c>
      <c r="DM16" s="118">
        <v>0</v>
      </c>
      <c r="DN16" s="117"/>
      <c r="DO16" s="117"/>
      <c r="DP16" s="118">
        <v>0</v>
      </c>
      <c r="DQ16" s="118">
        <v>0</v>
      </c>
      <c r="DR16" s="118">
        <v>0</v>
      </c>
      <c r="DS16" s="118">
        <v>0</v>
      </c>
      <c r="DT16" s="118">
        <v>0</v>
      </c>
      <c r="DU16" s="118">
        <v>0</v>
      </c>
      <c r="DV16" s="118">
        <v>0</v>
      </c>
      <c r="DW16" s="118">
        <v>0</v>
      </c>
      <c r="DX16" s="118">
        <v>0</v>
      </c>
      <c r="DY16" s="118">
        <v>0</v>
      </c>
      <c r="DZ16" s="118">
        <v>0</v>
      </c>
      <c r="EA16" s="118">
        <v>0</v>
      </c>
      <c r="EB16" s="118">
        <v>0</v>
      </c>
      <c r="EC16" s="118">
        <v>0</v>
      </c>
      <c r="ED16" s="118">
        <v>0</v>
      </c>
      <c r="EE16" s="118">
        <v>0</v>
      </c>
      <c r="EF16" s="118">
        <v>0</v>
      </c>
      <c r="EG16" s="118">
        <v>0</v>
      </c>
      <c r="EH16" s="118">
        <v>0</v>
      </c>
      <c r="EI16" s="118">
        <v>0</v>
      </c>
      <c r="EJ16" s="118">
        <v>0</v>
      </c>
      <c r="EK16" s="118">
        <v>0</v>
      </c>
      <c r="EL16" s="117"/>
      <c r="EM16" s="117"/>
    </row>
    <row r="17" spans="1:143" s="3" customFormat="1" ht="25" customHeight="1">
      <c r="A17" s="121" t="s">
        <v>35</v>
      </c>
      <c r="B17" s="120" t="s">
        <v>53</v>
      </c>
      <c r="C17" s="119" t="s">
        <v>52</v>
      </c>
      <c r="D17" s="117"/>
      <c r="E17" s="118">
        <f>456-456</f>
        <v>0</v>
      </c>
      <c r="F17" s="118">
        <f>164182.13-7.2-4329-159345.93-500</f>
        <v>0</v>
      </c>
      <c r="G17" s="118">
        <f>463.2-7.2-456</f>
        <v>0</v>
      </c>
      <c r="H17" s="118">
        <f>2283.63-3.78-1980-99.85-200</f>
        <v>0</v>
      </c>
      <c r="I17" s="118">
        <f>62763.34-9.55-61558.57-612-583.22</f>
        <v>-6.1390892369672656E-12</v>
      </c>
      <c r="J17" s="118">
        <f>2233.63-2136-11.9-85.61-0.12</f>
        <v>1.0402789740737717E-13</v>
      </c>
      <c r="K17" s="118">
        <v>0</v>
      </c>
      <c r="L17" s="118">
        <f>4.86-4.86</f>
        <v>0</v>
      </c>
      <c r="M17" s="118">
        <f>60604.38-44402.33-15000-768-84.05-50</f>
        <v>299.99999999999562</v>
      </c>
      <c r="N17" s="118">
        <v>0</v>
      </c>
      <c r="O17" s="118">
        <v>0</v>
      </c>
      <c r="P17" s="118">
        <f>3236.33-3084-139.73-12.6</f>
        <v>-6.2172489379008766E-14</v>
      </c>
      <c r="Q17" s="118">
        <f>1880-456-612-612</f>
        <v>200</v>
      </c>
      <c r="R17" s="118">
        <f>612-612</f>
        <v>0</v>
      </c>
      <c r="S17" s="118">
        <f>92337.06-41471.63-17522.01-32520.44-31.35-612-151-28.63</f>
        <v>-4.5830006456526462E-13</v>
      </c>
      <c r="T17" s="118">
        <f>33399.77-30588.15-23.83-456-612-456-612-456-13.82-181.97</f>
        <v>-4.5758952182950452E-12</v>
      </c>
      <c r="U17" s="118">
        <v>900</v>
      </c>
      <c r="V17" s="118">
        <f>5174.07-113.3-17.43-11.34-1392-2016-456-612-456</f>
        <v>99.999999999999091</v>
      </c>
      <c r="W17" s="118">
        <f>16784.83-14948.33-0.5-456-456-612-312</f>
        <v>1.8189894035458565E-12</v>
      </c>
      <c r="X17" s="118">
        <f>3009.98-5.98</f>
        <v>3004</v>
      </c>
      <c r="Y17" s="117">
        <f>SUM(E17:$X$17)</f>
        <v>4503.9999999999854</v>
      </c>
      <c r="Z17" s="118">
        <v>2136</v>
      </c>
      <c r="AA17" s="117">
        <f t="shared" si="27"/>
        <v>6639.9999999999854</v>
      </c>
      <c r="AB17" s="97"/>
      <c r="AC17" s="118">
        <v>508.23999999999978</v>
      </c>
      <c r="AD17" s="118">
        <v>700</v>
      </c>
      <c r="AE17" s="118">
        <v>509.27</v>
      </c>
      <c r="AF17" s="118">
        <v>0</v>
      </c>
      <c r="AG17" s="118">
        <v>456</v>
      </c>
      <c r="AH17" s="118">
        <v>46882.96</v>
      </c>
      <c r="AI17" s="118">
        <v>76.36</v>
      </c>
      <c r="AJ17" s="118">
        <v>2136</v>
      </c>
      <c r="AK17" s="118">
        <v>2096.6</v>
      </c>
      <c r="AL17" s="118">
        <v>612</v>
      </c>
      <c r="AM17" s="118">
        <v>3240.15</v>
      </c>
      <c r="AN17" s="118">
        <v>3666.06</v>
      </c>
      <c r="AO17" s="118">
        <f>924.01-0.01</f>
        <v>924</v>
      </c>
      <c r="AP17" s="118">
        <v>525</v>
      </c>
      <c r="AQ17" s="118">
        <v>1779.88</v>
      </c>
      <c r="AR17" s="118">
        <v>2316</v>
      </c>
      <c r="AS17" s="118">
        <f>18933.87-16475.87</f>
        <v>2458</v>
      </c>
      <c r="AT17" s="118">
        <v>2186</v>
      </c>
      <c r="AU17" s="117">
        <f>SUM($AC17:AT17)</f>
        <v>71072.51999999999</v>
      </c>
      <c r="AV17" s="97"/>
      <c r="AW17" s="118">
        <v>0</v>
      </c>
      <c r="AX17" s="118">
        <v>0</v>
      </c>
      <c r="AY17" s="118">
        <v>0</v>
      </c>
      <c r="AZ17" s="118">
        <v>0</v>
      </c>
      <c r="BA17" s="118">
        <v>0</v>
      </c>
      <c r="BB17" s="118">
        <v>0</v>
      </c>
      <c r="BC17" s="118">
        <v>0</v>
      </c>
      <c r="BD17" s="118">
        <v>0</v>
      </c>
      <c r="BE17" s="118">
        <v>0</v>
      </c>
      <c r="BF17" s="118">
        <v>0</v>
      </c>
      <c r="BG17" s="118">
        <v>0</v>
      </c>
      <c r="BH17" s="118">
        <v>0</v>
      </c>
      <c r="BI17" s="118">
        <v>0</v>
      </c>
      <c r="BJ17" s="118">
        <v>0</v>
      </c>
      <c r="BK17" s="118">
        <v>0</v>
      </c>
      <c r="BL17" s="118">
        <v>0</v>
      </c>
      <c r="BM17" s="118">
        <v>0</v>
      </c>
      <c r="BN17" s="118">
        <v>0</v>
      </c>
      <c r="BO17" s="118">
        <v>0</v>
      </c>
      <c r="BP17" s="118">
        <v>0</v>
      </c>
      <c r="BQ17" s="118">
        <v>0</v>
      </c>
      <c r="BR17" s="118">
        <v>0</v>
      </c>
      <c r="BS17" s="117"/>
      <c r="BT17" s="117"/>
      <c r="BU17" s="118">
        <v>0</v>
      </c>
      <c r="BV17" s="118">
        <v>0</v>
      </c>
      <c r="BW17" s="118">
        <v>0</v>
      </c>
      <c r="BX17" s="118">
        <v>0</v>
      </c>
      <c r="BY17" s="118">
        <v>0</v>
      </c>
      <c r="BZ17" s="118">
        <v>0</v>
      </c>
      <c r="CA17" s="118">
        <v>0</v>
      </c>
      <c r="CB17" s="118">
        <v>0</v>
      </c>
      <c r="CC17" s="118">
        <v>0</v>
      </c>
      <c r="CD17" s="118">
        <v>0</v>
      </c>
      <c r="CE17" s="118">
        <v>0</v>
      </c>
      <c r="CF17" s="118">
        <v>0</v>
      </c>
      <c r="CG17" s="118">
        <v>0</v>
      </c>
      <c r="CH17" s="118">
        <v>0</v>
      </c>
      <c r="CI17" s="118">
        <v>0</v>
      </c>
      <c r="CJ17" s="118">
        <v>0</v>
      </c>
      <c r="CK17" s="118">
        <v>0</v>
      </c>
      <c r="CL17" s="118">
        <v>0</v>
      </c>
      <c r="CM17" s="118">
        <v>0</v>
      </c>
      <c r="CN17" s="118">
        <v>0</v>
      </c>
      <c r="CO17" s="118">
        <v>0</v>
      </c>
      <c r="CP17" s="118">
        <v>0</v>
      </c>
      <c r="CQ17" s="117"/>
      <c r="CR17" s="117"/>
      <c r="CS17" s="118">
        <v>0</v>
      </c>
      <c r="CT17" s="118">
        <v>0</v>
      </c>
      <c r="CU17" s="118">
        <v>0</v>
      </c>
      <c r="CV17" s="118">
        <v>0</v>
      </c>
      <c r="CW17" s="118">
        <v>0</v>
      </c>
      <c r="CX17" s="118">
        <v>0</v>
      </c>
      <c r="CY17" s="118">
        <v>0</v>
      </c>
      <c r="CZ17" s="118">
        <v>0</v>
      </c>
      <c r="DA17" s="118">
        <v>0</v>
      </c>
      <c r="DB17" s="118">
        <v>0</v>
      </c>
      <c r="DC17" s="118">
        <v>0</v>
      </c>
      <c r="DD17" s="118">
        <v>0</v>
      </c>
      <c r="DE17" s="118">
        <v>0</v>
      </c>
      <c r="DF17" s="118">
        <v>0</v>
      </c>
      <c r="DG17" s="118">
        <v>0</v>
      </c>
      <c r="DH17" s="118">
        <v>0</v>
      </c>
      <c r="DI17" s="118">
        <v>0</v>
      </c>
      <c r="DJ17" s="118">
        <v>0</v>
      </c>
      <c r="DK17" s="118">
        <v>0</v>
      </c>
      <c r="DL17" s="118">
        <v>0</v>
      </c>
      <c r="DM17" s="118">
        <v>0</v>
      </c>
      <c r="DN17" s="117"/>
      <c r="DO17" s="117"/>
      <c r="DP17" s="118">
        <v>0</v>
      </c>
      <c r="DQ17" s="118">
        <v>0</v>
      </c>
      <c r="DR17" s="118">
        <v>0</v>
      </c>
      <c r="DS17" s="118">
        <v>0</v>
      </c>
      <c r="DT17" s="118">
        <v>0</v>
      </c>
      <c r="DU17" s="118">
        <v>0</v>
      </c>
      <c r="DV17" s="118">
        <v>0</v>
      </c>
      <c r="DW17" s="118">
        <v>0</v>
      </c>
      <c r="DX17" s="118">
        <v>0</v>
      </c>
      <c r="DY17" s="118">
        <v>0</v>
      </c>
      <c r="DZ17" s="118">
        <v>0</v>
      </c>
      <c r="EA17" s="118">
        <v>0</v>
      </c>
      <c r="EB17" s="118">
        <v>0</v>
      </c>
      <c r="EC17" s="118">
        <v>0</v>
      </c>
      <c r="ED17" s="118">
        <v>0</v>
      </c>
      <c r="EE17" s="118">
        <v>0</v>
      </c>
      <c r="EF17" s="118">
        <v>0</v>
      </c>
      <c r="EG17" s="118">
        <v>0</v>
      </c>
      <c r="EH17" s="118">
        <v>0</v>
      </c>
      <c r="EI17" s="118">
        <v>0</v>
      </c>
      <c r="EJ17" s="118">
        <v>0</v>
      </c>
      <c r="EK17" s="118">
        <v>0</v>
      </c>
      <c r="EL17" s="117"/>
      <c r="EM17" s="117"/>
    </row>
    <row r="18" spans="1:143" s="3" customFormat="1" ht="25" customHeight="1">
      <c r="A18" s="121" t="s">
        <v>35</v>
      </c>
      <c r="B18" s="120">
        <v>811</v>
      </c>
      <c r="C18" s="119" t="s">
        <v>51</v>
      </c>
      <c r="D18" s="117"/>
      <c r="E18" s="118">
        <v>0</v>
      </c>
      <c r="F18" s="118">
        <v>159345.93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  <c r="N18" s="118">
        <v>0</v>
      </c>
      <c r="O18" s="118">
        <v>0</v>
      </c>
      <c r="P18" s="118">
        <v>0</v>
      </c>
      <c r="Q18" s="118">
        <v>0</v>
      </c>
      <c r="R18" s="118">
        <v>0</v>
      </c>
      <c r="S18" s="118">
        <f>41471.63+17522.01+32520.44</f>
        <v>91514.08</v>
      </c>
      <c r="T18" s="118">
        <v>30588.15</v>
      </c>
      <c r="U18" s="118">
        <v>0</v>
      </c>
      <c r="V18" s="118">
        <v>0</v>
      </c>
      <c r="W18" s="118">
        <v>14948.33</v>
      </c>
      <c r="X18" s="118">
        <f>158564.05+19235.17</f>
        <v>177799.21999999997</v>
      </c>
      <c r="Y18" s="117">
        <f>SUM(E18:$X$18)</f>
        <v>474195.71</v>
      </c>
      <c r="Z18" s="118">
        <v>0</v>
      </c>
      <c r="AA18" s="117">
        <f t="shared" si="27"/>
        <v>474195.71</v>
      </c>
      <c r="AB18" s="97"/>
      <c r="AC18" s="118">
        <v>0</v>
      </c>
      <c r="AD18" s="118">
        <v>0</v>
      </c>
      <c r="AE18" s="118">
        <v>0</v>
      </c>
      <c r="AF18" s="118">
        <v>0</v>
      </c>
      <c r="AG18" s="118">
        <v>0</v>
      </c>
      <c r="AH18" s="118">
        <v>0</v>
      </c>
      <c r="AI18" s="118">
        <v>0</v>
      </c>
      <c r="AJ18" s="118">
        <v>0</v>
      </c>
      <c r="AK18" s="118">
        <v>0</v>
      </c>
      <c r="AL18" s="118">
        <v>0</v>
      </c>
      <c r="AM18" s="118">
        <v>0</v>
      </c>
      <c r="AN18" s="118">
        <v>0</v>
      </c>
      <c r="AO18" s="118">
        <v>0</v>
      </c>
      <c r="AP18" s="118">
        <v>0</v>
      </c>
      <c r="AQ18" s="118">
        <v>0</v>
      </c>
      <c r="AR18" s="118">
        <v>0</v>
      </c>
      <c r="AS18" s="118">
        <v>0</v>
      </c>
      <c r="AT18" s="118">
        <v>0</v>
      </c>
      <c r="AU18" s="117">
        <f>SUM($AC18:AT18)</f>
        <v>0</v>
      </c>
      <c r="AV18" s="97"/>
      <c r="AW18" s="118">
        <v>0</v>
      </c>
      <c r="AX18" s="118">
        <v>0</v>
      </c>
      <c r="AY18" s="118">
        <v>0</v>
      </c>
      <c r="AZ18" s="118">
        <v>0</v>
      </c>
      <c r="BA18" s="118">
        <v>0</v>
      </c>
      <c r="BB18" s="118">
        <v>0</v>
      </c>
      <c r="BC18" s="118">
        <v>0</v>
      </c>
      <c r="BD18" s="118">
        <v>0</v>
      </c>
      <c r="BE18" s="118">
        <v>0</v>
      </c>
      <c r="BF18" s="118">
        <v>0</v>
      </c>
      <c r="BG18" s="118">
        <v>0</v>
      </c>
      <c r="BH18" s="118">
        <v>0</v>
      </c>
      <c r="BI18" s="118">
        <v>0</v>
      </c>
      <c r="BJ18" s="118">
        <v>0</v>
      </c>
      <c r="BK18" s="118">
        <v>0</v>
      </c>
      <c r="BL18" s="118">
        <v>0</v>
      </c>
      <c r="BM18" s="118">
        <v>0</v>
      </c>
      <c r="BN18" s="118">
        <v>0</v>
      </c>
      <c r="BO18" s="118">
        <v>0</v>
      </c>
      <c r="BP18" s="118">
        <v>0</v>
      </c>
      <c r="BQ18" s="118">
        <v>0</v>
      </c>
      <c r="BR18" s="118">
        <v>0</v>
      </c>
      <c r="BS18" s="117"/>
      <c r="BT18" s="117"/>
      <c r="BU18" s="118">
        <v>0</v>
      </c>
      <c r="BV18" s="118">
        <v>0</v>
      </c>
      <c r="BW18" s="118">
        <v>0</v>
      </c>
      <c r="BX18" s="118">
        <v>0</v>
      </c>
      <c r="BY18" s="118">
        <v>0</v>
      </c>
      <c r="BZ18" s="118">
        <v>0</v>
      </c>
      <c r="CA18" s="118">
        <v>0</v>
      </c>
      <c r="CB18" s="118">
        <v>0</v>
      </c>
      <c r="CC18" s="118">
        <v>0</v>
      </c>
      <c r="CD18" s="118">
        <v>0</v>
      </c>
      <c r="CE18" s="118">
        <v>0</v>
      </c>
      <c r="CF18" s="118">
        <v>0</v>
      </c>
      <c r="CG18" s="118">
        <v>0</v>
      </c>
      <c r="CH18" s="118">
        <v>0</v>
      </c>
      <c r="CI18" s="118">
        <v>0</v>
      </c>
      <c r="CJ18" s="118">
        <v>0</v>
      </c>
      <c r="CK18" s="118">
        <v>0</v>
      </c>
      <c r="CL18" s="118">
        <v>0</v>
      </c>
      <c r="CM18" s="118">
        <v>0</v>
      </c>
      <c r="CN18" s="118">
        <v>0</v>
      </c>
      <c r="CO18" s="118">
        <v>0</v>
      </c>
      <c r="CP18" s="118">
        <v>0</v>
      </c>
      <c r="CQ18" s="117"/>
      <c r="CR18" s="117"/>
      <c r="CS18" s="118">
        <v>0</v>
      </c>
      <c r="CT18" s="118">
        <v>0</v>
      </c>
      <c r="CU18" s="118">
        <v>0</v>
      </c>
      <c r="CV18" s="118">
        <v>0</v>
      </c>
      <c r="CW18" s="118">
        <v>0</v>
      </c>
      <c r="CX18" s="118">
        <v>0</v>
      </c>
      <c r="CY18" s="118">
        <v>0</v>
      </c>
      <c r="CZ18" s="118">
        <v>0</v>
      </c>
      <c r="DA18" s="118">
        <v>0</v>
      </c>
      <c r="DB18" s="118">
        <v>0</v>
      </c>
      <c r="DC18" s="118">
        <v>0</v>
      </c>
      <c r="DD18" s="118">
        <v>0</v>
      </c>
      <c r="DE18" s="118">
        <v>0</v>
      </c>
      <c r="DF18" s="118">
        <v>0</v>
      </c>
      <c r="DG18" s="118">
        <v>0</v>
      </c>
      <c r="DH18" s="118">
        <v>0</v>
      </c>
      <c r="DI18" s="118">
        <v>0</v>
      </c>
      <c r="DJ18" s="118">
        <v>0</v>
      </c>
      <c r="DK18" s="118">
        <v>0</v>
      </c>
      <c r="DL18" s="118">
        <v>0</v>
      </c>
      <c r="DM18" s="118">
        <v>0</v>
      </c>
      <c r="DN18" s="117"/>
      <c r="DO18" s="117"/>
      <c r="DP18" s="118">
        <v>0</v>
      </c>
      <c r="DQ18" s="118">
        <v>0</v>
      </c>
      <c r="DR18" s="118">
        <v>0</v>
      </c>
      <c r="DS18" s="118">
        <v>0</v>
      </c>
      <c r="DT18" s="118">
        <v>0</v>
      </c>
      <c r="DU18" s="118">
        <v>0</v>
      </c>
      <c r="DV18" s="118">
        <v>0</v>
      </c>
      <c r="DW18" s="118">
        <v>0</v>
      </c>
      <c r="DX18" s="118">
        <v>0</v>
      </c>
      <c r="DY18" s="118">
        <v>0</v>
      </c>
      <c r="DZ18" s="118">
        <v>0</v>
      </c>
      <c r="EA18" s="118">
        <v>0</v>
      </c>
      <c r="EB18" s="118">
        <v>0</v>
      </c>
      <c r="EC18" s="118">
        <v>0</v>
      </c>
      <c r="ED18" s="118">
        <v>0</v>
      </c>
      <c r="EE18" s="118">
        <v>0</v>
      </c>
      <c r="EF18" s="118">
        <v>0</v>
      </c>
      <c r="EG18" s="118">
        <v>0</v>
      </c>
      <c r="EH18" s="118">
        <v>0</v>
      </c>
      <c r="EI18" s="118">
        <v>0</v>
      </c>
      <c r="EJ18" s="118">
        <v>0</v>
      </c>
      <c r="EK18" s="118">
        <v>0</v>
      </c>
      <c r="EL18" s="117"/>
      <c r="EM18" s="117"/>
    </row>
    <row r="19" spans="1:143" s="3" customFormat="1" ht="25" customHeight="1">
      <c r="A19" s="121" t="s">
        <v>35</v>
      </c>
      <c r="B19" s="120">
        <v>814</v>
      </c>
      <c r="C19" s="119" t="s">
        <v>50</v>
      </c>
      <c r="D19" s="117"/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  <c r="N19" s="118">
        <v>0</v>
      </c>
      <c r="O19" s="118">
        <v>0</v>
      </c>
      <c r="P19" s="118">
        <v>45714.78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7">
        <f>SUM(E19:$X$19)</f>
        <v>45714.78</v>
      </c>
      <c r="Z19" s="118">
        <v>0</v>
      </c>
      <c r="AA19" s="117">
        <f t="shared" si="27"/>
        <v>45714.78</v>
      </c>
      <c r="AB19" s="97"/>
      <c r="AC19" s="118">
        <v>0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8">
        <v>0</v>
      </c>
      <c r="AJ19" s="118">
        <v>0</v>
      </c>
      <c r="AK19" s="118">
        <v>0</v>
      </c>
      <c r="AL19" s="118">
        <v>0</v>
      </c>
      <c r="AM19" s="118">
        <v>0</v>
      </c>
      <c r="AN19" s="118">
        <v>0</v>
      </c>
      <c r="AO19" s="118">
        <v>0</v>
      </c>
      <c r="AP19" s="118">
        <v>0</v>
      </c>
      <c r="AQ19" s="118">
        <v>0</v>
      </c>
      <c r="AR19" s="118">
        <v>0</v>
      </c>
      <c r="AS19" s="118">
        <v>0</v>
      </c>
      <c r="AT19" s="118">
        <v>0</v>
      </c>
      <c r="AU19" s="117">
        <f>SUM($AC19:AT19)</f>
        <v>0</v>
      </c>
      <c r="AV19" s="97"/>
      <c r="AW19" s="118">
        <v>0</v>
      </c>
      <c r="AX19" s="118">
        <v>0</v>
      </c>
      <c r="AY19" s="118">
        <v>0</v>
      </c>
      <c r="AZ19" s="118">
        <v>0</v>
      </c>
      <c r="BA19" s="118">
        <v>0</v>
      </c>
      <c r="BB19" s="118">
        <v>0</v>
      </c>
      <c r="BC19" s="118">
        <v>0</v>
      </c>
      <c r="BD19" s="118">
        <v>0</v>
      </c>
      <c r="BE19" s="118">
        <v>0</v>
      </c>
      <c r="BF19" s="118">
        <v>0</v>
      </c>
      <c r="BG19" s="118">
        <v>0</v>
      </c>
      <c r="BH19" s="118">
        <v>0</v>
      </c>
      <c r="BI19" s="118">
        <v>0</v>
      </c>
      <c r="BJ19" s="118">
        <v>0</v>
      </c>
      <c r="BK19" s="118">
        <v>0</v>
      </c>
      <c r="BL19" s="118">
        <v>0</v>
      </c>
      <c r="BM19" s="118">
        <v>0</v>
      </c>
      <c r="BN19" s="118">
        <v>0</v>
      </c>
      <c r="BO19" s="118">
        <v>0</v>
      </c>
      <c r="BP19" s="118">
        <v>0</v>
      </c>
      <c r="BQ19" s="118">
        <v>0</v>
      </c>
      <c r="BR19" s="118">
        <v>0</v>
      </c>
      <c r="BS19" s="117"/>
      <c r="BT19" s="117"/>
      <c r="BU19" s="118">
        <v>0</v>
      </c>
      <c r="BV19" s="118">
        <v>0</v>
      </c>
      <c r="BW19" s="118">
        <v>0</v>
      </c>
      <c r="BX19" s="118">
        <v>0</v>
      </c>
      <c r="BY19" s="118">
        <v>0</v>
      </c>
      <c r="BZ19" s="118">
        <v>0</v>
      </c>
      <c r="CA19" s="118">
        <v>0</v>
      </c>
      <c r="CB19" s="118">
        <v>0</v>
      </c>
      <c r="CC19" s="118">
        <v>0</v>
      </c>
      <c r="CD19" s="118">
        <v>0</v>
      </c>
      <c r="CE19" s="118">
        <v>0</v>
      </c>
      <c r="CF19" s="118">
        <v>0</v>
      </c>
      <c r="CG19" s="118">
        <v>0</v>
      </c>
      <c r="CH19" s="118">
        <v>0</v>
      </c>
      <c r="CI19" s="118">
        <v>0</v>
      </c>
      <c r="CJ19" s="118">
        <v>0</v>
      </c>
      <c r="CK19" s="118">
        <v>0</v>
      </c>
      <c r="CL19" s="118">
        <v>0</v>
      </c>
      <c r="CM19" s="118">
        <v>0</v>
      </c>
      <c r="CN19" s="118">
        <v>0</v>
      </c>
      <c r="CO19" s="118">
        <v>0</v>
      </c>
      <c r="CP19" s="118">
        <v>0</v>
      </c>
      <c r="CQ19" s="117"/>
      <c r="CR19" s="117"/>
      <c r="CS19" s="118">
        <v>0</v>
      </c>
      <c r="CT19" s="118">
        <v>0</v>
      </c>
      <c r="CU19" s="118">
        <v>0</v>
      </c>
      <c r="CV19" s="118">
        <v>0</v>
      </c>
      <c r="CW19" s="118">
        <v>0</v>
      </c>
      <c r="CX19" s="118">
        <v>0</v>
      </c>
      <c r="CY19" s="118">
        <v>0</v>
      </c>
      <c r="CZ19" s="118">
        <v>0</v>
      </c>
      <c r="DA19" s="118">
        <v>0</v>
      </c>
      <c r="DB19" s="118">
        <v>0</v>
      </c>
      <c r="DC19" s="118">
        <v>0</v>
      </c>
      <c r="DD19" s="118">
        <v>0</v>
      </c>
      <c r="DE19" s="118">
        <v>0</v>
      </c>
      <c r="DF19" s="118">
        <v>0</v>
      </c>
      <c r="DG19" s="118">
        <v>0</v>
      </c>
      <c r="DH19" s="118">
        <v>0</v>
      </c>
      <c r="DI19" s="118">
        <v>0</v>
      </c>
      <c r="DJ19" s="118">
        <v>0</v>
      </c>
      <c r="DK19" s="118">
        <v>0</v>
      </c>
      <c r="DL19" s="118">
        <v>0</v>
      </c>
      <c r="DM19" s="118">
        <v>0</v>
      </c>
      <c r="DN19" s="117"/>
      <c r="DO19" s="117"/>
      <c r="DP19" s="118">
        <v>0</v>
      </c>
      <c r="DQ19" s="118">
        <v>0</v>
      </c>
      <c r="DR19" s="118">
        <v>0</v>
      </c>
      <c r="DS19" s="118">
        <v>0</v>
      </c>
      <c r="DT19" s="118">
        <v>0</v>
      </c>
      <c r="DU19" s="118">
        <v>0</v>
      </c>
      <c r="DV19" s="118">
        <v>0</v>
      </c>
      <c r="DW19" s="118">
        <v>0</v>
      </c>
      <c r="DX19" s="118">
        <v>0</v>
      </c>
      <c r="DY19" s="118">
        <v>0</v>
      </c>
      <c r="DZ19" s="118">
        <v>0</v>
      </c>
      <c r="EA19" s="118">
        <v>0</v>
      </c>
      <c r="EB19" s="118">
        <v>0</v>
      </c>
      <c r="EC19" s="118">
        <v>0</v>
      </c>
      <c r="ED19" s="118">
        <v>0</v>
      </c>
      <c r="EE19" s="118">
        <v>0</v>
      </c>
      <c r="EF19" s="118">
        <v>0</v>
      </c>
      <c r="EG19" s="118">
        <v>0</v>
      </c>
      <c r="EH19" s="118">
        <v>0</v>
      </c>
      <c r="EI19" s="118">
        <v>0</v>
      </c>
      <c r="EJ19" s="118">
        <v>0</v>
      </c>
      <c r="EK19" s="118">
        <v>0</v>
      </c>
      <c r="EL19" s="117"/>
      <c r="EM19" s="117"/>
    </row>
    <row r="20" spans="1:143" s="3" customFormat="1" ht="25" customHeight="1">
      <c r="A20" s="121" t="s">
        <v>35</v>
      </c>
      <c r="B20" s="120">
        <v>824</v>
      </c>
      <c r="C20" s="119" t="s">
        <v>49</v>
      </c>
      <c r="D20" s="117"/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8">
        <v>0</v>
      </c>
      <c r="O20" s="118">
        <v>0</v>
      </c>
      <c r="P20" s="118">
        <v>0</v>
      </c>
      <c r="Q20" s="118">
        <f>991899.61+54625.66</f>
        <v>1046525.27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7"/>
      <c r="Z20" s="118">
        <v>0</v>
      </c>
      <c r="AA20" s="117">
        <f t="shared" si="27"/>
        <v>1046525.27</v>
      </c>
      <c r="AB20" s="97"/>
      <c r="AC20" s="118">
        <v>0</v>
      </c>
      <c r="AD20" s="118">
        <v>1507760.89</v>
      </c>
      <c r="AE20" s="118">
        <v>0</v>
      </c>
      <c r="AF20" s="118">
        <v>0</v>
      </c>
      <c r="AG20" s="118">
        <v>0</v>
      </c>
      <c r="AH20" s="118">
        <v>0</v>
      </c>
      <c r="AI20" s="118">
        <v>59625.24</v>
      </c>
      <c r="AJ20" s="118">
        <v>0</v>
      </c>
      <c r="AK20" s="118">
        <v>0</v>
      </c>
      <c r="AL20" s="118">
        <v>0</v>
      </c>
      <c r="AM20" s="118">
        <v>0</v>
      </c>
      <c r="AN20" s="118">
        <v>0</v>
      </c>
      <c r="AO20" s="118">
        <v>0</v>
      </c>
      <c r="AP20" s="118">
        <v>0</v>
      </c>
      <c r="AQ20" s="118">
        <v>0</v>
      </c>
      <c r="AR20" s="118">
        <v>0</v>
      </c>
      <c r="AS20" s="118">
        <v>0</v>
      </c>
      <c r="AT20" s="118">
        <v>0</v>
      </c>
      <c r="AU20" s="117">
        <f>SUM($AC20:AT20)</f>
        <v>1567386.13</v>
      </c>
      <c r="AV20" s="97"/>
      <c r="AW20" s="118">
        <v>0</v>
      </c>
      <c r="AX20" s="118">
        <v>0</v>
      </c>
      <c r="AY20" s="118">
        <v>0</v>
      </c>
      <c r="AZ20" s="118">
        <v>0</v>
      </c>
      <c r="BA20" s="118">
        <v>0</v>
      </c>
      <c r="BB20" s="118">
        <v>0</v>
      </c>
      <c r="BC20" s="118">
        <v>0</v>
      </c>
      <c r="BD20" s="118">
        <v>0</v>
      </c>
      <c r="BE20" s="118">
        <v>0</v>
      </c>
      <c r="BF20" s="118">
        <v>0</v>
      </c>
      <c r="BG20" s="118">
        <v>0</v>
      </c>
      <c r="BH20" s="118">
        <v>0</v>
      </c>
      <c r="BI20" s="118">
        <v>0</v>
      </c>
      <c r="BJ20" s="118">
        <v>0</v>
      </c>
      <c r="BK20" s="118">
        <v>0</v>
      </c>
      <c r="BL20" s="118">
        <v>0</v>
      </c>
      <c r="BM20" s="118">
        <v>0</v>
      </c>
      <c r="BN20" s="118">
        <v>0</v>
      </c>
      <c r="BO20" s="118">
        <v>0</v>
      </c>
      <c r="BP20" s="118">
        <v>0</v>
      </c>
      <c r="BQ20" s="118">
        <v>0</v>
      </c>
      <c r="BR20" s="118">
        <v>0</v>
      </c>
      <c r="BS20" s="117"/>
      <c r="BT20" s="117"/>
      <c r="BU20" s="118">
        <v>0</v>
      </c>
      <c r="BV20" s="118">
        <v>0</v>
      </c>
      <c r="BW20" s="118">
        <v>0</v>
      </c>
      <c r="BX20" s="118">
        <v>0</v>
      </c>
      <c r="BY20" s="118">
        <v>0</v>
      </c>
      <c r="BZ20" s="118">
        <v>0</v>
      </c>
      <c r="CA20" s="118">
        <v>0</v>
      </c>
      <c r="CB20" s="118">
        <v>0</v>
      </c>
      <c r="CC20" s="118">
        <v>0</v>
      </c>
      <c r="CD20" s="118">
        <v>0</v>
      </c>
      <c r="CE20" s="118">
        <v>0</v>
      </c>
      <c r="CF20" s="118">
        <v>0</v>
      </c>
      <c r="CG20" s="118">
        <v>0</v>
      </c>
      <c r="CH20" s="118">
        <v>0</v>
      </c>
      <c r="CI20" s="118">
        <v>0</v>
      </c>
      <c r="CJ20" s="118">
        <v>0</v>
      </c>
      <c r="CK20" s="118">
        <v>0</v>
      </c>
      <c r="CL20" s="118">
        <v>0</v>
      </c>
      <c r="CM20" s="118">
        <v>0</v>
      </c>
      <c r="CN20" s="118">
        <v>0</v>
      </c>
      <c r="CO20" s="118">
        <v>0</v>
      </c>
      <c r="CP20" s="118">
        <v>0</v>
      </c>
      <c r="CQ20" s="117"/>
      <c r="CR20" s="117"/>
      <c r="CS20" s="118">
        <v>0</v>
      </c>
      <c r="CT20" s="118">
        <v>0</v>
      </c>
      <c r="CU20" s="118">
        <v>0</v>
      </c>
      <c r="CV20" s="118">
        <v>0</v>
      </c>
      <c r="CW20" s="118">
        <v>0</v>
      </c>
      <c r="CX20" s="118">
        <v>0</v>
      </c>
      <c r="CY20" s="118">
        <v>0</v>
      </c>
      <c r="CZ20" s="118">
        <v>0</v>
      </c>
      <c r="DA20" s="118">
        <v>0</v>
      </c>
      <c r="DB20" s="118">
        <v>0</v>
      </c>
      <c r="DC20" s="118">
        <v>0</v>
      </c>
      <c r="DD20" s="118">
        <v>0</v>
      </c>
      <c r="DE20" s="118">
        <v>0</v>
      </c>
      <c r="DF20" s="118">
        <v>0</v>
      </c>
      <c r="DG20" s="118">
        <v>0</v>
      </c>
      <c r="DH20" s="118">
        <v>0</v>
      </c>
      <c r="DI20" s="118">
        <v>0</v>
      </c>
      <c r="DJ20" s="118">
        <v>0</v>
      </c>
      <c r="DK20" s="118">
        <v>0</v>
      </c>
      <c r="DL20" s="118">
        <v>0</v>
      </c>
      <c r="DM20" s="118">
        <v>0</v>
      </c>
      <c r="DN20" s="117"/>
      <c r="DO20" s="117"/>
      <c r="DP20" s="118">
        <v>0</v>
      </c>
      <c r="DQ20" s="118">
        <v>0</v>
      </c>
      <c r="DR20" s="118">
        <v>0</v>
      </c>
      <c r="DS20" s="118">
        <v>0</v>
      </c>
      <c r="DT20" s="118">
        <v>0</v>
      </c>
      <c r="DU20" s="118">
        <v>0</v>
      </c>
      <c r="DV20" s="118">
        <v>0</v>
      </c>
      <c r="DW20" s="118">
        <v>0</v>
      </c>
      <c r="DX20" s="118">
        <v>0</v>
      </c>
      <c r="DY20" s="118">
        <v>0</v>
      </c>
      <c r="DZ20" s="118">
        <v>0</v>
      </c>
      <c r="EA20" s="118">
        <v>0</v>
      </c>
      <c r="EB20" s="118">
        <v>0</v>
      </c>
      <c r="EC20" s="118">
        <v>0</v>
      </c>
      <c r="ED20" s="118">
        <v>0</v>
      </c>
      <c r="EE20" s="118">
        <v>0</v>
      </c>
      <c r="EF20" s="118">
        <v>0</v>
      </c>
      <c r="EG20" s="118">
        <v>0</v>
      </c>
      <c r="EH20" s="118">
        <v>0</v>
      </c>
      <c r="EI20" s="118">
        <v>0</v>
      </c>
      <c r="EJ20" s="118">
        <v>0</v>
      </c>
      <c r="EK20" s="118">
        <v>0</v>
      </c>
      <c r="EL20" s="117"/>
      <c r="EM20" s="117"/>
    </row>
    <row r="21" spans="1:143" s="3" customFormat="1" ht="25" customHeight="1">
      <c r="A21" s="121" t="s">
        <v>35</v>
      </c>
      <c r="B21" s="120">
        <v>827</v>
      </c>
      <c r="C21" s="119" t="s">
        <v>48</v>
      </c>
      <c r="D21" s="117"/>
      <c r="E21" s="118">
        <v>0</v>
      </c>
      <c r="F21" s="118">
        <v>0</v>
      </c>
      <c r="G21" s="118">
        <v>0</v>
      </c>
      <c r="H21" s="118">
        <v>0</v>
      </c>
      <c r="I21" s="118">
        <v>61558.570000000007</v>
      </c>
      <c r="J21" s="118">
        <v>0</v>
      </c>
      <c r="K21" s="118">
        <v>0</v>
      </c>
      <c r="L21" s="118">
        <v>0</v>
      </c>
      <c r="M21" s="118">
        <v>0</v>
      </c>
      <c r="N21" s="118">
        <v>0</v>
      </c>
      <c r="O21" s="118">
        <v>0</v>
      </c>
      <c r="P21" s="118">
        <v>0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7">
        <f>SUM(E21:$X$21)</f>
        <v>61558.570000000007</v>
      </c>
      <c r="Z21" s="118">
        <v>0</v>
      </c>
      <c r="AA21" s="117">
        <f t="shared" si="27"/>
        <v>61558.570000000007</v>
      </c>
      <c r="AB21" s="97"/>
      <c r="AC21" s="118">
        <v>0</v>
      </c>
      <c r="AD21" s="118">
        <v>0</v>
      </c>
      <c r="AE21" s="118">
        <v>0</v>
      </c>
      <c r="AF21" s="118">
        <v>0</v>
      </c>
      <c r="AG21" s="118">
        <v>0</v>
      </c>
      <c r="AH21" s="118">
        <v>0</v>
      </c>
      <c r="AI21" s="118">
        <v>0</v>
      </c>
      <c r="AJ21" s="118">
        <v>0</v>
      </c>
      <c r="AK21" s="118">
        <v>0</v>
      </c>
      <c r="AL21" s="118">
        <v>0</v>
      </c>
      <c r="AM21" s="118">
        <v>0</v>
      </c>
      <c r="AN21" s="118">
        <v>0</v>
      </c>
      <c r="AO21" s="118">
        <v>0</v>
      </c>
      <c r="AP21" s="118">
        <v>0</v>
      </c>
      <c r="AQ21" s="118">
        <v>0</v>
      </c>
      <c r="AR21" s="118">
        <v>0</v>
      </c>
      <c r="AS21" s="118">
        <v>16475.87</v>
      </c>
      <c r="AT21" s="118">
        <v>0</v>
      </c>
      <c r="AU21" s="117">
        <f>SUM($AC21:AT21)</f>
        <v>16475.87</v>
      </c>
      <c r="AV21" s="97"/>
      <c r="AW21" s="118">
        <v>0</v>
      </c>
      <c r="AX21" s="118">
        <v>0</v>
      </c>
      <c r="AY21" s="118">
        <v>0</v>
      </c>
      <c r="AZ21" s="118">
        <v>0</v>
      </c>
      <c r="BA21" s="118">
        <v>0</v>
      </c>
      <c r="BB21" s="118">
        <v>0</v>
      </c>
      <c r="BC21" s="118">
        <v>0</v>
      </c>
      <c r="BD21" s="118">
        <v>0</v>
      </c>
      <c r="BE21" s="118">
        <v>0</v>
      </c>
      <c r="BF21" s="118">
        <v>0</v>
      </c>
      <c r="BG21" s="118">
        <v>0</v>
      </c>
      <c r="BH21" s="118">
        <v>0</v>
      </c>
      <c r="BI21" s="118">
        <v>0</v>
      </c>
      <c r="BJ21" s="118">
        <v>0</v>
      </c>
      <c r="BK21" s="118">
        <v>0</v>
      </c>
      <c r="BL21" s="118">
        <v>0</v>
      </c>
      <c r="BM21" s="118">
        <v>0</v>
      </c>
      <c r="BN21" s="118">
        <v>0</v>
      </c>
      <c r="BO21" s="118">
        <v>0</v>
      </c>
      <c r="BP21" s="118">
        <v>0</v>
      </c>
      <c r="BQ21" s="118">
        <v>0</v>
      </c>
      <c r="BR21" s="118">
        <v>0</v>
      </c>
      <c r="BS21" s="117"/>
      <c r="BT21" s="117"/>
      <c r="BU21" s="118">
        <v>0</v>
      </c>
      <c r="BV21" s="118">
        <v>0</v>
      </c>
      <c r="BW21" s="118">
        <v>0</v>
      </c>
      <c r="BX21" s="118">
        <v>0</v>
      </c>
      <c r="BY21" s="118">
        <v>0</v>
      </c>
      <c r="BZ21" s="118">
        <v>0</v>
      </c>
      <c r="CA21" s="118">
        <v>0</v>
      </c>
      <c r="CB21" s="118">
        <v>0</v>
      </c>
      <c r="CC21" s="118">
        <v>0</v>
      </c>
      <c r="CD21" s="118">
        <v>0</v>
      </c>
      <c r="CE21" s="118">
        <v>0</v>
      </c>
      <c r="CF21" s="118">
        <v>0</v>
      </c>
      <c r="CG21" s="118">
        <v>0</v>
      </c>
      <c r="CH21" s="118">
        <v>0</v>
      </c>
      <c r="CI21" s="118">
        <v>0</v>
      </c>
      <c r="CJ21" s="118">
        <v>0</v>
      </c>
      <c r="CK21" s="118">
        <v>0</v>
      </c>
      <c r="CL21" s="118">
        <v>0</v>
      </c>
      <c r="CM21" s="118">
        <v>0</v>
      </c>
      <c r="CN21" s="118">
        <v>0</v>
      </c>
      <c r="CO21" s="118">
        <v>0</v>
      </c>
      <c r="CP21" s="118">
        <v>0</v>
      </c>
      <c r="CQ21" s="117"/>
      <c r="CR21" s="117"/>
      <c r="CS21" s="118">
        <v>0</v>
      </c>
      <c r="CT21" s="118">
        <v>0</v>
      </c>
      <c r="CU21" s="118">
        <v>0</v>
      </c>
      <c r="CV21" s="118">
        <v>0</v>
      </c>
      <c r="CW21" s="118">
        <v>0</v>
      </c>
      <c r="CX21" s="118">
        <v>0</v>
      </c>
      <c r="CY21" s="118">
        <v>0</v>
      </c>
      <c r="CZ21" s="118">
        <v>0</v>
      </c>
      <c r="DA21" s="118">
        <v>0</v>
      </c>
      <c r="DB21" s="118">
        <v>0</v>
      </c>
      <c r="DC21" s="118">
        <v>0</v>
      </c>
      <c r="DD21" s="118">
        <v>0</v>
      </c>
      <c r="DE21" s="118">
        <v>0</v>
      </c>
      <c r="DF21" s="118">
        <v>0</v>
      </c>
      <c r="DG21" s="118">
        <v>0</v>
      </c>
      <c r="DH21" s="118">
        <v>0</v>
      </c>
      <c r="DI21" s="118">
        <v>0</v>
      </c>
      <c r="DJ21" s="118">
        <v>0</v>
      </c>
      <c r="DK21" s="118">
        <v>0</v>
      </c>
      <c r="DL21" s="118">
        <v>0</v>
      </c>
      <c r="DM21" s="118">
        <v>0</v>
      </c>
      <c r="DN21" s="117"/>
      <c r="DO21" s="117"/>
      <c r="DP21" s="118">
        <v>0</v>
      </c>
      <c r="DQ21" s="118">
        <v>0</v>
      </c>
      <c r="DR21" s="118">
        <v>0</v>
      </c>
      <c r="DS21" s="118">
        <v>0</v>
      </c>
      <c r="DT21" s="118">
        <v>0</v>
      </c>
      <c r="DU21" s="118">
        <v>0</v>
      </c>
      <c r="DV21" s="118">
        <v>0</v>
      </c>
      <c r="DW21" s="118">
        <v>0</v>
      </c>
      <c r="DX21" s="118">
        <v>0</v>
      </c>
      <c r="DY21" s="118">
        <v>0</v>
      </c>
      <c r="DZ21" s="118">
        <v>0</v>
      </c>
      <c r="EA21" s="118">
        <v>0</v>
      </c>
      <c r="EB21" s="118">
        <v>0</v>
      </c>
      <c r="EC21" s="118">
        <v>0</v>
      </c>
      <c r="ED21" s="118">
        <v>0</v>
      </c>
      <c r="EE21" s="118">
        <v>0</v>
      </c>
      <c r="EF21" s="118">
        <v>0</v>
      </c>
      <c r="EG21" s="118">
        <v>0</v>
      </c>
      <c r="EH21" s="118">
        <v>0</v>
      </c>
      <c r="EI21" s="118">
        <v>0</v>
      </c>
      <c r="EJ21" s="118">
        <v>0</v>
      </c>
      <c r="EK21" s="118">
        <v>0</v>
      </c>
      <c r="EL21" s="117"/>
      <c r="EM21" s="117"/>
    </row>
    <row r="22" spans="1:143" s="3" customFormat="1" ht="25" customHeight="1">
      <c r="A22" s="121" t="s">
        <v>35</v>
      </c>
      <c r="B22" s="120">
        <v>830</v>
      </c>
      <c r="C22" s="119" t="s">
        <v>47</v>
      </c>
      <c r="D22" s="117"/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  <c r="N22" s="118">
        <v>0</v>
      </c>
      <c r="O22" s="118">
        <v>0</v>
      </c>
      <c r="P22" s="118">
        <v>0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7">
        <f>SUM(E22:$X$22)</f>
        <v>0</v>
      </c>
      <c r="Z22" s="118">
        <v>0</v>
      </c>
      <c r="AA22" s="117">
        <f t="shared" si="27"/>
        <v>0</v>
      </c>
      <c r="AB22" s="97"/>
      <c r="AC22" s="118">
        <v>0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8">
        <v>0</v>
      </c>
      <c r="AJ22" s="118">
        <v>0</v>
      </c>
      <c r="AK22" s="118">
        <v>0</v>
      </c>
      <c r="AL22" s="118">
        <v>0</v>
      </c>
      <c r="AM22" s="118">
        <v>0</v>
      </c>
      <c r="AN22" s="118">
        <v>0</v>
      </c>
      <c r="AO22" s="118">
        <v>0</v>
      </c>
      <c r="AP22" s="118">
        <v>0</v>
      </c>
      <c r="AQ22" s="118">
        <v>0</v>
      </c>
      <c r="AR22" s="118">
        <v>0</v>
      </c>
      <c r="AS22" s="118">
        <v>0</v>
      </c>
      <c r="AT22" s="118">
        <v>0</v>
      </c>
      <c r="AU22" s="117">
        <f>SUM($AC22:AT22)</f>
        <v>0</v>
      </c>
      <c r="AV22" s="97"/>
      <c r="AW22" s="118">
        <v>0</v>
      </c>
      <c r="AX22" s="118">
        <v>0</v>
      </c>
      <c r="AY22" s="118">
        <v>0</v>
      </c>
      <c r="AZ22" s="118">
        <v>0</v>
      </c>
      <c r="BA22" s="118">
        <v>0</v>
      </c>
      <c r="BB22" s="118">
        <v>0</v>
      </c>
      <c r="BC22" s="118">
        <v>0</v>
      </c>
      <c r="BD22" s="118">
        <v>0</v>
      </c>
      <c r="BE22" s="118">
        <v>0</v>
      </c>
      <c r="BF22" s="118">
        <v>0</v>
      </c>
      <c r="BG22" s="118">
        <v>0</v>
      </c>
      <c r="BH22" s="118">
        <v>0</v>
      </c>
      <c r="BI22" s="118">
        <v>0</v>
      </c>
      <c r="BJ22" s="118">
        <v>0</v>
      </c>
      <c r="BK22" s="118">
        <v>0</v>
      </c>
      <c r="BL22" s="118">
        <v>0</v>
      </c>
      <c r="BM22" s="118">
        <v>0</v>
      </c>
      <c r="BN22" s="118">
        <v>0</v>
      </c>
      <c r="BO22" s="118">
        <v>0</v>
      </c>
      <c r="BP22" s="118">
        <v>0</v>
      </c>
      <c r="BQ22" s="118">
        <v>0</v>
      </c>
      <c r="BR22" s="118">
        <v>0</v>
      </c>
      <c r="BS22" s="117"/>
      <c r="BT22" s="117"/>
      <c r="BU22" s="118">
        <v>0</v>
      </c>
      <c r="BV22" s="118">
        <v>0</v>
      </c>
      <c r="BW22" s="118">
        <v>0</v>
      </c>
      <c r="BX22" s="118">
        <v>0</v>
      </c>
      <c r="BY22" s="118">
        <v>0</v>
      </c>
      <c r="BZ22" s="118">
        <v>0</v>
      </c>
      <c r="CA22" s="118">
        <v>0</v>
      </c>
      <c r="CB22" s="118">
        <v>0</v>
      </c>
      <c r="CC22" s="118">
        <v>0</v>
      </c>
      <c r="CD22" s="118">
        <v>0</v>
      </c>
      <c r="CE22" s="118">
        <v>0</v>
      </c>
      <c r="CF22" s="118">
        <v>0</v>
      </c>
      <c r="CG22" s="118">
        <v>0</v>
      </c>
      <c r="CH22" s="118">
        <v>0</v>
      </c>
      <c r="CI22" s="118">
        <v>0</v>
      </c>
      <c r="CJ22" s="118">
        <v>0</v>
      </c>
      <c r="CK22" s="118">
        <v>0</v>
      </c>
      <c r="CL22" s="118">
        <v>0</v>
      </c>
      <c r="CM22" s="118">
        <v>0</v>
      </c>
      <c r="CN22" s="118">
        <v>0</v>
      </c>
      <c r="CO22" s="118">
        <v>0</v>
      </c>
      <c r="CP22" s="118">
        <v>0</v>
      </c>
      <c r="CQ22" s="117"/>
      <c r="CR22" s="117"/>
      <c r="CS22" s="118">
        <v>0</v>
      </c>
      <c r="CT22" s="118">
        <v>0</v>
      </c>
      <c r="CU22" s="118">
        <v>0</v>
      </c>
      <c r="CV22" s="118">
        <v>0</v>
      </c>
      <c r="CW22" s="118">
        <v>0</v>
      </c>
      <c r="CX22" s="118">
        <v>0</v>
      </c>
      <c r="CY22" s="118">
        <v>0</v>
      </c>
      <c r="CZ22" s="118">
        <v>0</v>
      </c>
      <c r="DA22" s="118">
        <v>0</v>
      </c>
      <c r="DB22" s="118">
        <v>0</v>
      </c>
      <c r="DC22" s="118">
        <v>0</v>
      </c>
      <c r="DD22" s="118">
        <v>0</v>
      </c>
      <c r="DE22" s="118">
        <v>0</v>
      </c>
      <c r="DF22" s="118">
        <v>0</v>
      </c>
      <c r="DG22" s="118">
        <v>0</v>
      </c>
      <c r="DH22" s="118">
        <v>0</v>
      </c>
      <c r="DI22" s="118">
        <v>0</v>
      </c>
      <c r="DJ22" s="118">
        <v>0</v>
      </c>
      <c r="DK22" s="118">
        <v>0</v>
      </c>
      <c r="DL22" s="118">
        <v>0</v>
      </c>
      <c r="DM22" s="118">
        <v>0</v>
      </c>
      <c r="DN22" s="117"/>
      <c r="DO22" s="117"/>
      <c r="DP22" s="118">
        <v>0</v>
      </c>
      <c r="DQ22" s="118">
        <v>0</v>
      </c>
      <c r="DR22" s="118">
        <v>0</v>
      </c>
      <c r="DS22" s="118">
        <v>0</v>
      </c>
      <c r="DT22" s="118">
        <v>0</v>
      </c>
      <c r="DU22" s="118">
        <v>0</v>
      </c>
      <c r="DV22" s="118">
        <v>0</v>
      </c>
      <c r="DW22" s="118">
        <v>0</v>
      </c>
      <c r="DX22" s="118">
        <v>0</v>
      </c>
      <c r="DY22" s="118">
        <v>0</v>
      </c>
      <c r="DZ22" s="118">
        <v>0</v>
      </c>
      <c r="EA22" s="118">
        <v>0</v>
      </c>
      <c r="EB22" s="118">
        <v>0</v>
      </c>
      <c r="EC22" s="118">
        <v>0</v>
      </c>
      <c r="ED22" s="118">
        <v>0</v>
      </c>
      <c r="EE22" s="118">
        <v>0</v>
      </c>
      <c r="EF22" s="118">
        <v>0</v>
      </c>
      <c r="EG22" s="118">
        <v>0</v>
      </c>
      <c r="EH22" s="118">
        <v>0</v>
      </c>
      <c r="EI22" s="118">
        <v>0</v>
      </c>
      <c r="EJ22" s="118">
        <v>0</v>
      </c>
      <c r="EK22" s="118">
        <v>0</v>
      </c>
      <c r="EL22" s="117"/>
      <c r="EM22" s="117"/>
    </row>
    <row r="23" spans="1:143" s="3" customFormat="1" ht="25" customHeight="1">
      <c r="A23" s="121" t="s">
        <v>35</v>
      </c>
      <c r="B23" s="120">
        <v>817</v>
      </c>
      <c r="C23" s="119" t="s">
        <v>46</v>
      </c>
      <c r="D23" s="117"/>
      <c r="E23" s="118">
        <v>456</v>
      </c>
      <c r="F23" s="118">
        <v>4329</v>
      </c>
      <c r="G23" s="118">
        <v>456</v>
      </c>
      <c r="H23" s="118">
        <v>1980</v>
      </c>
      <c r="I23" s="118">
        <v>612</v>
      </c>
      <c r="J23" s="118">
        <v>2136</v>
      </c>
      <c r="K23" s="118">
        <f>456+768+612+612+612</f>
        <v>3060</v>
      </c>
      <c r="L23" s="118">
        <f>312+156+612</f>
        <v>1080</v>
      </c>
      <c r="M23" s="118">
        <v>768</v>
      </c>
      <c r="N23" s="118">
        <f>456+456+456+456+768+612</f>
        <v>3204</v>
      </c>
      <c r="O23" s="118">
        <f>612+612+456</f>
        <v>1680</v>
      </c>
      <c r="P23" s="118">
        <f>768+1080+1236</f>
        <v>3084</v>
      </c>
      <c r="Q23" s="118">
        <f>456+612+612</f>
        <v>1680</v>
      </c>
      <c r="R23" s="118">
        <v>612</v>
      </c>
      <c r="S23" s="118">
        <v>612</v>
      </c>
      <c r="T23" s="118">
        <f>456+612+456+612+456</f>
        <v>2592</v>
      </c>
      <c r="U23" s="118">
        <f>456+1392+1236+1236+1392</f>
        <v>5712</v>
      </c>
      <c r="V23" s="118">
        <f>1392+2016+456+612+456</f>
        <v>4932</v>
      </c>
      <c r="W23" s="118">
        <f>456+456+612+312</f>
        <v>1836</v>
      </c>
      <c r="X23" s="118">
        <v>0</v>
      </c>
      <c r="Y23" s="117">
        <f>SUM(E23:$X$23)</f>
        <v>40821</v>
      </c>
      <c r="Z23" s="118">
        <v>0</v>
      </c>
      <c r="AA23" s="117">
        <f t="shared" si="27"/>
        <v>40821</v>
      </c>
      <c r="AB23" s="97"/>
      <c r="AC23" s="118">
        <v>4320</v>
      </c>
      <c r="AD23" s="118">
        <v>1524</v>
      </c>
      <c r="AE23" s="118">
        <v>1680</v>
      </c>
      <c r="AF23" s="118">
        <v>0</v>
      </c>
      <c r="AG23" s="118">
        <v>0</v>
      </c>
      <c r="AH23" s="118">
        <v>0</v>
      </c>
      <c r="AI23" s="118">
        <v>0</v>
      </c>
      <c r="AJ23" s="118">
        <v>0</v>
      </c>
      <c r="AK23" s="118">
        <v>0</v>
      </c>
      <c r="AL23" s="118">
        <v>0</v>
      </c>
      <c r="AM23" s="118">
        <v>0</v>
      </c>
      <c r="AN23" s="118">
        <v>0</v>
      </c>
      <c r="AO23" s="118">
        <v>0</v>
      </c>
      <c r="AP23" s="118">
        <v>0</v>
      </c>
      <c r="AQ23" s="118">
        <v>0</v>
      </c>
      <c r="AR23" s="118">
        <v>0</v>
      </c>
      <c r="AS23" s="118">
        <v>0</v>
      </c>
      <c r="AT23" s="118">
        <v>0</v>
      </c>
      <c r="AU23" s="117">
        <f>SUM($AC23:AT23)</f>
        <v>7524</v>
      </c>
      <c r="AV23" s="97"/>
      <c r="AW23" s="118">
        <v>0</v>
      </c>
      <c r="AX23" s="118">
        <v>0</v>
      </c>
      <c r="AY23" s="118">
        <v>0</v>
      </c>
      <c r="AZ23" s="118">
        <v>0</v>
      </c>
      <c r="BA23" s="118">
        <v>0</v>
      </c>
      <c r="BB23" s="118">
        <v>0</v>
      </c>
      <c r="BC23" s="118">
        <v>0</v>
      </c>
      <c r="BD23" s="118">
        <v>0</v>
      </c>
      <c r="BE23" s="118">
        <v>0</v>
      </c>
      <c r="BF23" s="118">
        <v>0</v>
      </c>
      <c r="BG23" s="118">
        <v>0</v>
      </c>
      <c r="BH23" s="118">
        <v>0</v>
      </c>
      <c r="BI23" s="118">
        <v>0</v>
      </c>
      <c r="BJ23" s="118">
        <v>0</v>
      </c>
      <c r="BK23" s="118">
        <v>0</v>
      </c>
      <c r="BL23" s="118">
        <v>0</v>
      </c>
      <c r="BM23" s="118">
        <v>0</v>
      </c>
      <c r="BN23" s="118">
        <v>0</v>
      </c>
      <c r="BO23" s="118">
        <v>0</v>
      </c>
      <c r="BP23" s="118">
        <v>0</v>
      </c>
      <c r="BQ23" s="118">
        <v>0</v>
      </c>
      <c r="BR23" s="118">
        <v>0</v>
      </c>
      <c r="BS23" s="117"/>
      <c r="BT23" s="117"/>
      <c r="BU23" s="118">
        <v>0</v>
      </c>
      <c r="BV23" s="118">
        <v>0</v>
      </c>
      <c r="BW23" s="118">
        <v>0</v>
      </c>
      <c r="BX23" s="118">
        <v>0</v>
      </c>
      <c r="BY23" s="118">
        <v>0</v>
      </c>
      <c r="BZ23" s="118">
        <v>0</v>
      </c>
      <c r="CA23" s="118">
        <v>0</v>
      </c>
      <c r="CB23" s="118">
        <v>0</v>
      </c>
      <c r="CC23" s="118">
        <v>0</v>
      </c>
      <c r="CD23" s="118">
        <v>0</v>
      </c>
      <c r="CE23" s="118">
        <v>0</v>
      </c>
      <c r="CF23" s="118">
        <v>0</v>
      </c>
      <c r="CG23" s="118">
        <v>0</v>
      </c>
      <c r="CH23" s="118">
        <v>0</v>
      </c>
      <c r="CI23" s="118">
        <v>0</v>
      </c>
      <c r="CJ23" s="118">
        <v>0</v>
      </c>
      <c r="CK23" s="118">
        <v>0</v>
      </c>
      <c r="CL23" s="118">
        <v>0</v>
      </c>
      <c r="CM23" s="118">
        <v>0</v>
      </c>
      <c r="CN23" s="118">
        <v>0</v>
      </c>
      <c r="CO23" s="118">
        <v>0</v>
      </c>
      <c r="CP23" s="118">
        <v>0</v>
      </c>
      <c r="CQ23" s="117"/>
      <c r="CR23" s="117"/>
      <c r="CS23" s="118">
        <v>0</v>
      </c>
      <c r="CT23" s="118">
        <v>0</v>
      </c>
      <c r="CU23" s="118">
        <v>0</v>
      </c>
      <c r="CV23" s="118">
        <v>0</v>
      </c>
      <c r="CW23" s="118">
        <v>0</v>
      </c>
      <c r="CX23" s="118">
        <v>0</v>
      </c>
      <c r="CY23" s="118">
        <v>0</v>
      </c>
      <c r="CZ23" s="118">
        <v>0</v>
      </c>
      <c r="DA23" s="118">
        <v>0</v>
      </c>
      <c r="DB23" s="118">
        <v>0</v>
      </c>
      <c r="DC23" s="118">
        <v>0</v>
      </c>
      <c r="DD23" s="118">
        <v>0</v>
      </c>
      <c r="DE23" s="118">
        <v>0</v>
      </c>
      <c r="DF23" s="118">
        <v>0</v>
      </c>
      <c r="DG23" s="118">
        <v>0</v>
      </c>
      <c r="DH23" s="118">
        <v>0</v>
      </c>
      <c r="DI23" s="118">
        <v>0</v>
      </c>
      <c r="DJ23" s="118">
        <v>0</v>
      </c>
      <c r="DK23" s="118">
        <v>0</v>
      </c>
      <c r="DL23" s="118">
        <v>0</v>
      </c>
      <c r="DM23" s="118">
        <v>0</v>
      </c>
      <c r="DN23" s="117"/>
      <c r="DO23" s="117"/>
      <c r="DP23" s="118">
        <v>0</v>
      </c>
      <c r="DQ23" s="118">
        <v>0</v>
      </c>
      <c r="DR23" s="118">
        <v>0</v>
      </c>
      <c r="DS23" s="118">
        <v>0</v>
      </c>
      <c r="DT23" s="118">
        <v>0</v>
      </c>
      <c r="DU23" s="118">
        <v>0</v>
      </c>
      <c r="DV23" s="118">
        <v>0</v>
      </c>
      <c r="DW23" s="118">
        <v>0</v>
      </c>
      <c r="DX23" s="118">
        <v>0</v>
      </c>
      <c r="DY23" s="118">
        <v>0</v>
      </c>
      <c r="DZ23" s="118">
        <v>0</v>
      </c>
      <c r="EA23" s="118">
        <v>0</v>
      </c>
      <c r="EB23" s="118">
        <v>0</v>
      </c>
      <c r="EC23" s="118">
        <v>0</v>
      </c>
      <c r="ED23" s="118">
        <v>0</v>
      </c>
      <c r="EE23" s="118">
        <v>0</v>
      </c>
      <c r="EF23" s="118">
        <v>0</v>
      </c>
      <c r="EG23" s="118">
        <v>0</v>
      </c>
      <c r="EH23" s="118">
        <v>0</v>
      </c>
      <c r="EI23" s="118">
        <v>0</v>
      </c>
      <c r="EJ23" s="118">
        <v>0</v>
      </c>
      <c r="EK23" s="118">
        <v>0</v>
      </c>
      <c r="EL23" s="117"/>
      <c r="EM23" s="117"/>
    </row>
    <row r="24" spans="1:143" s="3" customFormat="1" ht="25" customHeight="1">
      <c r="A24" s="121" t="s">
        <v>35</v>
      </c>
      <c r="B24" s="120">
        <v>826</v>
      </c>
      <c r="C24" s="119" t="s">
        <v>45</v>
      </c>
      <c r="D24" s="117"/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44402.33</v>
      </c>
      <c r="N24" s="118">
        <v>0</v>
      </c>
      <c r="O24" s="118">
        <v>0</v>
      </c>
      <c r="P24" s="118">
        <v>0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7">
        <f>SUM(E24:$X$24)</f>
        <v>44402.33</v>
      </c>
      <c r="Z24" s="118">
        <v>0</v>
      </c>
      <c r="AA24" s="117">
        <f t="shared" si="27"/>
        <v>44402.33</v>
      </c>
      <c r="AB24" s="97"/>
      <c r="AC24" s="118">
        <v>0</v>
      </c>
      <c r="AD24" s="118">
        <v>0</v>
      </c>
      <c r="AE24" s="118">
        <v>0</v>
      </c>
      <c r="AF24" s="118">
        <v>17399.560000000001</v>
      </c>
      <c r="AG24" s="118">
        <v>0</v>
      </c>
      <c r="AH24" s="118">
        <v>0</v>
      </c>
      <c r="AI24" s="118">
        <v>0</v>
      </c>
      <c r="AJ24" s="118">
        <v>0</v>
      </c>
      <c r="AK24" s="118">
        <v>0</v>
      </c>
      <c r="AL24" s="118">
        <v>0</v>
      </c>
      <c r="AM24" s="118">
        <v>0</v>
      </c>
      <c r="AN24" s="118">
        <v>0</v>
      </c>
      <c r="AO24" s="118">
        <v>0</v>
      </c>
      <c r="AP24" s="118">
        <v>0</v>
      </c>
      <c r="AQ24" s="118">
        <v>0</v>
      </c>
      <c r="AR24" s="118">
        <v>0</v>
      </c>
      <c r="AS24" s="118">
        <v>0</v>
      </c>
      <c r="AT24" s="118">
        <v>0</v>
      </c>
      <c r="AU24" s="117">
        <f>SUM($AC24:AT24)</f>
        <v>17399.560000000001</v>
      </c>
      <c r="AV24" s="97"/>
      <c r="AW24" s="118">
        <v>0</v>
      </c>
      <c r="AX24" s="118">
        <v>0</v>
      </c>
      <c r="AY24" s="118">
        <v>0</v>
      </c>
      <c r="AZ24" s="118">
        <v>0</v>
      </c>
      <c r="BA24" s="118">
        <v>0</v>
      </c>
      <c r="BB24" s="118">
        <v>0</v>
      </c>
      <c r="BC24" s="118">
        <v>0</v>
      </c>
      <c r="BD24" s="118">
        <v>0</v>
      </c>
      <c r="BE24" s="118">
        <v>0</v>
      </c>
      <c r="BF24" s="118">
        <v>0</v>
      </c>
      <c r="BG24" s="118">
        <v>0</v>
      </c>
      <c r="BH24" s="118">
        <v>0</v>
      </c>
      <c r="BI24" s="118">
        <v>0</v>
      </c>
      <c r="BJ24" s="118">
        <v>0</v>
      </c>
      <c r="BK24" s="118">
        <v>0</v>
      </c>
      <c r="BL24" s="118">
        <v>0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7"/>
      <c r="BT24" s="117"/>
      <c r="BU24" s="118">
        <v>0</v>
      </c>
      <c r="BV24" s="118">
        <v>0</v>
      </c>
      <c r="BW24" s="118">
        <v>0</v>
      </c>
      <c r="BX24" s="118">
        <v>0</v>
      </c>
      <c r="BY24" s="118">
        <v>0</v>
      </c>
      <c r="BZ24" s="118">
        <v>0</v>
      </c>
      <c r="CA24" s="118">
        <v>0</v>
      </c>
      <c r="CB24" s="118">
        <v>0</v>
      </c>
      <c r="CC24" s="118">
        <v>0</v>
      </c>
      <c r="CD24" s="118">
        <v>0</v>
      </c>
      <c r="CE24" s="118">
        <v>0</v>
      </c>
      <c r="CF24" s="118">
        <v>0</v>
      </c>
      <c r="CG24" s="118">
        <v>0</v>
      </c>
      <c r="CH24" s="118">
        <v>0</v>
      </c>
      <c r="CI24" s="118">
        <v>0</v>
      </c>
      <c r="CJ24" s="118">
        <v>0</v>
      </c>
      <c r="CK24" s="118">
        <v>0</v>
      </c>
      <c r="CL24" s="118">
        <v>0</v>
      </c>
      <c r="CM24" s="118">
        <v>0</v>
      </c>
      <c r="CN24" s="118">
        <v>0</v>
      </c>
      <c r="CO24" s="118">
        <v>0</v>
      </c>
      <c r="CP24" s="118">
        <v>0</v>
      </c>
      <c r="CQ24" s="117"/>
      <c r="CR24" s="117"/>
      <c r="CS24" s="118">
        <v>0</v>
      </c>
      <c r="CT24" s="118">
        <v>0</v>
      </c>
      <c r="CU24" s="118">
        <v>0</v>
      </c>
      <c r="CV24" s="118">
        <v>0</v>
      </c>
      <c r="CW24" s="118">
        <v>0</v>
      </c>
      <c r="CX24" s="118">
        <v>0</v>
      </c>
      <c r="CY24" s="118">
        <v>0</v>
      </c>
      <c r="CZ24" s="118">
        <v>0</v>
      </c>
      <c r="DA24" s="118">
        <v>0</v>
      </c>
      <c r="DB24" s="118">
        <v>0</v>
      </c>
      <c r="DC24" s="118">
        <v>0</v>
      </c>
      <c r="DD24" s="118">
        <v>0</v>
      </c>
      <c r="DE24" s="118">
        <v>0</v>
      </c>
      <c r="DF24" s="118">
        <v>0</v>
      </c>
      <c r="DG24" s="118">
        <v>0</v>
      </c>
      <c r="DH24" s="118">
        <v>0</v>
      </c>
      <c r="DI24" s="118">
        <v>0</v>
      </c>
      <c r="DJ24" s="118">
        <v>0</v>
      </c>
      <c r="DK24" s="118">
        <v>0</v>
      </c>
      <c r="DL24" s="118">
        <v>0</v>
      </c>
      <c r="DM24" s="118">
        <v>0</v>
      </c>
      <c r="DN24" s="117"/>
      <c r="DO24" s="117"/>
      <c r="DP24" s="118">
        <v>0</v>
      </c>
      <c r="DQ24" s="118">
        <v>0</v>
      </c>
      <c r="DR24" s="118">
        <v>0</v>
      </c>
      <c r="DS24" s="118">
        <v>0</v>
      </c>
      <c r="DT24" s="118">
        <v>0</v>
      </c>
      <c r="DU24" s="118">
        <v>0</v>
      </c>
      <c r="DV24" s="118">
        <v>0</v>
      </c>
      <c r="DW24" s="118">
        <v>0</v>
      </c>
      <c r="DX24" s="118">
        <v>0</v>
      </c>
      <c r="DY24" s="118">
        <v>0</v>
      </c>
      <c r="DZ24" s="118">
        <v>0</v>
      </c>
      <c r="EA24" s="118">
        <v>0</v>
      </c>
      <c r="EB24" s="118">
        <v>0</v>
      </c>
      <c r="EC24" s="118">
        <v>0</v>
      </c>
      <c r="ED24" s="118">
        <v>0</v>
      </c>
      <c r="EE24" s="118">
        <v>0</v>
      </c>
      <c r="EF24" s="118">
        <v>0</v>
      </c>
      <c r="EG24" s="118">
        <v>0</v>
      </c>
      <c r="EH24" s="118">
        <v>0</v>
      </c>
      <c r="EI24" s="118">
        <v>0</v>
      </c>
      <c r="EJ24" s="118">
        <v>0</v>
      </c>
      <c r="EK24" s="118">
        <v>0</v>
      </c>
      <c r="EL24" s="117"/>
      <c r="EM24" s="117"/>
    </row>
    <row r="25" spans="1:143" s="3" customFormat="1" ht="25" customHeight="1">
      <c r="A25" s="121" t="s">
        <v>35</v>
      </c>
      <c r="B25" s="120" t="s">
        <v>44</v>
      </c>
      <c r="C25" s="119" t="s">
        <v>43</v>
      </c>
      <c r="D25" s="117"/>
      <c r="E25" s="118">
        <v>0</v>
      </c>
      <c r="F25" s="118">
        <v>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  <c r="M25" s="118">
        <v>0</v>
      </c>
      <c r="N25" s="118">
        <v>0</v>
      </c>
      <c r="O25" s="118">
        <v>0</v>
      </c>
      <c r="P25" s="118">
        <v>13185.77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7">
        <f>SUM(E25:$X$25)</f>
        <v>13185.77</v>
      </c>
      <c r="Z25" s="118">
        <v>0</v>
      </c>
      <c r="AA25" s="117">
        <f t="shared" si="27"/>
        <v>13185.77</v>
      </c>
      <c r="AB25" s="97"/>
      <c r="AC25" s="118">
        <v>100000</v>
      </c>
      <c r="AD25" s="118">
        <v>0</v>
      </c>
      <c r="AE25" s="118">
        <v>0</v>
      </c>
      <c r="AF25" s="118">
        <v>0</v>
      </c>
      <c r="AG25" s="118">
        <v>0</v>
      </c>
      <c r="AH25" s="118">
        <v>0</v>
      </c>
      <c r="AI25" s="118">
        <v>0</v>
      </c>
      <c r="AJ25" s="118">
        <v>0</v>
      </c>
      <c r="AK25" s="118">
        <v>0</v>
      </c>
      <c r="AL25" s="118">
        <v>0</v>
      </c>
      <c r="AM25" s="118">
        <v>0</v>
      </c>
      <c r="AN25" s="118">
        <v>0</v>
      </c>
      <c r="AO25" s="118">
        <v>0</v>
      </c>
      <c r="AP25" s="118">
        <v>0</v>
      </c>
      <c r="AQ25" s="118">
        <v>0</v>
      </c>
      <c r="AR25" s="118">
        <v>0</v>
      </c>
      <c r="AS25" s="118">
        <v>0</v>
      </c>
      <c r="AT25" s="118">
        <v>0</v>
      </c>
      <c r="AU25" s="117">
        <f>SUM($AC25:AT25)</f>
        <v>100000</v>
      </c>
      <c r="AV25" s="97"/>
      <c r="AW25" s="118">
        <v>0</v>
      </c>
      <c r="AX25" s="118">
        <v>0</v>
      </c>
      <c r="AY25" s="118">
        <v>0</v>
      </c>
      <c r="AZ25" s="118">
        <v>0</v>
      </c>
      <c r="BA25" s="118">
        <v>0</v>
      </c>
      <c r="BB25" s="118">
        <v>0</v>
      </c>
      <c r="BC25" s="118">
        <v>0</v>
      </c>
      <c r="BD25" s="118">
        <v>0</v>
      </c>
      <c r="BE25" s="118">
        <v>0</v>
      </c>
      <c r="BF25" s="118">
        <v>0</v>
      </c>
      <c r="BG25" s="118">
        <v>0</v>
      </c>
      <c r="BH25" s="118">
        <v>0</v>
      </c>
      <c r="BI25" s="118">
        <v>0</v>
      </c>
      <c r="BJ25" s="118">
        <v>0</v>
      </c>
      <c r="BK25" s="118">
        <v>0</v>
      </c>
      <c r="BL25" s="118">
        <v>0</v>
      </c>
      <c r="BM25" s="118">
        <v>0</v>
      </c>
      <c r="BN25" s="118">
        <v>0</v>
      </c>
      <c r="BO25" s="118">
        <v>0</v>
      </c>
      <c r="BP25" s="118">
        <v>0</v>
      </c>
      <c r="BQ25" s="118">
        <v>0</v>
      </c>
      <c r="BR25" s="118">
        <v>0</v>
      </c>
      <c r="BS25" s="117"/>
      <c r="BT25" s="117"/>
      <c r="BU25" s="118">
        <v>0</v>
      </c>
      <c r="BV25" s="118">
        <v>0</v>
      </c>
      <c r="BW25" s="118">
        <v>0</v>
      </c>
      <c r="BX25" s="118">
        <v>0</v>
      </c>
      <c r="BY25" s="118">
        <v>0</v>
      </c>
      <c r="BZ25" s="118">
        <v>0</v>
      </c>
      <c r="CA25" s="118">
        <v>0</v>
      </c>
      <c r="CB25" s="118">
        <v>0</v>
      </c>
      <c r="CC25" s="118">
        <v>0</v>
      </c>
      <c r="CD25" s="118">
        <v>0</v>
      </c>
      <c r="CE25" s="118">
        <v>0</v>
      </c>
      <c r="CF25" s="118">
        <v>0</v>
      </c>
      <c r="CG25" s="118">
        <v>0</v>
      </c>
      <c r="CH25" s="118">
        <v>0</v>
      </c>
      <c r="CI25" s="118">
        <v>0</v>
      </c>
      <c r="CJ25" s="118">
        <v>0</v>
      </c>
      <c r="CK25" s="118">
        <v>0</v>
      </c>
      <c r="CL25" s="118">
        <v>0</v>
      </c>
      <c r="CM25" s="118">
        <v>0</v>
      </c>
      <c r="CN25" s="118">
        <v>0</v>
      </c>
      <c r="CO25" s="118">
        <v>0</v>
      </c>
      <c r="CP25" s="118">
        <v>0</v>
      </c>
      <c r="CQ25" s="117"/>
      <c r="CR25" s="117"/>
      <c r="CS25" s="118">
        <v>0</v>
      </c>
      <c r="CT25" s="118">
        <v>0</v>
      </c>
      <c r="CU25" s="118">
        <v>0</v>
      </c>
      <c r="CV25" s="118">
        <v>0</v>
      </c>
      <c r="CW25" s="118">
        <v>0</v>
      </c>
      <c r="CX25" s="118">
        <v>0</v>
      </c>
      <c r="CY25" s="118">
        <v>0</v>
      </c>
      <c r="CZ25" s="118">
        <v>0</v>
      </c>
      <c r="DA25" s="118">
        <v>0</v>
      </c>
      <c r="DB25" s="118">
        <v>0</v>
      </c>
      <c r="DC25" s="118">
        <v>0</v>
      </c>
      <c r="DD25" s="118">
        <v>0</v>
      </c>
      <c r="DE25" s="118">
        <v>0</v>
      </c>
      <c r="DF25" s="118">
        <v>0</v>
      </c>
      <c r="DG25" s="118">
        <v>0</v>
      </c>
      <c r="DH25" s="118">
        <v>0</v>
      </c>
      <c r="DI25" s="118">
        <v>0</v>
      </c>
      <c r="DJ25" s="118">
        <v>0</v>
      </c>
      <c r="DK25" s="118">
        <v>0</v>
      </c>
      <c r="DL25" s="118">
        <v>0</v>
      </c>
      <c r="DM25" s="118">
        <v>0</v>
      </c>
      <c r="DN25" s="117"/>
      <c r="DO25" s="117"/>
      <c r="DP25" s="118">
        <v>0</v>
      </c>
      <c r="DQ25" s="118">
        <v>0</v>
      </c>
      <c r="DR25" s="118">
        <v>0</v>
      </c>
      <c r="DS25" s="118">
        <v>0</v>
      </c>
      <c r="DT25" s="118">
        <v>0</v>
      </c>
      <c r="DU25" s="118">
        <v>0</v>
      </c>
      <c r="DV25" s="118">
        <v>0</v>
      </c>
      <c r="DW25" s="118">
        <v>0</v>
      </c>
      <c r="DX25" s="118">
        <v>0</v>
      </c>
      <c r="DY25" s="118">
        <v>0</v>
      </c>
      <c r="DZ25" s="118">
        <v>0</v>
      </c>
      <c r="EA25" s="118">
        <v>0</v>
      </c>
      <c r="EB25" s="118">
        <v>0</v>
      </c>
      <c r="EC25" s="118">
        <v>0</v>
      </c>
      <c r="ED25" s="118">
        <v>0</v>
      </c>
      <c r="EE25" s="118">
        <v>0</v>
      </c>
      <c r="EF25" s="118">
        <v>0</v>
      </c>
      <c r="EG25" s="118">
        <v>0</v>
      </c>
      <c r="EH25" s="118">
        <v>0</v>
      </c>
      <c r="EI25" s="118">
        <v>0</v>
      </c>
      <c r="EJ25" s="118">
        <v>0</v>
      </c>
      <c r="EK25" s="118">
        <v>0</v>
      </c>
      <c r="EL25" s="117"/>
      <c r="EM25" s="117"/>
    </row>
    <row r="26" spans="1:143" s="3" customFormat="1" ht="25" customHeight="1">
      <c r="A26" s="121" t="s">
        <v>35</v>
      </c>
      <c r="B26" s="120">
        <v>823</v>
      </c>
      <c r="C26" s="119" t="s">
        <v>42</v>
      </c>
      <c r="D26" s="117"/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  <c r="N26" s="118">
        <v>29625</v>
      </c>
      <c r="O26" s="118">
        <v>0</v>
      </c>
      <c r="P26" s="118">
        <v>0</v>
      </c>
      <c r="Q26" s="118">
        <f>126689.5+14660</f>
        <v>141349.5</v>
      </c>
      <c r="R26" s="118">
        <v>0</v>
      </c>
      <c r="S26" s="118">
        <v>103649</v>
      </c>
      <c r="T26" s="118">
        <v>0</v>
      </c>
      <c r="U26" s="118">
        <v>0</v>
      </c>
      <c r="V26" s="118">
        <f>71711.5+106921.5</f>
        <v>178633</v>
      </c>
      <c r="W26" s="118">
        <v>0</v>
      </c>
      <c r="X26" s="118">
        <v>0</v>
      </c>
      <c r="Y26" s="117">
        <f>SUM(E26:$X$26)</f>
        <v>453256.5</v>
      </c>
      <c r="Z26" s="118">
        <v>115979.5</v>
      </c>
      <c r="AA26" s="117">
        <f t="shared" si="27"/>
        <v>569236</v>
      </c>
      <c r="AB26" s="97"/>
      <c r="AC26" s="118">
        <v>202821.5</v>
      </c>
      <c r="AD26" s="118">
        <v>127960</v>
      </c>
      <c r="AE26" s="118">
        <v>0</v>
      </c>
      <c r="AF26" s="118">
        <v>0</v>
      </c>
      <c r="AG26" s="118">
        <v>407092</v>
      </c>
      <c r="AH26" s="118">
        <v>0</v>
      </c>
      <c r="AI26" s="118">
        <v>0</v>
      </c>
      <c r="AJ26" s="118">
        <v>0</v>
      </c>
      <c r="AK26" s="118">
        <v>163411.5</v>
      </c>
      <c r="AL26" s="118">
        <v>0</v>
      </c>
      <c r="AM26" s="118">
        <v>67819.5</v>
      </c>
      <c r="AN26" s="118">
        <f>98147.7+113866.2</f>
        <v>212013.9</v>
      </c>
      <c r="AO26" s="118">
        <v>562594.19999999995</v>
      </c>
      <c r="AP26" s="118">
        <v>537993.4</v>
      </c>
      <c r="AQ26" s="118">
        <v>0</v>
      </c>
      <c r="AR26" s="118">
        <v>0</v>
      </c>
      <c r="AS26" s="118">
        <v>0</v>
      </c>
      <c r="AT26" s="118">
        <v>352311.4</v>
      </c>
      <c r="AU26" s="117">
        <f>SUM($AC26:AT26)</f>
        <v>2634017.4</v>
      </c>
      <c r="AV26" s="97"/>
      <c r="AW26" s="118">
        <v>0</v>
      </c>
      <c r="AX26" s="118">
        <v>0</v>
      </c>
      <c r="AY26" s="118">
        <v>0</v>
      </c>
      <c r="AZ26" s="118">
        <v>0</v>
      </c>
      <c r="BA26" s="118">
        <v>0</v>
      </c>
      <c r="BB26" s="118">
        <v>0</v>
      </c>
      <c r="BC26" s="118">
        <v>0</v>
      </c>
      <c r="BD26" s="118">
        <v>0</v>
      </c>
      <c r="BE26" s="118">
        <v>0</v>
      </c>
      <c r="BF26" s="118">
        <v>0</v>
      </c>
      <c r="BG26" s="118">
        <v>0</v>
      </c>
      <c r="BH26" s="118">
        <v>0</v>
      </c>
      <c r="BI26" s="118">
        <v>0</v>
      </c>
      <c r="BJ26" s="118">
        <v>0</v>
      </c>
      <c r="BK26" s="118">
        <v>0</v>
      </c>
      <c r="BL26" s="118">
        <v>0</v>
      </c>
      <c r="BM26" s="118">
        <v>0</v>
      </c>
      <c r="BN26" s="118">
        <v>0</v>
      </c>
      <c r="BO26" s="118">
        <v>0</v>
      </c>
      <c r="BP26" s="118">
        <v>0</v>
      </c>
      <c r="BQ26" s="118">
        <v>0</v>
      </c>
      <c r="BR26" s="118">
        <v>0</v>
      </c>
      <c r="BS26" s="117"/>
      <c r="BT26" s="117"/>
      <c r="BU26" s="118">
        <v>0</v>
      </c>
      <c r="BV26" s="118">
        <v>0</v>
      </c>
      <c r="BW26" s="118">
        <v>0</v>
      </c>
      <c r="BX26" s="118">
        <v>0</v>
      </c>
      <c r="BY26" s="118">
        <v>0</v>
      </c>
      <c r="BZ26" s="118">
        <v>0</v>
      </c>
      <c r="CA26" s="118">
        <v>0</v>
      </c>
      <c r="CB26" s="118">
        <v>0</v>
      </c>
      <c r="CC26" s="118">
        <v>0</v>
      </c>
      <c r="CD26" s="118">
        <v>0</v>
      </c>
      <c r="CE26" s="118">
        <v>0</v>
      </c>
      <c r="CF26" s="118">
        <v>0</v>
      </c>
      <c r="CG26" s="118">
        <v>0</v>
      </c>
      <c r="CH26" s="118">
        <v>0</v>
      </c>
      <c r="CI26" s="118">
        <v>0</v>
      </c>
      <c r="CJ26" s="118">
        <v>0</v>
      </c>
      <c r="CK26" s="118">
        <v>0</v>
      </c>
      <c r="CL26" s="118">
        <v>0</v>
      </c>
      <c r="CM26" s="118">
        <v>0</v>
      </c>
      <c r="CN26" s="118">
        <v>0</v>
      </c>
      <c r="CO26" s="118">
        <v>0</v>
      </c>
      <c r="CP26" s="118">
        <v>0</v>
      </c>
      <c r="CQ26" s="117"/>
      <c r="CR26" s="117"/>
      <c r="CS26" s="118">
        <v>0</v>
      </c>
      <c r="CT26" s="118">
        <v>0</v>
      </c>
      <c r="CU26" s="118">
        <v>0</v>
      </c>
      <c r="CV26" s="118">
        <v>0</v>
      </c>
      <c r="CW26" s="118">
        <v>0</v>
      </c>
      <c r="CX26" s="118">
        <v>0</v>
      </c>
      <c r="CY26" s="118">
        <v>0</v>
      </c>
      <c r="CZ26" s="118">
        <v>0</v>
      </c>
      <c r="DA26" s="118">
        <v>0</v>
      </c>
      <c r="DB26" s="118">
        <v>0</v>
      </c>
      <c r="DC26" s="118">
        <v>0</v>
      </c>
      <c r="DD26" s="118">
        <v>0</v>
      </c>
      <c r="DE26" s="118">
        <v>0</v>
      </c>
      <c r="DF26" s="118">
        <v>0</v>
      </c>
      <c r="DG26" s="118">
        <v>0</v>
      </c>
      <c r="DH26" s="118">
        <v>0</v>
      </c>
      <c r="DI26" s="118">
        <v>0</v>
      </c>
      <c r="DJ26" s="118">
        <v>0</v>
      </c>
      <c r="DK26" s="118">
        <v>0</v>
      </c>
      <c r="DL26" s="118">
        <v>0</v>
      </c>
      <c r="DM26" s="118">
        <v>0</v>
      </c>
      <c r="DN26" s="117"/>
      <c r="DO26" s="117"/>
      <c r="DP26" s="118">
        <v>0</v>
      </c>
      <c r="DQ26" s="118">
        <v>0</v>
      </c>
      <c r="DR26" s="118">
        <v>0</v>
      </c>
      <c r="DS26" s="118">
        <v>0</v>
      </c>
      <c r="DT26" s="118">
        <v>0</v>
      </c>
      <c r="DU26" s="118">
        <v>0</v>
      </c>
      <c r="DV26" s="118">
        <v>0</v>
      </c>
      <c r="DW26" s="118">
        <v>0</v>
      </c>
      <c r="DX26" s="118">
        <v>0</v>
      </c>
      <c r="DY26" s="118">
        <v>0</v>
      </c>
      <c r="DZ26" s="118">
        <v>0</v>
      </c>
      <c r="EA26" s="118">
        <v>0</v>
      </c>
      <c r="EB26" s="118">
        <v>0</v>
      </c>
      <c r="EC26" s="118">
        <v>0</v>
      </c>
      <c r="ED26" s="118">
        <v>0</v>
      </c>
      <c r="EE26" s="118">
        <v>0</v>
      </c>
      <c r="EF26" s="118">
        <v>0</v>
      </c>
      <c r="EG26" s="118">
        <v>0</v>
      </c>
      <c r="EH26" s="118">
        <v>0</v>
      </c>
      <c r="EI26" s="118">
        <v>0</v>
      </c>
      <c r="EJ26" s="118">
        <v>0</v>
      </c>
      <c r="EK26" s="118">
        <v>0</v>
      </c>
      <c r="EL26" s="117"/>
      <c r="EM26" s="117"/>
    </row>
    <row r="27" spans="1:143" s="3" customFormat="1" ht="25" customHeight="1">
      <c r="A27" s="121" t="s">
        <v>35</v>
      </c>
      <c r="B27" s="120"/>
      <c r="C27" s="119" t="s">
        <v>41</v>
      </c>
      <c r="D27" s="117"/>
      <c r="E27" s="118">
        <v>0</v>
      </c>
      <c r="F27" s="118">
        <v>0</v>
      </c>
      <c r="G27" s="118">
        <v>0</v>
      </c>
      <c r="H27" s="118">
        <v>99.85</v>
      </c>
      <c r="I27" s="118">
        <v>0</v>
      </c>
      <c r="J27" s="118">
        <f>11.9+85.61+0.12</f>
        <v>97.63000000000001</v>
      </c>
      <c r="K27" s="118">
        <v>0</v>
      </c>
      <c r="L27" s="118">
        <v>4.8600000000000003</v>
      </c>
      <c r="M27" s="118">
        <v>84.05</v>
      </c>
      <c r="N27" s="118">
        <v>0</v>
      </c>
      <c r="O27" s="118">
        <v>0</v>
      </c>
      <c r="P27" s="118">
        <f>139.73+12.6</f>
        <v>152.32999999999998</v>
      </c>
      <c r="Q27" s="118">
        <v>0</v>
      </c>
      <c r="R27" s="118">
        <v>0</v>
      </c>
      <c r="S27" s="118">
        <f>151+28.63</f>
        <v>179.63</v>
      </c>
      <c r="T27" s="118">
        <f>13.82+181.97</f>
        <v>195.79</v>
      </c>
      <c r="U27" s="118">
        <v>0</v>
      </c>
      <c r="V27" s="118">
        <f>113.3+17.43+11.34</f>
        <v>142.07</v>
      </c>
      <c r="W27" s="118">
        <v>0.5</v>
      </c>
      <c r="X27" s="118">
        <v>5.98</v>
      </c>
      <c r="Y27" s="117">
        <f>SUM(E27:$X$27)</f>
        <v>962.69</v>
      </c>
      <c r="Z27" s="118">
        <v>0</v>
      </c>
      <c r="AA27" s="117">
        <f t="shared" si="27"/>
        <v>962.69</v>
      </c>
      <c r="AB27" s="97"/>
      <c r="AC27" s="118">
        <v>0</v>
      </c>
      <c r="AD27" s="118">
        <v>0</v>
      </c>
      <c r="AE27" s="118">
        <v>0</v>
      </c>
      <c r="AF27" s="118">
        <v>0</v>
      </c>
      <c r="AG27" s="118">
        <v>0</v>
      </c>
      <c r="AH27" s="118">
        <v>0</v>
      </c>
      <c r="AI27" s="118">
        <v>0</v>
      </c>
      <c r="AJ27" s="118">
        <v>0</v>
      </c>
      <c r="AK27" s="118">
        <v>0</v>
      </c>
      <c r="AL27" s="118">
        <v>0</v>
      </c>
      <c r="AM27" s="118">
        <v>0</v>
      </c>
      <c r="AN27" s="118">
        <v>0</v>
      </c>
      <c r="AO27" s="118">
        <v>0</v>
      </c>
      <c r="AP27" s="118">
        <v>0</v>
      </c>
      <c r="AQ27" s="118">
        <v>0</v>
      </c>
      <c r="AR27" s="118">
        <v>0</v>
      </c>
      <c r="AS27" s="118">
        <v>0</v>
      </c>
      <c r="AT27" s="118">
        <v>0</v>
      </c>
      <c r="AU27" s="117">
        <f>SUM($AC27:AT27)</f>
        <v>0</v>
      </c>
      <c r="AV27" s="97"/>
      <c r="AW27" s="118">
        <v>0</v>
      </c>
      <c r="AX27" s="118">
        <v>0</v>
      </c>
      <c r="AY27" s="118">
        <v>0</v>
      </c>
      <c r="AZ27" s="118">
        <v>0</v>
      </c>
      <c r="BA27" s="118">
        <v>0</v>
      </c>
      <c r="BB27" s="118">
        <v>0</v>
      </c>
      <c r="BC27" s="118">
        <v>0</v>
      </c>
      <c r="BD27" s="118">
        <v>0</v>
      </c>
      <c r="BE27" s="118">
        <v>0</v>
      </c>
      <c r="BF27" s="118">
        <v>0</v>
      </c>
      <c r="BG27" s="118">
        <v>0</v>
      </c>
      <c r="BH27" s="118">
        <v>0</v>
      </c>
      <c r="BI27" s="118">
        <v>0</v>
      </c>
      <c r="BJ27" s="118">
        <v>0</v>
      </c>
      <c r="BK27" s="118">
        <v>0</v>
      </c>
      <c r="BL27" s="118">
        <v>0</v>
      </c>
      <c r="BM27" s="118">
        <v>0</v>
      </c>
      <c r="BN27" s="118">
        <v>0</v>
      </c>
      <c r="BO27" s="118">
        <v>0</v>
      </c>
      <c r="BP27" s="118">
        <v>0</v>
      </c>
      <c r="BQ27" s="118">
        <v>0</v>
      </c>
      <c r="BR27" s="118">
        <v>0</v>
      </c>
      <c r="BS27" s="117"/>
      <c r="BT27" s="117"/>
      <c r="BU27" s="118">
        <v>0</v>
      </c>
      <c r="BV27" s="118">
        <v>0</v>
      </c>
      <c r="BW27" s="118">
        <v>0</v>
      </c>
      <c r="BX27" s="118">
        <v>0</v>
      </c>
      <c r="BY27" s="118">
        <v>0</v>
      </c>
      <c r="BZ27" s="118">
        <v>0</v>
      </c>
      <c r="CA27" s="118">
        <v>0</v>
      </c>
      <c r="CB27" s="118">
        <v>0</v>
      </c>
      <c r="CC27" s="118">
        <v>0</v>
      </c>
      <c r="CD27" s="118">
        <v>0</v>
      </c>
      <c r="CE27" s="118">
        <v>0</v>
      </c>
      <c r="CF27" s="118">
        <v>0</v>
      </c>
      <c r="CG27" s="118">
        <v>0</v>
      </c>
      <c r="CH27" s="118">
        <v>0</v>
      </c>
      <c r="CI27" s="118">
        <v>0</v>
      </c>
      <c r="CJ27" s="118">
        <v>0</v>
      </c>
      <c r="CK27" s="118">
        <v>0</v>
      </c>
      <c r="CL27" s="118">
        <v>0</v>
      </c>
      <c r="CM27" s="118">
        <v>0</v>
      </c>
      <c r="CN27" s="118">
        <v>0</v>
      </c>
      <c r="CO27" s="118">
        <v>0</v>
      </c>
      <c r="CP27" s="118">
        <v>0</v>
      </c>
      <c r="CQ27" s="117"/>
      <c r="CR27" s="117"/>
      <c r="CS27" s="118">
        <v>0</v>
      </c>
      <c r="CT27" s="118">
        <v>0</v>
      </c>
      <c r="CU27" s="118">
        <v>0</v>
      </c>
      <c r="CV27" s="118">
        <v>0</v>
      </c>
      <c r="CW27" s="118">
        <v>0</v>
      </c>
      <c r="CX27" s="118">
        <v>0</v>
      </c>
      <c r="CY27" s="118">
        <v>0</v>
      </c>
      <c r="CZ27" s="118">
        <v>0</v>
      </c>
      <c r="DA27" s="118">
        <v>0</v>
      </c>
      <c r="DB27" s="118">
        <v>0</v>
      </c>
      <c r="DC27" s="118">
        <v>0</v>
      </c>
      <c r="DD27" s="118">
        <v>0</v>
      </c>
      <c r="DE27" s="118">
        <v>0</v>
      </c>
      <c r="DF27" s="118">
        <v>0</v>
      </c>
      <c r="DG27" s="118">
        <v>0</v>
      </c>
      <c r="DH27" s="118">
        <v>0</v>
      </c>
      <c r="DI27" s="118">
        <v>0</v>
      </c>
      <c r="DJ27" s="118">
        <v>0</v>
      </c>
      <c r="DK27" s="118">
        <v>0</v>
      </c>
      <c r="DL27" s="118">
        <v>0</v>
      </c>
      <c r="DM27" s="118">
        <v>0</v>
      </c>
      <c r="DN27" s="117"/>
      <c r="DO27" s="117"/>
      <c r="DP27" s="118">
        <v>0</v>
      </c>
      <c r="DQ27" s="118">
        <v>0</v>
      </c>
      <c r="DR27" s="118">
        <v>0</v>
      </c>
      <c r="DS27" s="118">
        <v>0</v>
      </c>
      <c r="DT27" s="118">
        <v>0</v>
      </c>
      <c r="DU27" s="118">
        <v>0</v>
      </c>
      <c r="DV27" s="118">
        <v>0</v>
      </c>
      <c r="DW27" s="118">
        <v>0</v>
      </c>
      <c r="DX27" s="118">
        <v>0</v>
      </c>
      <c r="DY27" s="118">
        <v>0</v>
      </c>
      <c r="DZ27" s="118">
        <v>0</v>
      </c>
      <c r="EA27" s="118">
        <v>0</v>
      </c>
      <c r="EB27" s="118">
        <v>0</v>
      </c>
      <c r="EC27" s="118">
        <v>0</v>
      </c>
      <c r="ED27" s="118">
        <v>0</v>
      </c>
      <c r="EE27" s="118">
        <v>0</v>
      </c>
      <c r="EF27" s="118">
        <v>0</v>
      </c>
      <c r="EG27" s="118">
        <v>0</v>
      </c>
      <c r="EH27" s="118">
        <v>0</v>
      </c>
      <c r="EI27" s="118">
        <v>0</v>
      </c>
      <c r="EJ27" s="118">
        <v>0</v>
      </c>
      <c r="EK27" s="118">
        <v>0</v>
      </c>
      <c r="EL27" s="117"/>
      <c r="EM27" s="117"/>
    </row>
    <row r="28" spans="1:143" s="3" customFormat="1" ht="25" customHeight="1">
      <c r="A28" s="121" t="s">
        <v>35</v>
      </c>
      <c r="B28" s="120"/>
      <c r="C28" s="119" t="s">
        <v>40</v>
      </c>
      <c r="D28" s="117"/>
      <c r="E28" s="118">
        <v>0</v>
      </c>
      <c r="F28" s="118">
        <v>0</v>
      </c>
      <c r="G28" s="118">
        <v>0</v>
      </c>
      <c r="H28" s="118">
        <v>3.78</v>
      </c>
      <c r="I28" s="118">
        <v>9.5500000000000007</v>
      </c>
      <c r="J28" s="118">
        <v>0</v>
      </c>
      <c r="K28" s="118">
        <v>0</v>
      </c>
      <c r="L28" s="118">
        <v>0</v>
      </c>
      <c r="M28" s="118">
        <v>0</v>
      </c>
      <c r="N28" s="118">
        <v>0</v>
      </c>
      <c r="O28" s="118">
        <v>0</v>
      </c>
      <c r="P28" s="118">
        <v>0</v>
      </c>
      <c r="Q28" s="118">
        <v>0</v>
      </c>
      <c r="R28" s="118">
        <v>0</v>
      </c>
      <c r="S28" s="118">
        <v>0</v>
      </c>
      <c r="T28" s="118">
        <v>23.83</v>
      </c>
      <c r="U28" s="118">
        <v>0</v>
      </c>
      <c r="V28" s="118">
        <v>0</v>
      </c>
      <c r="W28" s="118">
        <v>0</v>
      </c>
      <c r="X28" s="118">
        <v>0</v>
      </c>
      <c r="Y28" s="117">
        <f>SUM(E28:$X$28)</f>
        <v>37.159999999999997</v>
      </c>
      <c r="Z28" s="118">
        <v>0</v>
      </c>
      <c r="AA28" s="117">
        <f t="shared" si="27"/>
        <v>37.159999999999997</v>
      </c>
      <c r="AB28" s="97"/>
      <c r="AC28" s="118">
        <v>0</v>
      </c>
      <c r="AD28" s="118">
        <v>0</v>
      </c>
      <c r="AE28" s="118">
        <v>0</v>
      </c>
      <c r="AF28" s="118">
        <v>0</v>
      </c>
      <c r="AG28" s="118">
        <v>17.8</v>
      </c>
      <c r="AH28" s="118">
        <v>0.32</v>
      </c>
      <c r="AI28" s="118">
        <v>0</v>
      </c>
      <c r="AJ28" s="118">
        <v>0</v>
      </c>
      <c r="AK28" s="118">
        <v>0</v>
      </c>
      <c r="AL28" s="118">
        <v>0</v>
      </c>
      <c r="AM28" s="118">
        <v>0</v>
      </c>
      <c r="AN28" s="118">
        <v>0</v>
      </c>
      <c r="AO28" s="118">
        <v>0</v>
      </c>
      <c r="AP28" s="118">
        <v>0</v>
      </c>
      <c r="AQ28" s="118">
        <v>0</v>
      </c>
      <c r="AR28" s="118">
        <v>0</v>
      </c>
      <c r="AS28" s="118">
        <v>0</v>
      </c>
      <c r="AT28" s="118">
        <v>0</v>
      </c>
      <c r="AU28" s="117">
        <f>SUM($AC28:AT28)</f>
        <v>18.12</v>
      </c>
      <c r="AV28" s="97"/>
      <c r="AW28" s="118">
        <v>0</v>
      </c>
      <c r="AX28" s="118">
        <v>0</v>
      </c>
      <c r="AY28" s="118">
        <v>0</v>
      </c>
      <c r="AZ28" s="118">
        <v>0</v>
      </c>
      <c r="BA28" s="118">
        <v>0</v>
      </c>
      <c r="BB28" s="118">
        <v>0</v>
      </c>
      <c r="BC28" s="118">
        <v>0</v>
      </c>
      <c r="BD28" s="118">
        <v>0</v>
      </c>
      <c r="BE28" s="118">
        <v>0</v>
      </c>
      <c r="BF28" s="118">
        <v>0</v>
      </c>
      <c r="BG28" s="118">
        <v>0</v>
      </c>
      <c r="BH28" s="118">
        <v>0</v>
      </c>
      <c r="BI28" s="118">
        <v>0</v>
      </c>
      <c r="BJ28" s="118">
        <v>0</v>
      </c>
      <c r="BK28" s="118">
        <v>0</v>
      </c>
      <c r="BL28" s="118">
        <v>0</v>
      </c>
      <c r="BM28" s="118">
        <v>0</v>
      </c>
      <c r="BN28" s="118">
        <v>0</v>
      </c>
      <c r="BO28" s="118">
        <v>0</v>
      </c>
      <c r="BP28" s="118">
        <v>0</v>
      </c>
      <c r="BQ28" s="118">
        <v>0</v>
      </c>
      <c r="BR28" s="118">
        <v>0</v>
      </c>
      <c r="BS28" s="117"/>
      <c r="BT28" s="117"/>
      <c r="BU28" s="118">
        <v>0</v>
      </c>
      <c r="BV28" s="118">
        <v>0</v>
      </c>
      <c r="BW28" s="118">
        <v>0</v>
      </c>
      <c r="BX28" s="118">
        <v>0</v>
      </c>
      <c r="BY28" s="118">
        <v>0</v>
      </c>
      <c r="BZ28" s="118">
        <v>0</v>
      </c>
      <c r="CA28" s="118">
        <v>0</v>
      </c>
      <c r="CB28" s="118">
        <v>0</v>
      </c>
      <c r="CC28" s="118">
        <v>0</v>
      </c>
      <c r="CD28" s="118">
        <v>0</v>
      </c>
      <c r="CE28" s="118">
        <v>0</v>
      </c>
      <c r="CF28" s="118">
        <v>0</v>
      </c>
      <c r="CG28" s="118">
        <v>0</v>
      </c>
      <c r="CH28" s="118">
        <v>0</v>
      </c>
      <c r="CI28" s="118">
        <v>0</v>
      </c>
      <c r="CJ28" s="118">
        <v>0</v>
      </c>
      <c r="CK28" s="118">
        <v>0</v>
      </c>
      <c r="CL28" s="118">
        <v>0</v>
      </c>
      <c r="CM28" s="118">
        <v>0</v>
      </c>
      <c r="CN28" s="118">
        <v>0</v>
      </c>
      <c r="CO28" s="118">
        <v>0</v>
      </c>
      <c r="CP28" s="118">
        <v>0</v>
      </c>
      <c r="CQ28" s="117"/>
      <c r="CR28" s="117"/>
      <c r="CS28" s="118">
        <v>0</v>
      </c>
      <c r="CT28" s="118">
        <v>0</v>
      </c>
      <c r="CU28" s="118">
        <v>0</v>
      </c>
      <c r="CV28" s="118">
        <v>0</v>
      </c>
      <c r="CW28" s="118">
        <v>0</v>
      </c>
      <c r="CX28" s="118">
        <v>0</v>
      </c>
      <c r="CY28" s="118">
        <v>0</v>
      </c>
      <c r="CZ28" s="118">
        <v>0</v>
      </c>
      <c r="DA28" s="118">
        <v>0</v>
      </c>
      <c r="DB28" s="118">
        <v>0</v>
      </c>
      <c r="DC28" s="118">
        <v>0</v>
      </c>
      <c r="DD28" s="118">
        <v>0</v>
      </c>
      <c r="DE28" s="118">
        <v>0</v>
      </c>
      <c r="DF28" s="118">
        <v>0</v>
      </c>
      <c r="DG28" s="118">
        <v>0</v>
      </c>
      <c r="DH28" s="118">
        <v>0</v>
      </c>
      <c r="DI28" s="118">
        <v>0</v>
      </c>
      <c r="DJ28" s="118">
        <v>0</v>
      </c>
      <c r="DK28" s="118">
        <v>0</v>
      </c>
      <c r="DL28" s="118">
        <v>0</v>
      </c>
      <c r="DM28" s="118">
        <v>0</v>
      </c>
      <c r="DN28" s="117"/>
      <c r="DO28" s="117"/>
      <c r="DP28" s="118">
        <v>0</v>
      </c>
      <c r="DQ28" s="118">
        <v>0</v>
      </c>
      <c r="DR28" s="118">
        <v>0</v>
      </c>
      <c r="DS28" s="118">
        <v>0</v>
      </c>
      <c r="DT28" s="118">
        <v>0</v>
      </c>
      <c r="DU28" s="118">
        <v>0</v>
      </c>
      <c r="DV28" s="118">
        <v>0</v>
      </c>
      <c r="DW28" s="118">
        <v>0</v>
      </c>
      <c r="DX28" s="118">
        <v>0</v>
      </c>
      <c r="DY28" s="118">
        <v>0</v>
      </c>
      <c r="DZ28" s="118">
        <v>0</v>
      </c>
      <c r="EA28" s="118">
        <v>0</v>
      </c>
      <c r="EB28" s="118">
        <v>0</v>
      </c>
      <c r="EC28" s="118">
        <v>0</v>
      </c>
      <c r="ED28" s="118">
        <v>0</v>
      </c>
      <c r="EE28" s="118">
        <v>0</v>
      </c>
      <c r="EF28" s="118">
        <v>0</v>
      </c>
      <c r="EG28" s="118">
        <v>0</v>
      </c>
      <c r="EH28" s="118">
        <v>0</v>
      </c>
      <c r="EI28" s="118">
        <v>0</v>
      </c>
      <c r="EJ28" s="118">
        <v>0</v>
      </c>
      <c r="EK28" s="118">
        <v>0</v>
      </c>
      <c r="EL28" s="117"/>
      <c r="EM28" s="117"/>
    </row>
    <row r="29" spans="1:143" s="3" customFormat="1" ht="25" customHeight="1">
      <c r="A29" s="121" t="s">
        <v>35</v>
      </c>
      <c r="B29" s="120"/>
      <c r="C29" s="119" t="s">
        <v>39</v>
      </c>
      <c r="D29" s="117"/>
      <c r="E29" s="118">
        <v>0</v>
      </c>
      <c r="F29" s="118">
        <v>500</v>
      </c>
      <c r="G29" s="118">
        <v>0</v>
      </c>
      <c r="H29" s="118">
        <v>200</v>
      </c>
      <c r="I29" s="118">
        <v>583.22</v>
      </c>
      <c r="J29" s="118">
        <v>0</v>
      </c>
      <c r="K29" s="118">
        <v>0</v>
      </c>
      <c r="L29" s="118">
        <v>0</v>
      </c>
      <c r="M29" s="118">
        <v>50</v>
      </c>
      <c r="N29" s="118">
        <v>0</v>
      </c>
      <c r="O29" s="118">
        <v>0</v>
      </c>
      <c r="P29" s="118">
        <v>0</v>
      </c>
      <c r="Q29" s="118">
        <v>0</v>
      </c>
      <c r="R29" s="118">
        <v>0</v>
      </c>
      <c r="S29" s="118">
        <v>0</v>
      </c>
      <c r="T29" s="118">
        <v>0</v>
      </c>
      <c r="U29" s="118">
        <v>0</v>
      </c>
      <c r="V29" s="118">
        <v>0</v>
      </c>
      <c r="W29" s="118">
        <v>0</v>
      </c>
      <c r="X29" s="118">
        <v>0</v>
      </c>
      <c r="Y29" s="117">
        <f>SUM(E29:$X$29)</f>
        <v>1333.22</v>
      </c>
      <c r="Z29" s="118">
        <v>0</v>
      </c>
      <c r="AA29" s="117">
        <f t="shared" si="27"/>
        <v>1333.22</v>
      </c>
      <c r="AB29" s="97"/>
      <c r="AC29" s="118">
        <v>0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8">
        <v>0</v>
      </c>
      <c r="AJ29" s="118">
        <v>0</v>
      </c>
      <c r="AK29" s="118">
        <v>0</v>
      </c>
      <c r="AL29" s="118">
        <v>0</v>
      </c>
      <c r="AM29" s="118">
        <v>0</v>
      </c>
      <c r="AN29" s="118">
        <v>0</v>
      </c>
      <c r="AO29" s="118">
        <v>0</v>
      </c>
      <c r="AP29" s="118">
        <v>0</v>
      </c>
      <c r="AQ29" s="118">
        <v>0</v>
      </c>
      <c r="AR29" s="118">
        <v>0</v>
      </c>
      <c r="AS29" s="118">
        <v>0</v>
      </c>
      <c r="AT29" s="118">
        <v>0</v>
      </c>
      <c r="AU29" s="117">
        <f>SUM($AC29:AT29)</f>
        <v>0</v>
      </c>
      <c r="AV29" s="97"/>
      <c r="AW29" s="118">
        <v>0</v>
      </c>
      <c r="AX29" s="118">
        <v>0</v>
      </c>
      <c r="AY29" s="118">
        <v>0</v>
      </c>
      <c r="AZ29" s="118">
        <v>0</v>
      </c>
      <c r="BA29" s="118">
        <v>0</v>
      </c>
      <c r="BB29" s="118">
        <v>0</v>
      </c>
      <c r="BC29" s="118">
        <v>0</v>
      </c>
      <c r="BD29" s="118">
        <v>0</v>
      </c>
      <c r="BE29" s="118">
        <v>0</v>
      </c>
      <c r="BF29" s="118">
        <v>0</v>
      </c>
      <c r="BG29" s="118">
        <v>0</v>
      </c>
      <c r="BH29" s="118">
        <v>0</v>
      </c>
      <c r="BI29" s="118">
        <v>0</v>
      </c>
      <c r="BJ29" s="118">
        <v>0</v>
      </c>
      <c r="BK29" s="118">
        <v>0</v>
      </c>
      <c r="BL29" s="118">
        <v>0</v>
      </c>
      <c r="BM29" s="118">
        <v>0</v>
      </c>
      <c r="BN29" s="118">
        <v>0</v>
      </c>
      <c r="BO29" s="118">
        <v>0</v>
      </c>
      <c r="BP29" s="118">
        <v>0</v>
      </c>
      <c r="BQ29" s="118">
        <v>0</v>
      </c>
      <c r="BR29" s="118">
        <v>0</v>
      </c>
      <c r="BS29" s="117"/>
      <c r="BT29" s="117"/>
      <c r="BU29" s="118">
        <v>0</v>
      </c>
      <c r="BV29" s="118">
        <v>0</v>
      </c>
      <c r="BW29" s="118">
        <v>0</v>
      </c>
      <c r="BX29" s="118">
        <v>0</v>
      </c>
      <c r="BY29" s="118">
        <v>0</v>
      </c>
      <c r="BZ29" s="118">
        <v>0</v>
      </c>
      <c r="CA29" s="118">
        <v>0</v>
      </c>
      <c r="CB29" s="118">
        <v>0</v>
      </c>
      <c r="CC29" s="118">
        <v>0</v>
      </c>
      <c r="CD29" s="118">
        <v>0</v>
      </c>
      <c r="CE29" s="118">
        <v>0</v>
      </c>
      <c r="CF29" s="118">
        <v>0</v>
      </c>
      <c r="CG29" s="118">
        <v>0</v>
      </c>
      <c r="CH29" s="118">
        <v>0</v>
      </c>
      <c r="CI29" s="118">
        <v>0</v>
      </c>
      <c r="CJ29" s="118">
        <v>0</v>
      </c>
      <c r="CK29" s="118">
        <v>0</v>
      </c>
      <c r="CL29" s="118">
        <v>0</v>
      </c>
      <c r="CM29" s="118">
        <v>0</v>
      </c>
      <c r="CN29" s="118">
        <v>0</v>
      </c>
      <c r="CO29" s="118">
        <v>0</v>
      </c>
      <c r="CP29" s="118">
        <v>0</v>
      </c>
      <c r="CQ29" s="117"/>
      <c r="CR29" s="117"/>
      <c r="CS29" s="118">
        <v>0</v>
      </c>
      <c r="CT29" s="118">
        <v>0</v>
      </c>
      <c r="CU29" s="118">
        <v>0</v>
      </c>
      <c r="CV29" s="118">
        <v>0</v>
      </c>
      <c r="CW29" s="118">
        <v>0</v>
      </c>
      <c r="CX29" s="118">
        <v>0</v>
      </c>
      <c r="CY29" s="118">
        <v>0</v>
      </c>
      <c r="CZ29" s="118">
        <v>0</v>
      </c>
      <c r="DA29" s="118">
        <v>0</v>
      </c>
      <c r="DB29" s="118">
        <v>0</v>
      </c>
      <c r="DC29" s="118">
        <v>0</v>
      </c>
      <c r="DD29" s="118">
        <v>0</v>
      </c>
      <c r="DE29" s="118">
        <v>0</v>
      </c>
      <c r="DF29" s="118">
        <v>0</v>
      </c>
      <c r="DG29" s="118">
        <v>0</v>
      </c>
      <c r="DH29" s="118">
        <v>0</v>
      </c>
      <c r="DI29" s="118">
        <v>0</v>
      </c>
      <c r="DJ29" s="118">
        <v>0</v>
      </c>
      <c r="DK29" s="118">
        <v>0</v>
      </c>
      <c r="DL29" s="118">
        <v>0</v>
      </c>
      <c r="DM29" s="118">
        <v>0</v>
      </c>
      <c r="DN29" s="117"/>
      <c r="DO29" s="117"/>
      <c r="DP29" s="118">
        <v>0</v>
      </c>
      <c r="DQ29" s="118">
        <v>0</v>
      </c>
      <c r="DR29" s="118">
        <v>0</v>
      </c>
      <c r="DS29" s="118">
        <v>0</v>
      </c>
      <c r="DT29" s="118">
        <v>0</v>
      </c>
      <c r="DU29" s="118">
        <v>0</v>
      </c>
      <c r="DV29" s="118">
        <v>0</v>
      </c>
      <c r="DW29" s="118">
        <v>0</v>
      </c>
      <c r="DX29" s="118">
        <v>0</v>
      </c>
      <c r="DY29" s="118">
        <v>0</v>
      </c>
      <c r="DZ29" s="118">
        <v>0</v>
      </c>
      <c r="EA29" s="118">
        <v>0</v>
      </c>
      <c r="EB29" s="118">
        <v>0</v>
      </c>
      <c r="EC29" s="118">
        <v>0</v>
      </c>
      <c r="ED29" s="118">
        <v>0</v>
      </c>
      <c r="EE29" s="118">
        <v>0</v>
      </c>
      <c r="EF29" s="118">
        <v>0</v>
      </c>
      <c r="EG29" s="118">
        <v>0</v>
      </c>
      <c r="EH29" s="118">
        <v>0</v>
      </c>
      <c r="EI29" s="118">
        <v>0</v>
      </c>
      <c r="EJ29" s="118">
        <v>0</v>
      </c>
      <c r="EK29" s="118">
        <v>0</v>
      </c>
      <c r="EL29" s="117"/>
      <c r="EM29" s="117"/>
    </row>
    <row r="30" spans="1:143" s="3" customFormat="1" ht="25" customHeight="1">
      <c r="A30" s="121" t="s">
        <v>35</v>
      </c>
      <c r="B30" s="120"/>
      <c r="C30" s="119" t="s">
        <v>38</v>
      </c>
      <c r="D30" s="117"/>
      <c r="E30" s="118">
        <v>0</v>
      </c>
      <c r="F30" s="118">
        <v>7.2</v>
      </c>
      <c r="G30" s="118">
        <v>7.2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  <c r="N30" s="118">
        <v>0</v>
      </c>
      <c r="O30" s="118">
        <v>0</v>
      </c>
      <c r="P30" s="118">
        <v>0</v>
      </c>
      <c r="Q30" s="118">
        <v>0</v>
      </c>
      <c r="R30" s="118">
        <v>0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0</v>
      </c>
      <c r="Y30" s="117">
        <f>SUM(E30:$X$30)</f>
        <v>14.4</v>
      </c>
      <c r="Z30" s="118">
        <v>0</v>
      </c>
      <c r="AA30" s="117">
        <f t="shared" si="27"/>
        <v>14.4</v>
      </c>
      <c r="AB30" s="97"/>
      <c r="AC30" s="118">
        <v>0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8">
        <v>0</v>
      </c>
      <c r="AJ30" s="118">
        <v>0</v>
      </c>
      <c r="AK30" s="118">
        <v>0</v>
      </c>
      <c r="AL30" s="118">
        <v>0</v>
      </c>
      <c r="AM30" s="118">
        <v>0</v>
      </c>
      <c r="AN30" s="118">
        <v>0</v>
      </c>
      <c r="AO30" s="118">
        <v>0</v>
      </c>
      <c r="AP30" s="118">
        <v>0</v>
      </c>
      <c r="AQ30" s="118">
        <v>0</v>
      </c>
      <c r="AR30" s="118">
        <v>0</v>
      </c>
      <c r="AS30" s="118">
        <v>0</v>
      </c>
      <c r="AT30" s="118">
        <v>0</v>
      </c>
      <c r="AU30" s="117">
        <f>SUM($AC30:AT30)</f>
        <v>0</v>
      </c>
      <c r="AV30" s="97"/>
      <c r="AW30" s="118">
        <v>0</v>
      </c>
      <c r="AX30" s="118">
        <v>0</v>
      </c>
      <c r="AY30" s="118">
        <v>0</v>
      </c>
      <c r="AZ30" s="118">
        <v>0</v>
      </c>
      <c r="BA30" s="118">
        <v>0</v>
      </c>
      <c r="BB30" s="118">
        <v>0</v>
      </c>
      <c r="BC30" s="118">
        <v>0</v>
      </c>
      <c r="BD30" s="118">
        <v>0</v>
      </c>
      <c r="BE30" s="118">
        <v>0</v>
      </c>
      <c r="BF30" s="118">
        <v>0</v>
      </c>
      <c r="BG30" s="118">
        <v>0</v>
      </c>
      <c r="BH30" s="118">
        <v>0</v>
      </c>
      <c r="BI30" s="118">
        <v>0</v>
      </c>
      <c r="BJ30" s="118">
        <v>0</v>
      </c>
      <c r="BK30" s="118">
        <v>0</v>
      </c>
      <c r="BL30" s="118">
        <v>0</v>
      </c>
      <c r="BM30" s="118">
        <v>0</v>
      </c>
      <c r="BN30" s="118">
        <v>0</v>
      </c>
      <c r="BO30" s="118">
        <v>0</v>
      </c>
      <c r="BP30" s="118">
        <v>0</v>
      </c>
      <c r="BQ30" s="118">
        <v>0</v>
      </c>
      <c r="BR30" s="118">
        <v>0</v>
      </c>
      <c r="BS30" s="117"/>
      <c r="BT30" s="117"/>
      <c r="BU30" s="118">
        <v>0</v>
      </c>
      <c r="BV30" s="118">
        <v>0</v>
      </c>
      <c r="BW30" s="118">
        <v>0</v>
      </c>
      <c r="BX30" s="118">
        <v>0</v>
      </c>
      <c r="BY30" s="118">
        <v>0</v>
      </c>
      <c r="BZ30" s="118">
        <v>0</v>
      </c>
      <c r="CA30" s="118">
        <v>0</v>
      </c>
      <c r="CB30" s="118">
        <v>0</v>
      </c>
      <c r="CC30" s="118">
        <v>0</v>
      </c>
      <c r="CD30" s="118">
        <v>0</v>
      </c>
      <c r="CE30" s="118">
        <v>0</v>
      </c>
      <c r="CF30" s="118">
        <v>0</v>
      </c>
      <c r="CG30" s="118">
        <v>0</v>
      </c>
      <c r="CH30" s="118">
        <v>0</v>
      </c>
      <c r="CI30" s="118">
        <v>0</v>
      </c>
      <c r="CJ30" s="118">
        <v>0</v>
      </c>
      <c r="CK30" s="118">
        <v>0</v>
      </c>
      <c r="CL30" s="118">
        <v>0</v>
      </c>
      <c r="CM30" s="118">
        <v>0</v>
      </c>
      <c r="CN30" s="118">
        <v>0</v>
      </c>
      <c r="CO30" s="118">
        <v>0</v>
      </c>
      <c r="CP30" s="118">
        <v>0</v>
      </c>
      <c r="CQ30" s="117"/>
      <c r="CR30" s="117"/>
      <c r="CS30" s="118">
        <v>0</v>
      </c>
      <c r="CT30" s="118">
        <v>0</v>
      </c>
      <c r="CU30" s="118">
        <v>0</v>
      </c>
      <c r="CV30" s="118">
        <v>0</v>
      </c>
      <c r="CW30" s="118">
        <v>0</v>
      </c>
      <c r="CX30" s="118">
        <v>0</v>
      </c>
      <c r="CY30" s="118">
        <v>0</v>
      </c>
      <c r="CZ30" s="118">
        <v>0</v>
      </c>
      <c r="DA30" s="118">
        <v>0</v>
      </c>
      <c r="DB30" s="118">
        <v>0</v>
      </c>
      <c r="DC30" s="118">
        <v>0</v>
      </c>
      <c r="DD30" s="118">
        <v>0</v>
      </c>
      <c r="DE30" s="118">
        <v>0</v>
      </c>
      <c r="DF30" s="118">
        <v>0</v>
      </c>
      <c r="DG30" s="118">
        <v>0</v>
      </c>
      <c r="DH30" s="118">
        <v>0</v>
      </c>
      <c r="DI30" s="118">
        <v>0</v>
      </c>
      <c r="DJ30" s="118">
        <v>0</v>
      </c>
      <c r="DK30" s="118">
        <v>0</v>
      </c>
      <c r="DL30" s="118">
        <v>0</v>
      </c>
      <c r="DM30" s="118">
        <v>0</v>
      </c>
      <c r="DN30" s="117"/>
      <c r="DO30" s="117"/>
      <c r="DP30" s="118">
        <v>0</v>
      </c>
      <c r="DQ30" s="118">
        <v>0</v>
      </c>
      <c r="DR30" s="118">
        <v>0</v>
      </c>
      <c r="DS30" s="118">
        <v>0</v>
      </c>
      <c r="DT30" s="118">
        <v>0</v>
      </c>
      <c r="DU30" s="118">
        <v>0</v>
      </c>
      <c r="DV30" s="118">
        <v>0</v>
      </c>
      <c r="DW30" s="118">
        <v>0</v>
      </c>
      <c r="DX30" s="118">
        <v>0</v>
      </c>
      <c r="DY30" s="118">
        <v>0</v>
      </c>
      <c r="DZ30" s="118">
        <v>0</v>
      </c>
      <c r="EA30" s="118">
        <v>0</v>
      </c>
      <c r="EB30" s="118">
        <v>0</v>
      </c>
      <c r="EC30" s="118">
        <v>0</v>
      </c>
      <c r="ED30" s="118">
        <v>0</v>
      </c>
      <c r="EE30" s="118">
        <v>0</v>
      </c>
      <c r="EF30" s="118">
        <v>0</v>
      </c>
      <c r="EG30" s="118">
        <v>0</v>
      </c>
      <c r="EH30" s="118">
        <v>0</v>
      </c>
      <c r="EI30" s="118">
        <v>0</v>
      </c>
      <c r="EJ30" s="118">
        <v>0</v>
      </c>
      <c r="EK30" s="118">
        <v>0</v>
      </c>
      <c r="EL30" s="117"/>
      <c r="EM30" s="117"/>
    </row>
    <row r="31" spans="1:143" s="3" customFormat="1" ht="25" customHeight="1">
      <c r="A31" s="121" t="s">
        <v>35</v>
      </c>
      <c r="B31" s="120"/>
      <c r="C31" s="119" t="s">
        <v>37</v>
      </c>
      <c r="D31" s="117"/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  <c r="N31" s="118">
        <v>0</v>
      </c>
      <c r="O31" s="118">
        <v>0</v>
      </c>
      <c r="P31" s="118">
        <v>0</v>
      </c>
      <c r="Q31" s="118">
        <v>0</v>
      </c>
      <c r="R31" s="118">
        <v>0</v>
      </c>
      <c r="S31" s="118">
        <v>0</v>
      </c>
      <c r="T31" s="118">
        <v>0</v>
      </c>
      <c r="U31" s="118">
        <v>0</v>
      </c>
      <c r="V31" s="118">
        <v>0</v>
      </c>
      <c r="W31" s="118">
        <v>0</v>
      </c>
      <c r="X31" s="118">
        <v>0</v>
      </c>
      <c r="Y31" s="117">
        <f>SUM(E31:$X$31)</f>
        <v>0</v>
      </c>
      <c r="Z31" s="118">
        <v>0</v>
      </c>
      <c r="AA31" s="117">
        <f t="shared" si="27"/>
        <v>0</v>
      </c>
      <c r="AB31" s="97"/>
      <c r="AC31" s="118">
        <v>0</v>
      </c>
      <c r="AD31" s="118">
        <v>0</v>
      </c>
      <c r="AE31" s="118">
        <v>0</v>
      </c>
      <c r="AF31" s="118">
        <v>0</v>
      </c>
      <c r="AG31" s="118">
        <v>0</v>
      </c>
      <c r="AH31" s="118">
        <v>0</v>
      </c>
      <c r="AI31" s="118">
        <v>0</v>
      </c>
      <c r="AJ31" s="118">
        <v>0</v>
      </c>
      <c r="AK31" s="118">
        <v>0</v>
      </c>
      <c r="AL31" s="118">
        <v>0</v>
      </c>
      <c r="AM31" s="118">
        <v>0</v>
      </c>
      <c r="AN31" s="118">
        <v>0</v>
      </c>
      <c r="AO31" s="118">
        <v>0</v>
      </c>
      <c r="AP31" s="118">
        <v>0</v>
      </c>
      <c r="AQ31" s="118">
        <v>0</v>
      </c>
      <c r="AR31" s="118">
        <v>0</v>
      </c>
      <c r="AS31" s="118">
        <v>0</v>
      </c>
      <c r="AT31" s="118">
        <v>0</v>
      </c>
      <c r="AU31" s="117">
        <f>SUM($AC31:AT31)</f>
        <v>0</v>
      </c>
      <c r="AV31" s="97"/>
      <c r="AW31" s="118">
        <v>0</v>
      </c>
      <c r="AX31" s="118">
        <v>0</v>
      </c>
      <c r="AY31" s="118">
        <v>0</v>
      </c>
      <c r="AZ31" s="118">
        <v>0</v>
      </c>
      <c r="BA31" s="118">
        <v>0</v>
      </c>
      <c r="BB31" s="118">
        <v>0</v>
      </c>
      <c r="BC31" s="118">
        <v>0</v>
      </c>
      <c r="BD31" s="118">
        <v>0</v>
      </c>
      <c r="BE31" s="118">
        <v>0</v>
      </c>
      <c r="BF31" s="118">
        <v>0</v>
      </c>
      <c r="BG31" s="118">
        <v>0</v>
      </c>
      <c r="BH31" s="118">
        <v>0</v>
      </c>
      <c r="BI31" s="118">
        <v>0</v>
      </c>
      <c r="BJ31" s="118">
        <v>0</v>
      </c>
      <c r="BK31" s="118">
        <v>0</v>
      </c>
      <c r="BL31" s="118">
        <v>0</v>
      </c>
      <c r="BM31" s="118">
        <v>0</v>
      </c>
      <c r="BN31" s="118">
        <v>0</v>
      </c>
      <c r="BO31" s="118">
        <v>0</v>
      </c>
      <c r="BP31" s="118">
        <v>0</v>
      </c>
      <c r="BQ31" s="118">
        <v>0</v>
      </c>
      <c r="BR31" s="118">
        <v>0</v>
      </c>
      <c r="BS31" s="117"/>
      <c r="BT31" s="117"/>
      <c r="BU31" s="118">
        <v>0</v>
      </c>
      <c r="BV31" s="118">
        <v>0</v>
      </c>
      <c r="BW31" s="118">
        <v>0</v>
      </c>
      <c r="BX31" s="118">
        <v>0</v>
      </c>
      <c r="BY31" s="118">
        <v>0</v>
      </c>
      <c r="BZ31" s="118">
        <v>0</v>
      </c>
      <c r="CA31" s="118">
        <v>0</v>
      </c>
      <c r="CB31" s="118">
        <v>0</v>
      </c>
      <c r="CC31" s="118">
        <v>0</v>
      </c>
      <c r="CD31" s="118">
        <v>0</v>
      </c>
      <c r="CE31" s="118">
        <v>0</v>
      </c>
      <c r="CF31" s="118">
        <v>0</v>
      </c>
      <c r="CG31" s="118">
        <v>0</v>
      </c>
      <c r="CH31" s="118">
        <v>0</v>
      </c>
      <c r="CI31" s="118">
        <v>0</v>
      </c>
      <c r="CJ31" s="118">
        <v>0</v>
      </c>
      <c r="CK31" s="118">
        <v>0</v>
      </c>
      <c r="CL31" s="118">
        <v>0</v>
      </c>
      <c r="CM31" s="118">
        <v>0</v>
      </c>
      <c r="CN31" s="118">
        <v>0</v>
      </c>
      <c r="CO31" s="118">
        <v>0</v>
      </c>
      <c r="CP31" s="118">
        <v>0</v>
      </c>
      <c r="CQ31" s="117"/>
      <c r="CR31" s="117"/>
      <c r="CS31" s="118">
        <v>0</v>
      </c>
      <c r="CT31" s="118">
        <v>0</v>
      </c>
      <c r="CU31" s="118">
        <v>0</v>
      </c>
      <c r="CV31" s="118">
        <v>0</v>
      </c>
      <c r="CW31" s="118">
        <v>0</v>
      </c>
      <c r="CX31" s="118">
        <v>0</v>
      </c>
      <c r="CY31" s="118">
        <v>0</v>
      </c>
      <c r="CZ31" s="118">
        <v>0</v>
      </c>
      <c r="DA31" s="118">
        <v>0</v>
      </c>
      <c r="DB31" s="118">
        <v>0</v>
      </c>
      <c r="DC31" s="118">
        <v>0</v>
      </c>
      <c r="DD31" s="118">
        <v>0</v>
      </c>
      <c r="DE31" s="118">
        <v>0</v>
      </c>
      <c r="DF31" s="118">
        <v>0</v>
      </c>
      <c r="DG31" s="118">
        <v>0</v>
      </c>
      <c r="DH31" s="118">
        <v>0</v>
      </c>
      <c r="DI31" s="118">
        <v>0</v>
      </c>
      <c r="DJ31" s="118">
        <v>0</v>
      </c>
      <c r="DK31" s="118">
        <v>0</v>
      </c>
      <c r="DL31" s="118">
        <v>0</v>
      </c>
      <c r="DM31" s="118">
        <v>0</v>
      </c>
      <c r="DN31" s="117"/>
      <c r="DO31" s="117"/>
      <c r="DP31" s="118">
        <v>0</v>
      </c>
      <c r="DQ31" s="118">
        <v>0</v>
      </c>
      <c r="DR31" s="118">
        <v>0</v>
      </c>
      <c r="DS31" s="118">
        <v>0</v>
      </c>
      <c r="DT31" s="118">
        <v>0</v>
      </c>
      <c r="DU31" s="118">
        <v>0</v>
      </c>
      <c r="DV31" s="118">
        <v>0</v>
      </c>
      <c r="DW31" s="118">
        <v>0</v>
      </c>
      <c r="DX31" s="118">
        <v>0</v>
      </c>
      <c r="DY31" s="118">
        <v>0</v>
      </c>
      <c r="DZ31" s="118">
        <v>0</v>
      </c>
      <c r="EA31" s="118">
        <v>0</v>
      </c>
      <c r="EB31" s="118">
        <v>0</v>
      </c>
      <c r="EC31" s="118">
        <v>0</v>
      </c>
      <c r="ED31" s="118">
        <v>0</v>
      </c>
      <c r="EE31" s="118">
        <v>0</v>
      </c>
      <c r="EF31" s="118">
        <v>0</v>
      </c>
      <c r="EG31" s="118">
        <v>0</v>
      </c>
      <c r="EH31" s="118">
        <v>0</v>
      </c>
      <c r="EI31" s="118">
        <v>0</v>
      </c>
      <c r="EJ31" s="118">
        <v>0</v>
      </c>
      <c r="EK31" s="118">
        <v>0</v>
      </c>
      <c r="EL31" s="117"/>
      <c r="EM31" s="117"/>
    </row>
    <row r="32" spans="1:143" s="3" customFormat="1" ht="25" customHeight="1">
      <c r="A32" s="121" t="s">
        <v>35</v>
      </c>
      <c r="B32" s="120"/>
      <c r="C32" s="119" t="s">
        <v>36</v>
      </c>
      <c r="D32" s="117"/>
      <c r="E32" s="118">
        <v>11067.52</v>
      </c>
      <c r="F32" s="118">
        <v>0</v>
      </c>
      <c r="G32" s="118">
        <f>3274+2700</f>
        <v>5974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  <c r="N32" s="118">
        <v>0</v>
      </c>
      <c r="O32" s="118">
        <v>3100</v>
      </c>
      <c r="P32" s="118">
        <v>0</v>
      </c>
      <c r="Q32" s="118">
        <v>0</v>
      </c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7">
        <f>SUM(E32:$X$32)</f>
        <v>20141.52</v>
      </c>
      <c r="Z32" s="118">
        <v>0</v>
      </c>
      <c r="AA32" s="117">
        <f t="shared" si="27"/>
        <v>20141.52</v>
      </c>
      <c r="AB32" s="97"/>
      <c r="AC32" s="118">
        <v>0</v>
      </c>
      <c r="AD32" s="118">
        <v>4477.67</v>
      </c>
      <c r="AE32" s="118">
        <v>0</v>
      </c>
      <c r="AF32" s="118">
        <v>0</v>
      </c>
      <c r="AG32" s="118">
        <v>0</v>
      </c>
      <c r="AH32" s="118">
        <v>0</v>
      </c>
      <c r="AI32" s="118">
        <v>4004.71</v>
      </c>
      <c r="AJ32" s="118">
        <v>0</v>
      </c>
      <c r="AK32" s="118">
        <v>0</v>
      </c>
      <c r="AL32" s="118">
        <v>0</v>
      </c>
      <c r="AM32" s="118">
        <v>0</v>
      </c>
      <c r="AN32" s="118">
        <v>0</v>
      </c>
      <c r="AO32" s="118">
        <v>0</v>
      </c>
      <c r="AP32" s="118">
        <v>0</v>
      </c>
      <c r="AQ32" s="118">
        <v>1900</v>
      </c>
      <c r="AR32" s="118">
        <v>0</v>
      </c>
      <c r="AS32" s="118">
        <v>0</v>
      </c>
      <c r="AT32" s="118">
        <v>0</v>
      </c>
      <c r="AU32" s="117">
        <f>SUM($AC32:AT32)</f>
        <v>10382.380000000001</v>
      </c>
      <c r="AV32" s="97"/>
      <c r="AW32" s="118">
        <v>0</v>
      </c>
      <c r="AX32" s="118">
        <v>0</v>
      </c>
      <c r="AY32" s="118">
        <v>0</v>
      </c>
      <c r="AZ32" s="118">
        <v>0</v>
      </c>
      <c r="BA32" s="118">
        <v>0</v>
      </c>
      <c r="BB32" s="118">
        <v>0</v>
      </c>
      <c r="BC32" s="118">
        <v>0</v>
      </c>
      <c r="BD32" s="118">
        <v>0</v>
      </c>
      <c r="BE32" s="118">
        <v>0</v>
      </c>
      <c r="BF32" s="118">
        <v>0</v>
      </c>
      <c r="BG32" s="118">
        <v>0</v>
      </c>
      <c r="BH32" s="118">
        <v>0</v>
      </c>
      <c r="BI32" s="118">
        <v>0</v>
      </c>
      <c r="BJ32" s="118">
        <v>0</v>
      </c>
      <c r="BK32" s="118">
        <v>0</v>
      </c>
      <c r="BL32" s="118">
        <v>0</v>
      </c>
      <c r="BM32" s="118">
        <v>0</v>
      </c>
      <c r="BN32" s="118">
        <v>0</v>
      </c>
      <c r="BO32" s="118">
        <v>0</v>
      </c>
      <c r="BP32" s="118">
        <v>0</v>
      </c>
      <c r="BQ32" s="118">
        <v>0</v>
      </c>
      <c r="BR32" s="118">
        <v>0</v>
      </c>
      <c r="BS32" s="117"/>
      <c r="BT32" s="117"/>
      <c r="BU32" s="118">
        <v>0</v>
      </c>
      <c r="BV32" s="118">
        <v>0</v>
      </c>
      <c r="BW32" s="118">
        <v>0</v>
      </c>
      <c r="BX32" s="118">
        <v>0</v>
      </c>
      <c r="BY32" s="118">
        <v>0</v>
      </c>
      <c r="BZ32" s="118">
        <v>0</v>
      </c>
      <c r="CA32" s="118">
        <v>0</v>
      </c>
      <c r="CB32" s="118">
        <v>0</v>
      </c>
      <c r="CC32" s="118">
        <v>0</v>
      </c>
      <c r="CD32" s="118">
        <v>0</v>
      </c>
      <c r="CE32" s="118">
        <v>0</v>
      </c>
      <c r="CF32" s="118">
        <v>0</v>
      </c>
      <c r="CG32" s="118">
        <v>0</v>
      </c>
      <c r="CH32" s="118">
        <v>0</v>
      </c>
      <c r="CI32" s="118">
        <v>0</v>
      </c>
      <c r="CJ32" s="118">
        <v>0</v>
      </c>
      <c r="CK32" s="118">
        <v>0</v>
      </c>
      <c r="CL32" s="118">
        <v>0</v>
      </c>
      <c r="CM32" s="118">
        <v>0</v>
      </c>
      <c r="CN32" s="118">
        <v>0</v>
      </c>
      <c r="CO32" s="118">
        <v>0</v>
      </c>
      <c r="CP32" s="118">
        <v>0</v>
      </c>
      <c r="CQ32" s="117"/>
      <c r="CR32" s="117"/>
      <c r="CS32" s="118">
        <v>0</v>
      </c>
      <c r="CT32" s="118">
        <v>0</v>
      </c>
      <c r="CU32" s="118">
        <v>0</v>
      </c>
      <c r="CV32" s="118">
        <v>0</v>
      </c>
      <c r="CW32" s="118">
        <v>0</v>
      </c>
      <c r="CX32" s="118">
        <v>0</v>
      </c>
      <c r="CY32" s="118">
        <v>0</v>
      </c>
      <c r="CZ32" s="118">
        <v>0</v>
      </c>
      <c r="DA32" s="118">
        <v>0</v>
      </c>
      <c r="DB32" s="118">
        <v>0</v>
      </c>
      <c r="DC32" s="118">
        <v>0</v>
      </c>
      <c r="DD32" s="118">
        <v>0</v>
      </c>
      <c r="DE32" s="118">
        <v>0</v>
      </c>
      <c r="DF32" s="118">
        <v>0</v>
      </c>
      <c r="DG32" s="118">
        <v>0</v>
      </c>
      <c r="DH32" s="118">
        <v>0</v>
      </c>
      <c r="DI32" s="118">
        <v>0</v>
      </c>
      <c r="DJ32" s="118">
        <v>0</v>
      </c>
      <c r="DK32" s="118">
        <v>0</v>
      </c>
      <c r="DL32" s="118">
        <v>0</v>
      </c>
      <c r="DM32" s="118">
        <v>0</v>
      </c>
      <c r="DN32" s="117"/>
      <c r="DO32" s="117"/>
      <c r="DP32" s="118">
        <v>0</v>
      </c>
      <c r="DQ32" s="118">
        <v>0</v>
      </c>
      <c r="DR32" s="118">
        <v>0</v>
      </c>
      <c r="DS32" s="118">
        <v>0</v>
      </c>
      <c r="DT32" s="118">
        <v>0</v>
      </c>
      <c r="DU32" s="118">
        <v>0</v>
      </c>
      <c r="DV32" s="118">
        <v>0</v>
      </c>
      <c r="DW32" s="118">
        <v>0</v>
      </c>
      <c r="DX32" s="118">
        <v>0</v>
      </c>
      <c r="DY32" s="118">
        <v>0</v>
      </c>
      <c r="DZ32" s="118">
        <v>0</v>
      </c>
      <c r="EA32" s="118">
        <v>0</v>
      </c>
      <c r="EB32" s="118">
        <v>0</v>
      </c>
      <c r="EC32" s="118">
        <v>0</v>
      </c>
      <c r="ED32" s="118">
        <v>0</v>
      </c>
      <c r="EE32" s="118">
        <v>0</v>
      </c>
      <c r="EF32" s="118">
        <v>0</v>
      </c>
      <c r="EG32" s="118">
        <v>0</v>
      </c>
      <c r="EH32" s="118">
        <v>0</v>
      </c>
      <c r="EI32" s="118">
        <v>0</v>
      </c>
      <c r="EJ32" s="118">
        <v>0</v>
      </c>
      <c r="EK32" s="118">
        <v>0</v>
      </c>
      <c r="EL32" s="117"/>
      <c r="EM32" s="117"/>
    </row>
    <row r="33" spans="1:143" s="3" customFormat="1" ht="25" customHeight="1">
      <c r="A33" s="121" t="s">
        <v>35</v>
      </c>
      <c r="B33" s="120"/>
      <c r="C33" s="119" t="s">
        <v>34</v>
      </c>
      <c r="D33" s="117"/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1089.04</v>
      </c>
      <c r="K33" s="118">
        <v>0</v>
      </c>
      <c r="L33" s="118">
        <v>0</v>
      </c>
      <c r="M33" s="118">
        <v>15000</v>
      </c>
      <c r="N33" s="118">
        <v>0</v>
      </c>
      <c r="O33" s="118">
        <v>0</v>
      </c>
      <c r="P33" s="118">
        <v>0</v>
      </c>
      <c r="Q33" s="118">
        <v>0</v>
      </c>
      <c r="R33" s="118">
        <v>0</v>
      </c>
      <c r="S33" s="118">
        <v>31.35</v>
      </c>
      <c r="T33" s="118">
        <v>0</v>
      </c>
      <c r="U33" s="118">
        <v>0</v>
      </c>
      <c r="V33" s="118">
        <v>0</v>
      </c>
      <c r="W33" s="118">
        <v>0</v>
      </c>
      <c r="X33" s="118">
        <v>2800</v>
      </c>
      <c r="Y33" s="117">
        <f>SUM(E33:$X$33)</f>
        <v>18920.39</v>
      </c>
      <c r="Z33" s="118">
        <v>0</v>
      </c>
      <c r="AA33" s="117">
        <f t="shared" si="27"/>
        <v>18920.39</v>
      </c>
      <c r="AB33" s="97"/>
      <c r="AC33" s="118">
        <v>0</v>
      </c>
      <c r="AD33" s="118">
        <v>0</v>
      </c>
      <c r="AE33" s="118">
        <v>0</v>
      </c>
      <c r="AF33" s="118">
        <v>0</v>
      </c>
      <c r="AG33" s="118">
        <v>0</v>
      </c>
      <c r="AH33" s="118">
        <v>0</v>
      </c>
      <c r="AI33" s="118">
        <v>0</v>
      </c>
      <c r="AJ33" s="118">
        <v>0</v>
      </c>
      <c r="AK33" s="118">
        <v>0</v>
      </c>
      <c r="AL33" s="118">
        <v>978700</v>
      </c>
      <c r="AM33" s="118">
        <v>710</v>
      </c>
      <c r="AN33" s="118">
        <v>0</v>
      </c>
      <c r="AO33" s="118">
        <f>900+0.01</f>
        <v>900.01</v>
      </c>
      <c r="AP33" s="118">
        <v>0</v>
      </c>
      <c r="AQ33" s="118">
        <v>0</v>
      </c>
      <c r="AR33" s="118">
        <v>0</v>
      </c>
      <c r="AS33" s="118">
        <v>0</v>
      </c>
      <c r="AT33" s="118">
        <v>14313.96</v>
      </c>
      <c r="AU33" s="117">
        <f>SUM($AC33:AT33)</f>
        <v>994623.97</v>
      </c>
      <c r="AV33" s="97"/>
      <c r="AW33" s="118">
        <v>0</v>
      </c>
      <c r="AX33" s="118">
        <v>0</v>
      </c>
      <c r="AY33" s="118">
        <v>0</v>
      </c>
      <c r="AZ33" s="118">
        <v>0</v>
      </c>
      <c r="BA33" s="118">
        <v>0</v>
      </c>
      <c r="BB33" s="118">
        <v>0</v>
      </c>
      <c r="BC33" s="118">
        <v>0</v>
      </c>
      <c r="BD33" s="118">
        <v>0</v>
      </c>
      <c r="BE33" s="118">
        <v>0</v>
      </c>
      <c r="BF33" s="118">
        <v>0</v>
      </c>
      <c r="BG33" s="118">
        <v>0</v>
      </c>
      <c r="BH33" s="118">
        <v>0</v>
      </c>
      <c r="BI33" s="118">
        <v>0</v>
      </c>
      <c r="BJ33" s="118">
        <v>0</v>
      </c>
      <c r="BK33" s="118">
        <v>0</v>
      </c>
      <c r="BL33" s="118">
        <v>0</v>
      </c>
      <c r="BM33" s="118">
        <v>0</v>
      </c>
      <c r="BN33" s="118">
        <v>0</v>
      </c>
      <c r="BO33" s="118">
        <v>0</v>
      </c>
      <c r="BP33" s="118">
        <v>0</v>
      </c>
      <c r="BQ33" s="118">
        <v>0</v>
      </c>
      <c r="BR33" s="118">
        <v>0</v>
      </c>
      <c r="BS33" s="117"/>
      <c r="BT33" s="117"/>
      <c r="BU33" s="118">
        <v>0</v>
      </c>
      <c r="BV33" s="118">
        <v>0</v>
      </c>
      <c r="BW33" s="118">
        <v>0</v>
      </c>
      <c r="BX33" s="118">
        <v>0</v>
      </c>
      <c r="BY33" s="118">
        <v>0</v>
      </c>
      <c r="BZ33" s="118">
        <v>0</v>
      </c>
      <c r="CA33" s="118">
        <v>0</v>
      </c>
      <c r="CB33" s="118">
        <v>0</v>
      </c>
      <c r="CC33" s="118">
        <v>0</v>
      </c>
      <c r="CD33" s="118">
        <v>0</v>
      </c>
      <c r="CE33" s="118">
        <v>0</v>
      </c>
      <c r="CF33" s="118">
        <v>0</v>
      </c>
      <c r="CG33" s="118">
        <v>0</v>
      </c>
      <c r="CH33" s="118">
        <v>0</v>
      </c>
      <c r="CI33" s="118">
        <v>0</v>
      </c>
      <c r="CJ33" s="118">
        <v>0</v>
      </c>
      <c r="CK33" s="118">
        <v>0</v>
      </c>
      <c r="CL33" s="118">
        <v>0</v>
      </c>
      <c r="CM33" s="118">
        <v>0</v>
      </c>
      <c r="CN33" s="118">
        <v>0</v>
      </c>
      <c r="CO33" s="118">
        <v>0</v>
      </c>
      <c r="CP33" s="118">
        <v>0</v>
      </c>
      <c r="CQ33" s="117"/>
      <c r="CR33" s="117"/>
      <c r="CS33" s="118">
        <v>0</v>
      </c>
      <c r="CT33" s="118">
        <v>0</v>
      </c>
      <c r="CU33" s="118">
        <v>0</v>
      </c>
      <c r="CV33" s="118">
        <v>0</v>
      </c>
      <c r="CW33" s="118">
        <v>0</v>
      </c>
      <c r="CX33" s="118">
        <v>0</v>
      </c>
      <c r="CY33" s="118">
        <v>0</v>
      </c>
      <c r="CZ33" s="118">
        <v>0</v>
      </c>
      <c r="DA33" s="118">
        <v>0</v>
      </c>
      <c r="DB33" s="118">
        <v>0</v>
      </c>
      <c r="DC33" s="118">
        <v>0</v>
      </c>
      <c r="DD33" s="118">
        <v>0</v>
      </c>
      <c r="DE33" s="118">
        <v>0</v>
      </c>
      <c r="DF33" s="118">
        <v>0</v>
      </c>
      <c r="DG33" s="118">
        <v>0</v>
      </c>
      <c r="DH33" s="118">
        <v>0</v>
      </c>
      <c r="DI33" s="118">
        <v>0</v>
      </c>
      <c r="DJ33" s="118">
        <v>0</v>
      </c>
      <c r="DK33" s="118">
        <v>0</v>
      </c>
      <c r="DL33" s="118">
        <v>0</v>
      </c>
      <c r="DM33" s="118">
        <v>0</v>
      </c>
      <c r="DN33" s="117"/>
      <c r="DO33" s="117"/>
      <c r="DP33" s="118">
        <v>0</v>
      </c>
      <c r="DQ33" s="118">
        <v>0</v>
      </c>
      <c r="DR33" s="118">
        <v>0</v>
      </c>
      <c r="DS33" s="118">
        <v>0</v>
      </c>
      <c r="DT33" s="118">
        <v>0</v>
      </c>
      <c r="DU33" s="118">
        <v>0</v>
      </c>
      <c r="DV33" s="118">
        <v>0</v>
      </c>
      <c r="DW33" s="118">
        <v>0</v>
      </c>
      <c r="DX33" s="118">
        <v>0</v>
      </c>
      <c r="DY33" s="118">
        <v>0</v>
      </c>
      <c r="DZ33" s="118">
        <v>0</v>
      </c>
      <c r="EA33" s="118">
        <v>0</v>
      </c>
      <c r="EB33" s="118">
        <v>0</v>
      </c>
      <c r="EC33" s="118">
        <v>0</v>
      </c>
      <c r="ED33" s="118">
        <v>0</v>
      </c>
      <c r="EE33" s="118">
        <v>0</v>
      </c>
      <c r="EF33" s="118">
        <v>0</v>
      </c>
      <c r="EG33" s="118">
        <v>0</v>
      </c>
      <c r="EH33" s="118">
        <v>0</v>
      </c>
      <c r="EI33" s="118">
        <v>0</v>
      </c>
      <c r="EJ33" s="118">
        <v>0</v>
      </c>
      <c r="EK33" s="118">
        <v>0</v>
      </c>
      <c r="EL33" s="117"/>
      <c r="EM33" s="117"/>
    </row>
    <row r="34" spans="1:143" s="3" customFormat="1" ht="25" customHeight="1">
      <c r="A34" s="15"/>
      <c r="B34" s="5"/>
      <c r="C34" s="56" t="s">
        <v>33</v>
      </c>
      <c r="D34" s="55"/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5">
        <f>SUM(E34:$X$34)</f>
        <v>0</v>
      </c>
      <c r="Z34" s="52">
        <v>0</v>
      </c>
      <c r="AA34" s="55">
        <f t="shared" si="27"/>
        <v>0</v>
      </c>
      <c r="AB34" s="97"/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5">
        <f>SUM($AC34:AT34)</f>
        <v>0</v>
      </c>
      <c r="AV34" s="97"/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5"/>
      <c r="BT34" s="55"/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0</v>
      </c>
      <c r="CN34" s="52">
        <v>0</v>
      </c>
      <c r="CO34" s="52">
        <v>0</v>
      </c>
      <c r="CP34" s="52">
        <v>0</v>
      </c>
      <c r="CQ34" s="55"/>
      <c r="CR34" s="55"/>
      <c r="CS34" s="52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5"/>
      <c r="DO34" s="55"/>
      <c r="DP34" s="52">
        <v>0</v>
      </c>
      <c r="DQ34" s="52">
        <v>0</v>
      </c>
      <c r="DR34" s="52">
        <v>0</v>
      </c>
      <c r="DS34" s="52">
        <v>0</v>
      </c>
      <c r="DT34" s="52">
        <v>0</v>
      </c>
      <c r="DU34" s="52">
        <v>0</v>
      </c>
      <c r="DV34" s="52">
        <v>0</v>
      </c>
      <c r="DW34" s="52">
        <v>0</v>
      </c>
      <c r="DX34" s="52">
        <v>0</v>
      </c>
      <c r="DY34" s="52">
        <v>0</v>
      </c>
      <c r="DZ34" s="52">
        <v>0</v>
      </c>
      <c r="EA34" s="52">
        <v>0</v>
      </c>
      <c r="EB34" s="52">
        <v>0</v>
      </c>
      <c r="EC34" s="52">
        <v>0</v>
      </c>
      <c r="ED34" s="52">
        <v>0</v>
      </c>
      <c r="EE34" s="52">
        <v>0</v>
      </c>
      <c r="EF34" s="52">
        <v>0</v>
      </c>
      <c r="EG34" s="52">
        <v>0</v>
      </c>
      <c r="EH34" s="52">
        <v>0</v>
      </c>
      <c r="EI34" s="52">
        <v>0</v>
      </c>
      <c r="EJ34" s="52">
        <v>0</v>
      </c>
      <c r="EK34" s="52">
        <v>0</v>
      </c>
      <c r="EL34" s="55"/>
      <c r="EM34" s="55"/>
    </row>
    <row r="35" spans="1:143" s="3" customFormat="1" ht="25" customHeight="1" thickBot="1">
      <c r="A35" s="15"/>
      <c r="B35" s="5"/>
      <c r="C35" s="51" t="s">
        <v>32</v>
      </c>
      <c r="D35" s="50"/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2126836.52</v>
      </c>
      <c r="U35" s="48">
        <v>0</v>
      </c>
      <c r="V35" s="48">
        <v>0</v>
      </c>
      <c r="W35" s="48">
        <v>0</v>
      </c>
      <c r="X35" s="48">
        <f>5545087.27+807170.46</f>
        <v>6352257.7299999995</v>
      </c>
      <c r="Y35" s="50">
        <f>SUM(E35:$X$35)</f>
        <v>8479094.25</v>
      </c>
      <c r="Z35" s="48">
        <v>2000000</v>
      </c>
      <c r="AA35" s="50">
        <f t="shared" si="27"/>
        <v>10479094.25</v>
      </c>
      <c r="AB35" s="96">
        <f>42247159-AA35</f>
        <v>31768064.75</v>
      </c>
      <c r="AC35" s="48">
        <v>0</v>
      </c>
      <c r="AD35" s="48">
        <v>0</v>
      </c>
      <c r="AE35" s="48">
        <v>5000000</v>
      </c>
      <c r="AF35" s="48">
        <v>3000000</v>
      </c>
      <c r="AG35" s="48">
        <v>5000000</v>
      </c>
      <c r="AH35" s="48">
        <v>8000000</v>
      </c>
      <c r="AI35" s="48">
        <v>0</v>
      </c>
      <c r="AJ35" s="48">
        <v>0</v>
      </c>
      <c r="AK35" s="48">
        <v>4000000</v>
      </c>
      <c r="AL35" s="48">
        <v>0</v>
      </c>
      <c r="AM35" s="48">
        <v>0</v>
      </c>
      <c r="AN35" s="48">
        <v>0</v>
      </c>
      <c r="AO35" s="48">
        <v>5800000</v>
      </c>
      <c r="AP35" s="48">
        <v>0</v>
      </c>
      <c r="AQ35" s="48">
        <v>0</v>
      </c>
      <c r="AR35" s="48">
        <v>3800000</v>
      </c>
      <c r="AS35" s="48">
        <v>3000000</v>
      </c>
      <c r="AT35" s="48">
        <v>0</v>
      </c>
      <c r="AU35" s="50">
        <f>SUM($AC35:AT35)</f>
        <v>37600000</v>
      </c>
      <c r="AV35" s="96" t="e">
        <f>39463460-#REF!</f>
        <v>#REF!</v>
      </c>
      <c r="AW35" s="48">
        <v>0</v>
      </c>
      <c r="AX35" s="48">
        <v>0</v>
      </c>
      <c r="AY35" s="48">
        <v>0</v>
      </c>
      <c r="AZ35" s="48">
        <v>0</v>
      </c>
      <c r="BA35" s="48">
        <v>0</v>
      </c>
      <c r="BB35" s="48">
        <v>0</v>
      </c>
      <c r="BC35" s="48">
        <v>0</v>
      </c>
      <c r="BD35" s="48">
        <v>0</v>
      </c>
      <c r="BE35" s="48">
        <v>0</v>
      </c>
      <c r="BF35" s="48">
        <v>0</v>
      </c>
      <c r="BG35" s="48">
        <v>0</v>
      </c>
      <c r="BH35" s="48">
        <v>0</v>
      </c>
      <c r="BI35" s="48">
        <v>0</v>
      </c>
      <c r="BJ35" s="48">
        <v>0</v>
      </c>
      <c r="BK35" s="48">
        <v>0</v>
      </c>
      <c r="BL35" s="48">
        <v>0</v>
      </c>
      <c r="BM35" s="48">
        <v>0</v>
      </c>
      <c r="BN35" s="48">
        <v>0</v>
      </c>
      <c r="BO35" s="48">
        <v>0</v>
      </c>
      <c r="BP35" s="48">
        <v>0</v>
      </c>
      <c r="BQ35" s="48">
        <v>0</v>
      </c>
      <c r="BR35" s="48">
        <v>0</v>
      </c>
      <c r="BS35" s="50"/>
      <c r="BT35" s="50"/>
      <c r="BU35" s="48">
        <v>0</v>
      </c>
      <c r="BV35" s="48">
        <v>0</v>
      </c>
      <c r="BW35" s="48">
        <v>0</v>
      </c>
      <c r="BX35" s="48">
        <v>0</v>
      </c>
      <c r="BY35" s="48">
        <v>0</v>
      </c>
      <c r="BZ35" s="48">
        <v>0</v>
      </c>
      <c r="CA35" s="48">
        <v>0</v>
      </c>
      <c r="CB35" s="48">
        <v>0</v>
      </c>
      <c r="CC35" s="48">
        <v>0</v>
      </c>
      <c r="CD35" s="48">
        <v>0</v>
      </c>
      <c r="CE35" s="48">
        <v>0</v>
      </c>
      <c r="CF35" s="48">
        <v>0</v>
      </c>
      <c r="CG35" s="48">
        <v>0</v>
      </c>
      <c r="CH35" s="48">
        <v>0</v>
      </c>
      <c r="CI35" s="48">
        <v>0</v>
      </c>
      <c r="CJ35" s="48">
        <v>0</v>
      </c>
      <c r="CK35" s="48">
        <v>0</v>
      </c>
      <c r="CL35" s="48">
        <v>0</v>
      </c>
      <c r="CM35" s="48">
        <v>0</v>
      </c>
      <c r="CN35" s="48">
        <v>0</v>
      </c>
      <c r="CO35" s="48">
        <v>0</v>
      </c>
      <c r="CP35" s="48">
        <v>0</v>
      </c>
      <c r="CQ35" s="50"/>
      <c r="CR35" s="50"/>
      <c r="CS35" s="48">
        <v>0</v>
      </c>
      <c r="CT35" s="48">
        <v>0</v>
      </c>
      <c r="CU35" s="48">
        <v>0</v>
      </c>
      <c r="CV35" s="48">
        <v>0</v>
      </c>
      <c r="CW35" s="48">
        <v>0</v>
      </c>
      <c r="CX35" s="48">
        <v>0</v>
      </c>
      <c r="CY35" s="48">
        <v>0</v>
      </c>
      <c r="CZ35" s="48">
        <v>0</v>
      </c>
      <c r="DA35" s="48">
        <v>0</v>
      </c>
      <c r="DB35" s="48">
        <v>0</v>
      </c>
      <c r="DC35" s="48">
        <v>0</v>
      </c>
      <c r="DD35" s="48">
        <v>0</v>
      </c>
      <c r="DE35" s="48">
        <v>0</v>
      </c>
      <c r="DF35" s="48">
        <v>0</v>
      </c>
      <c r="DG35" s="48">
        <v>0</v>
      </c>
      <c r="DH35" s="48">
        <v>0</v>
      </c>
      <c r="DI35" s="48">
        <v>0</v>
      </c>
      <c r="DJ35" s="48">
        <v>0</v>
      </c>
      <c r="DK35" s="48">
        <v>0</v>
      </c>
      <c r="DL35" s="48">
        <v>0</v>
      </c>
      <c r="DM35" s="48">
        <v>0</v>
      </c>
      <c r="DN35" s="50"/>
      <c r="DO35" s="50"/>
      <c r="DP35" s="48">
        <v>0</v>
      </c>
      <c r="DQ35" s="48">
        <v>0</v>
      </c>
      <c r="DR35" s="48">
        <v>0</v>
      </c>
      <c r="DS35" s="48">
        <v>0</v>
      </c>
      <c r="DT35" s="48">
        <v>0</v>
      </c>
      <c r="DU35" s="48">
        <v>0</v>
      </c>
      <c r="DV35" s="48">
        <v>0</v>
      </c>
      <c r="DW35" s="48">
        <v>0</v>
      </c>
      <c r="DX35" s="48">
        <v>0</v>
      </c>
      <c r="DY35" s="48">
        <v>0</v>
      </c>
      <c r="DZ35" s="48">
        <v>0</v>
      </c>
      <c r="EA35" s="48">
        <v>0</v>
      </c>
      <c r="EB35" s="48">
        <v>0</v>
      </c>
      <c r="EC35" s="48">
        <v>0</v>
      </c>
      <c r="ED35" s="48">
        <v>0</v>
      </c>
      <c r="EE35" s="48">
        <v>0</v>
      </c>
      <c r="EF35" s="48">
        <v>0</v>
      </c>
      <c r="EG35" s="48">
        <v>0</v>
      </c>
      <c r="EH35" s="48">
        <v>0</v>
      </c>
      <c r="EI35" s="48">
        <v>0</v>
      </c>
      <c r="EJ35" s="48">
        <v>0</v>
      </c>
      <c r="EK35" s="48">
        <v>0</v>
      </c>
      <c r="EL35" s="50"/>
      <c r="EM35" s="50"/>
    </row>
    <row r="36" spans="1:143" s="112" customFormat="1" ht="25" customHeight="1" thickBot="1">
      <c r="A36" s="116"/>
      <c r="B36" s="115"/>
      <c r="C36" s="114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</row>
    <row r="37" spans="1:143" s="3" customFormat="1" ht="25" customHeight="1" thickBot="1">
      <c r="A37" s="15"/>
      <c r="B37" s="5"/>
      <c r="C37" s="111" t="s">
        <v>31</v>
      </c>
      <c r="D37" s="110">
        <f>-4899999.68+4899999+1</f>
        <v>0.32000000029802322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900000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7">
        <v>0</v>
      </c>
      <c r="Y37" s="109">
        <f>+D37+SUM(E37:$X$37)</f>
        <v>900000.3200000003</v>
      </c>
      <c r="Z37" s="107">
        <v>0</v>
      </c>
      <c r="AA37" s="109">
        <f>+D37+SUM(E37:Z37)-Y37</f>
        <v>900000.3200000003</v>
      </c>
      <c r="AB37" s="108">
        <v>0</v>
      </c>
      <c r="AC37" s="107">
        <v>0</v>
      </c>
      <c r="AD37" s="107">
        <v>0</v>
      </c>
      <c r="AE37" s="107">
        <v>0</v>
      </c>
      <c r="AF37" s="107">
        <v>0</v>
      </c>
      <c r="AG37" s="107">
        <v>0</v>
      </c>
      <c r="AH37" s="107">
        <v>0</v>
      </c>
      <c r="AI37" s="107">
        <v>0</v>
      </c>
      <c r="AJ37" s="107">
        <v>0</v>
      </c>
      <c r="AK37" s="107">
        <v>0</v>
      </c>
      <c r="AL37" s="107">
        <v>0</v>
      </c>
      <c r="AM37" s="107">
        <v>0</v>
      </c>
      <c r="AN37" s="107">
        <v>0</v>
      </c>
      <c r="AO37" s="107">
        <v>0</v>
      </c>
      <c r="AP37" s="107">
        <v>0</v>
      </c>
      <c r="AQ37" s="107">
        <v>0</v>
      </c>
      <c r="AR37" s="107">
        <v>0</v>
      </c>
      <c r="AS37" s="107">
        <v>0</v>
      </c>
      <c r="AT37" s="107">
        <v>0</v>
      </c>
      <c r="AU37" s="109">
        <f>+L37+SUM($AC37:AT37)</f>
        <v>0</v>
      </c>
      <c r="AV37" s="108"/>
      <c r="AW37" s="107">
        <v>0</v>
      </c>
      <c r="AX37" s="107">
        <v>0</v>
      </c>
      <c r="AY37" s="107">
        <v>0</v>
      </c>
      <c r="AZ37" s="107">
        <v>0</v>
      </c>
      <c r="BA37" s="107">
        <v>0</v>
      </c>
      <c r="BB37" s="107">
        <v>0</v>
      </c>
      <c r="BC37" s="107">
        <v>0</v>
      </c>
      <c r="BD37" s="107">
        <v>0</v>
      </c>
      <c r="BE37" s="107">
        <v>0</v>
      </c>
      <c r="BF37" s="107">
        <v>0</v>
      </c>
      <c r="BG37" s="107">
        <v>0</v>
      </c>
      <c r="BH37" s="107">
        <v>0</v>
      </c>
      <c r="BI37" s="107">
        <v>0</v>
      </c>
      <c r="BJ37" s="107">
        <v>0</v>
      </c>
      <c r="BK37" s="107">
        <v>0</v>
      </c>
      <c r="BL37" s="107">
        <v>0</v>
      </c>
      <c r="BM37" s="107">
        <v>0</v>
      </c>
      <c r="BN37" s="107">
        <v>0</v>
      </c>
      <c r="BO37" s="107">
        <v>0</v>
      </c>
      <c r="BP37" s="107">
        <v>0</v>
      </c>
      <c r="BQ37" s="107">
        <v>0</v>
      </c>
      <c r="BR37" s="107">
        <v>0</v>
      </c>
      <c r="BS37" s="106"/>
      <c r="BT37" s="106"/>
      <c r="BU37" s="107">
        <v>0</v>
      </c>
      <c r="BV37" s="107">
        <v>0</v>
      </c>
      <c r="BW37" s="107">
        <v>0</v>
      </c>
      <c r="BX37" s="107">
        <v>0</v>
      </c>
      <c r="BY37" s="107">
        <v>0</v>
      </c>
      <c r="BZ37" s="107">
        <v>0</v>
      </c>
      <c r="CA37" s="107">
        <v>0</v>
      </c>
      <c r="CB37" s="107">
        <v>0</v>
      </c>
      <c r="CC37" s="107">
        <v>0</v>
      </c>
      <c r="CD37" s="107">
        <v>0</v>
      </c>
      <c r="CE37" s="107">
        <v>0</v>
      </c>
      <c r="CF37" s="107">
        <v>0</v>
      </c>
      <c r="CG37" s="107">
        <v>0</v>
      </c>
      <c r="CH37" s="107">
        <v>0</v>
      </c>
      <c r="CI37" s="107">
        <v>0</v>
      </c>
      <c r="CJ37" s="107">
        <v>0</v>
      </c>
      <c r="CK37" s="107">
        <v>0</v>
      </c>
      <c r="CL37" s="107">
        <v>0</v>
      </c>
      <c r="CM37" s="107">
        <v>0</v>
      </c>
      <c r="CN37" s="107">
        <v>0</v>
      </c>
      <c r="CO37" s="107">
        <v>0</v>
      </c>
      <c r="CP37" s="107">
        <v>0</v>
      </c>
      <c r="CQ37" s="106"/>
      <c r="CR37" s="106"/>
      <c r="CS37" s="107">
        <v>0</v>
      </c>
      <c r="CT37" s="107">
        <v>0</v>
      </c>
      <c r="CU37" s="107">
        <v>0</v>
      </c>
      <c r="CV37" s="107">
        <v>0</v>
      </c>
      <c r="CW37" s="107">
        <v>0</v>
      </c>
      <c r="CX37" s="107">
        <v>0</v>
      </c>
      <c r="CY37" s="107">
        <v>0</v>
      </c>
      <c r="CZ37" s="107">
        <v>0</v>
      </c>
      <c r="DA37" s="107">
        <v>0</v>
      </c>
      <c r="DB37" s="107">
        <v>0</v>
      </c>
      <c r="DC37" s="107">
        <v>0</v>
      </c>
      <c r="DD37" s="107">
        <v>0</v>
      </c>
      <c r="DE37" s="107">
        <v>0</v>
      </c>
      <c r="DF37" s="107">
        <v>0</v>
      </c>
      <c r="DG37" s="107">
        <v>0</v>
      </c>
      <c r="DH37" s="107">
        <v>0</v>
      </c>
      <c r="DI37" s="107">
        <v>0</v>
      </c>
      <c r="DJ37" s="107">
        <v>0</v>
      </c>
      <c r="DK37" s="107">
        <v>0</v>
      </c>
      <c r="DL37" s="107">
        <v>0</v>
      </c>
      <c r="DM37" s="107">
        <v>0</v>
      </c>
      <c r="DN37" s="106"/>
      <c r="DO37" s="106"/>
      <c r="DP37" s="107">
        <v>0</v>
      </c>
      <c r="DQ37" s="107">
        <v>0</v>
      </c>
      <c r="DR37" s="107">
        <v>0</v>
      </c>
      <c r="DS37" s="107">
        <v>0</v>
      </c>
      <c r="DT37" s="107">
        <v>0</v>
      </c>
      <c r="DU37" s="107">
        <v>0</v>
      </c>
      <c r="DV37" s="107">
        <v>0</v>
      </c>
      <c r="DW37" s="107">
        <v>0</v>
      </c>
      <c r="DX37" s="107">
        <v>0</v>
      </c>
      <c r="DY37" s="107">
        <v>0</v>
      </c>
      <c r="DZ37" s="107">
        <v>0</v>
      </c>
      <c r="EA37" s="107">
        <v>0</v>
      </c>
      <c r="EB37" s="107">
        <v>0</v>
      </c>
      <c r="EC37" s="107">
        <v>0</v>
      </c>
      <c r="ED37" s="107">
        <v>0</v>
      </c>
      <c r="EE37" s="107">
        <v>0</v>
      </c>
      <c r="EF37" s="107">
        <v>0</v>
      </c>
      <c r="EG37" s="107">
        <v>0</v>
      </c>
      <c r="EH37" s="107">
        <v>0</v>
      </c>
      <c r="EI37" s="107">
        <v>0</v>
      </c>
      <c r="EJ37" s="107">
        <v>0</v>
      </c>
      <c r="EK37" s="107">
        <v>0</v>
      </c>
      <c r="EL37" s="106"/>
      <c r="EM37" s="106"/>
    </row>
    <row r="38" spans="1:143" s="2" customFormat="1" ht="25" customHeight="1" thickBot="1">
      <c r="A38" s="36"/>
      <c r="B38" s="5"/>
      <c r="C38" s="105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</row>
    <row r="39" spans="1:143" s="2" customFormat="1" ht="25" customHeight="1" thickBot="1">
      <c r="A39" s="36"/>
      <c r="B39" s="5"/>
      <c r="C39" s="47" t="s">
        <v>4</v>
      </c>
      <c r="D39" s="45"/>
      <c r="E39" s="43">
        <f t="shared" ref="E39:AU39" si="28">+E41+E45+E48+E52</f>
        <v>11577828.370000001</v>
      </c>
      <c r="F39" s="43">
        <f t="shared" si="28"/>
        <v>5919259.7100000009</v>
      </c>
      <c r="G39" s="43">
        <f t="shared" si="28"/>
        <v>68522.570000000007</v>
      </c>
      <c r="H39" s="43">
        <f t="shared" si="28"/>
        <v>2222834.0799999996</v>
      </c>
      <c r="I39" s="43">
        <f t="shared" si="28"/>
        <v>1912864.6400000001</v>
      </c>
      <c r="J39" s="43">
        <f t="shared" si="28"/>
        <v>305522.58</v>
      </c>
      <c r="K39" s="43">
        <f t="shared" si="28"/>
        <v>425584.98</v>
      </c>
      <c r="L39" s="43">
        <f t="shared" si="28"/>
        <v>-7280.2999999999975</v>
      </c>
      <c r="M39" s="43">
        <f t="shared" si="28"/>
        <v>4047536.2700000009</v>
      </c>
      <c r="N39" s="43">
        <f t="shared" si="28"/>
        <v>465746.46</v>
      </c>
      <c r="O39" s="43">
        <f t="shared" si="28"/>
        <v>99731.860000000015</v>
      </c>
      <c r="P39" s="43">
        <f t="shared" si="28"/>
        <v>1131198.1399999999</v>
      </c>
      <c r="Q39" s="43">
        <f t="shared" si="28"/>
        <v>6623380.5299999993</v>
      </c>
      <c r="R39" s="43">
        <f t="shared" si="28"/>
        <v>325150.05</v>
      </c>
      <c r="S39" s="43">
        <f t="shared" si="28"/>
        <v>77355.27</v>
      </c>
      <c r="T39" s="43">
        <f t="shared" si="28"/>
        <v>1471752.6500000001</v>
      </c>
      <c r="U39" s="43">
        <f t="shared" si="28"/>
        <v>133596.99</v>
      </c>
      <c r="V39" s="43">
        <f t="shared" si="28"/>
        <v>45854</v>
      </c>
      <c r="W39" s="43">
        <f t="shared" si="28"/>
        <v>426451</v>
      </c>
      <c r="X39" s="43">
        <f t="shared" si="28"/>
        <v>5337144.71</v>
      </c>
      <c r="Y39" s="45">
        <f t="shared" si="28"/>
        <v>42610034.559999995</v>
      </c>
      <c r="Z39" s="43">
        <f t="shared" si="28"/>
        <v>2225746.16</v>
      </c>
      <c r="AA39" s="45">
        <f t="shared" si="28"/>
        <v>44835780.719999999</v>
      </c>
      <c r="AB39" s="46">
        <f t="shared" si="28"/>
        <v>4658901.5600000052</v>
      </c>
      <c r="AC39" s="43">
        <v>1648771.63</v>
      </c>
      <c r="AD39" s="43">
        <v>254582.25999999995</v>
      </c>
      <c r="AE39" s="43">
        <v>5011866.3099999996</v>
      </c>
      <c r="AF39" s="43">
        <v>1595076.6300000001</v>
      </c>
      <c r="AG39" s="43">
        <v>7303562.7599999988</v>
      </c>
      <c r="AH39" s="43">
        <v>3445227.6700000004</v>
      </c>
      <c r="AI39" s="43">
        <v>4812916.6499999994</v>
      </c>
      <c r="AJ39" s="43">
        <v>393649.35</v>
      </c>
      <c r="AK39" s="43">
        <v>3482871.4299999997</v>
      </c>
      <c r="AL39" s="43">
        <v>288431.23</v>
      </c>
      <c r="AM39" s="43">
        <f t="shared" ref="AM39:AT39" si="29">+AM41+AM45+AM48+AM52</f>
        <v>693161.22</v>
      </c>
      <c r="AN39" s="43">
        <f t="shared" si="29"/>
        <v>178115.40000000002</v>
      </c>
      <c r="AO39" s="43">
        <f t="shared" si="29"/>
        <v>5766713.1500000004</v>
      </c>
      <c r="AP39" s="43">
        <f t="shared" si="29"/>
        <v>196193.06</v>
      </c>
      <c r="AQ39" s="43">
        <f t="shared" si="29"/>
        <v>135621.08000000002</v>
      </c>
      <c r="AR39" s="43">
        <f t="shared" si="29"/>
        <v>977963.51</v>
      </c>
      <c r="AS39" s="43">
        <f t="shared" si="29"/>
        <v>3614129.3500000006</v>
      </c>
      <c r="AT39" s="43">
        <f t="shared" si="29"/>
        <v>2241941.84</v>
      </c>
      <c r="AU39" s="45">
        <f t="shared" si="28"/>
        <v>42040794.530000001</v>
      </c>
      <c r="AV39" s="46"/>
      <c r="AW39" s="43">
        <f t="shared" ref="AW39:BR39" si="30">+AW41+AW45+AW48+AW52</f>
        <v>0</v>
      </c>
      <c r="AX39" s="43">
        <f t="shared" si="30"/>
        <v>0</v>
      </c>
      <c r="AY39" s="43">
        <f t="shared" si="30"/>
        <v>0</v>
      </c>
      <c r="AZ39" s="43">
        <f t="shared" si="30"/>
        <v>0</v>
      </c>
      <c r="BA39" s="43">
        <f t="shared" si="30"/>
        <v>0</v>
      </c>
      <c r="BB39" s="43">
        <f t="shared" si="30"/>
        <v>0</v>
      </c>
      <c r="BC39" s="43">
        <f t="shared" si="30"/>
        <v>0</v>
      </c>
      <c r="BD39" s="43">
        <f t="shared" si="30"/>
        <v>0</v>
      </c>
      <c r="BE39" s="43">
        <f t="shared" si="30"/>
        <v>0</v>
      </c>
      <c r="BF39" s="43">
        <f t="shared" si="30"/>
        <v>0</v>
      </c>
      <c r="BG39" s="43">
        <f t="shared" si="30"/>
        <v>0</v>
      </c>
      <c r="BH39" s="43">
        <f t="shared" si="30"/>
        <v>0</v>
      </c>
      <c r="BI39" s="43">
        <f t="shared" si="30"/>
        <v>0</v>
      </c>
      <c r="BJ39" s="43">
        <f t="shared" si="30"/>
        <v>0</v>
      </c>
      <c r="BK39" s="43">
        <f t="shared" si="30"/>
        <v>0</v>
      </c>
      <c r="BL39" s="43">
        <f t="shared" si="30"/>
        <v>0</v>
      </c>
      <c r="BM39" s="43">
        <f t="shared" si="30"/>
        <v>0</v>
      </c>
      <c r="BN39" s="43">
        <f t="shared" si="30"/>
        <v>0</v>
      </c>
      <c r="BO39" s="43">
        <f t="shared" si="30"/>
        <v>0</v>
      </c>
      <c r="BP39" s="43">
        <f t="shared" si="30"/>
        <v>0</v>
      </c>
      <c r="BQ39" s="43">
        <f t="shared" si="30"/>
        <v>0</v>
      </c>
      <c r="BR39" s="43">
        <f t="shared" si="30"/>
        <v>0</v>
      </c>
      <c r="BS39" s="45"/>
      <c r="BT39" s="45"/>
      <c r="BU39" s="43">
        <f t="shared" ref="BU39:CP39" si="31">+BU41+BU45+BU48+BU52</f>
        <v>0</v>
      </c>
      <c r="BV39" s="43">
        <f t="shared" si="31"/>
        <v>0</v>
      </c>
      <c r="BW39" s="43">
        <f t="shared" si="31"/>
        <v>0</v>
      </c>
      <c r="BX39" s="43">
        <f t="shared" si="31"/>
        <v>0</v>
      </c>
      <c r="BY39" s="43">
        <f t="shared" si="31"/>
        <v>0</v>
      </c>
      <c r="BZ39" s="43">
        <f t="shared" si="31"/>
        <v>0</v>
      </c>
      <c r="CA39" s="43">
        <f t="shared" si="31"/>
        <v>0</v>
      </c>
      <c r="CB39" s="43">
        <f t="shared" si="31"/>
        <v>0</v>
      </c>
      <c r="CC39" s="43">
        <f t="shared" si="31"/>
        <v>0</v>
      </c>
      <c r="CD39" s="43">
        <f t="shared" si="31"/>
        <v>0</v>
      </c>
      <c r="CE39" s="43">
        <f t="shared" si="31"/>
        <v>0</v>
      </c>
      <c r="CF39" s="43">
        <f t="shared" si="31"/>
        <v>0</v>
      </c>
      <c r="CG39" s="43">
        <f t="shared" si="31"/>
        <v>0</v>
      </c>
      <c r="CH39" s="43">
        <f t="shared" si="31"/>
        <v>0</v>
      </c>
      <c r="CI39" s="43">
        <f t="shared" si="31"/>
        <v>0</v>
      </c>
      <c r="CJ39" s="43">
        <f t="shared" si="31"/>
        <v>0</v>
      </c>
      <c r="CK39" s="43">
        <f t="shared" si="31"/>
        <v>0</v>
      </c>
      <c r="CL39" s="43">
        <f t="shared" si="31"/>
        <v>0</v>
      </c>
      <c r="CM39" s="43">
        <f t="shared" si="31"/>
        <v>0</v>
      </c>
      <c r="CN39" s="43">
        <f t="shared" si="31"/>
        <v>0</v>
      </c>
      <c r="CO39" s="43">
        <f t="shared" si="31"/>
        <v>0</v>
      </c>
      <c r="CP39" s="43">
        <f t="shared" si="31"/>
        <v>0</v>
      </c>
      <c r="CQ39" s="45"/>
      <c r="CR39" s="45"/>
      <c r="CS39" s="43">
        <f t="shared" ref="CS39:DM39" si="32">+CS41+CS45+CS48+CS52</f>
        <v>0</v>
      </c>
      <c r="CT39" s="43">
        <f t="shared" si="32"/>
        <v>0</v>
      </c>
      <c r="CU39" s="43">
        <f t="shared" si="32"/>
        <v>0</v>
      </c>
      <c r="CV39" s="43">
        <f t="shared" si="32"/>
        <v>0</v>
      </c>
      <c r="CW39" s="43">
        <f t="shared" si="32"/>
        <v>0</v>
      </c>
      <c r="CX39" s="43">
        <f t="shared" si="32"/>
        <v>0</v>
      </c>
      <c r="CY39" s="43">
        <f t="shared" si="32"/>
        <v>0</v>
      </c>
      <c r="CZ39" s="43">
        <f t="shared" si="32"/>
        <v>0</v>
      </c>
      <c r="DA39" s="43">
        <f t="shared" si="32"/>
        <v>0</v>
      </c>
      <c r="DB39" s="43">
        <f t="shared" si="32"/>
        <v>0</v>
      </c>
      <c r="DC39" s="43">
        <f t="shared" si="32"/>
        <v>0</v>
      </c>
      <c r="DD39" s="43">
        <f t="shared" si="32"/>
        <v>0</v>
      </c>
      <c r="DE39" s="43">
        <f t="shared" si="32"/>
        <v>0</v>
      </c>
      <c r="DF39" s="43">
        <f t="shared" si="32"/>
        <v>0</v>
      </c>
      <c r="DG39" s="43">
        <f t="shared" si="32"/>
        <v>0</v>
      </c>
      <c r="DH39" s="43">
        <f t="shared" si="32"/>
        <v>0</v>
      </c>
      <c r="DI39" s="43">
        <f t="shared" si="32"/>
        <v>0</v>
      </c>
      <c r="DJ39" s="43">
        <f t="shared" si="32"/>
        <v>0</v>
      </c>
      <c r="DK39" s="43">
        <f t="shared" si="32"/>
        <v>0</v>
      </c>
      <c r="DL39" s="43">
        <f t="shared" si="32"/>
        <v>0</v>
      </c>
      <c r="DM39" s="43">
        <f t="shared" si="32"/>
        <v>0</v>
      </c>
      <c r="DN39" s="45"/>
      <c r="DO39" s="45"/>
      <c r="DP39" s="43">
        <f t="shared" ref="DP39:EK39" si="33">+DP41+DP45+DP48+DP52</f>
        <v>0</v>
      </c>
      <c r="DQ39" s="43">
        <f t="shared" si="33"/>
        <v>0</v>
      </c>
      <c r="DR39" s="43">
        <f t="shared" si="33"/>
        <v>0</v>
      </c>
      <c r="DS39" s="43">
        <f t="shared" si="33"/>
        <v>0</v>
      </c>
      <c r="DT39" s="43">
        <f t="shared" si="33"/>
        <v>0</v>
      </c>
      <c r="DU39" s="43">
        <f t="shared" si="33"/>
        <v>0</v>
      </c>
      <c r="DV39" s="43">
        <f t="shared" si="33"/>
        <v>0</v>
      </c>
      <c r="DW39" s="43">
        <f t="shared" si="33"/>
        <v>0</v>
      </c>
      <c r="DX39" s="43">
        <f t="shared" si="33"/>
        <v>0</v>
      </c>
      <c r="DY39" s="43">
        <f t="shared" si="33"/>
        <v>0</v>
      </c>
      <c r="DZ39" s="43">
        <f t="shared" si="33"/>
        <v>0</v>
      </c>
      <c r="EA39" s="43">
        <f t="shared" si="33"/>
        <v>0</v>
      </c>
      <c r="EB39" s="43">
        <f t="shared" si="33"/>
        <v>0</v>
      </c>
      <c r="EC39" s="43">
        <f t="shared" si="33"/>
        <v>0</v>
      </c>
      <c r="ED39" s="43">
        <f t="shared" si="33"/>
        <v>0</v>
      </c>
      <c r="EE39" s="43">
        <f t="shared" si="33"/>
        <v>0</v>
      </c>
      <c r="EF39" s="43">
        <f t="shared" si="33"/>
        <v>0</v>
      </c>
      <c r="EG39" s="43">
        <f t="shared" si="33"/>
        <v>0</v>
      </c>
      <c r="EH39" s="43">
        <f t="shared" si="33"/>
        <v>0</v>
      </c>
      <c r="EI39" s="43">
        <f t="shared" si="33"/>
        <v>0</v>
      </c>
      <c r="EJ39" s="43">
        <f t="shared" si="33"/>
        <v>0</v>
      </c>
      <c r="EK39" s="43">
        <f t="shared" si="33"/>
        <v>0</v>
      </c>
      <c r="EL39" s="45"/>
      <c r="EM39" s="45"/>
    </row>
    <row r="40" spans="1:143" s="12" customFormat="1" ht="25" customHeight="1" thickBot="1">
      <c r="A40" s="61"/>
      <c r="B40" s="5"/>
      <c r="C40" s="60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</row>
    <row r="41" spans="1:143" s="2" customFormat="1" ht="25" customHeight="1">
      <c r="A41" s="36"/>
      <c r="B41" s="5"/>
      <c r="C41" s="35" t="s">
        <v>30</v>
      </c>
      <c r="D41" s="33"/>
      <c r="E41" s="31">
        <f t="shared" ref="E41:AB41" si="34">SUM(E42:E44)</f>
        <v>1268365.9900000002</v>
      </c>
      <c r="F41" s="31">
        <f t="shared" si="34"/>
        <v>31419.839999999997</v>
      </c>
      <c r="G41" s="31">
        <f t="shared" si="34"/>
        <v>8819.33</v>
      </c>
      <c r="H41" s="31">
        <f t="shared" si="34"/>
        <v>1540104.77</v>
      </c>
      <c r="I41" s="31">
        <f t="shared" si="34"/>
        <v>772768.17999999993</v>
      </c>
      <c r="J41" s="31">
        <f t="shared" si="34"/>
        <v>0</v>
      </c>
      <c r="K41" s="31">
        <f t="shared" si="34"/>
        <v>93638.35</v>
      </c>
      <c r="L41" s="31">
        <f t="shared" si="34"/>
        <v>5841.87</v>
      </c>
      <c r="M41" s="31">
        <f t="shared" si="34"/>
        <v>3075904.9300000006</v>
      </c>
      <c r="N41" s="31">
        <f t="shared" si="34"/>
        <v>185045.07</v>
      </c>
      <c r="O41" s="31">
        <f t="shared" si="34"/>
        <v>40760.79</v>
      </c>
      <c r="P41" s="31">
        <f t="shared" si="34"/>
        <v>1001336.22</v>
      </c>
      <c r="Q41" s="31">
        <f t="shared" si="34"/>
        <v>4994473.32</v>
      </c>
      <c r="R41" s="31">
        <f t="shared" si="34"/>
        <v>279560.15999999997</v>
      </c>
      <c r="S41" s="31">
        <f t="shared" si="34"/>
        <v>3082.49</v>
      </c>
      <c r="T41" s="31">
        <f t="shared" si="34"/>
        <v>2075.84</v>
      </c>
      <c r="U41" s="31">
        <f t="shared" si="34"/>
        <v>38532.99</v>
      </c>
      <c r="V41" s="31">
        <f t="shared" si="34"/>
        <v>6204.71</v>
      </c>
      <c r="W41" s="31">
        <f t="shared" si="34"/>
        <v>354550.23</v>
      </c>
      <c r="X41" s="31">
        <f t="shared" si="34"/>
        <v>5255752.4800000004</v>
      </c>
      <c r="Y41" s="33">
        <f t="shared" si="34"/>
        <v>18958237.560000002</v>
      </c>
      <c r="Z41" s="31">
        <f t="shared" si="34"/>
        <v>116396.83</v>
      </c>
      <c r="AA41" s="33">
        <f t="shared" si="34"/>
        <v>19074634.390000001</v>
      </c>
      <c r="AB41" s="34">
        <f t="shared" si="34"/>
        <v>358891.61000000103</v>
      </c>
      <c r="AC41" s="31">
        <v>1481607.44</v>
      </c>
      <c r="AD41" s="31">
        <v>0</v>
      </c>
      <c r="AE41" s="31">
        <v>98293.74</v>
      </c>
      <c r="AF41" s="31">
        <v>39543.550000000003</v>
      </c>
      <c r="AG41" s="31">
        <v>1674860.5699999998</v>
      </c>
      <c r="AH41" s="31">
        <v>967.49</v>
      </c>
      <c r="AI41" s="31">
        <v>11381.6</v>
      </c>
      <c r="AJ41" s="31">
        <v>221322.41</v>
      </c>
      <c r="AK41" s="31">
        <v>3314193.48</v>
      </c>
      <c r="AL41" s="31">
        <v>81335.079999999987</v>
      </c>
      <c r="AM41" s="31">
        <f t="shared" ref="AM41:AP41" si="35">SUM(AM42:AM44)</f>
        <v>363472.2</v>
      </c>
      <c r="AN41" s="31">
        <f t="shared" si="35"/>
        <v>2032.04</v>
      </c>
      <c r="AO41" s="31">
        <f t="shared" si="35"/>
        <v>3771317.75</v>
      </c>
      <c r="AP41" s="31">
        <f t="shared" si="35"/>
        <v>2499.09</v>
      </c>
      <c r="AQ41" s="31">
        <f t="shared" ref="AQ41:AT41" si="36">SUM(AQ42:AQ44)</f>
        <v>0</v>
      </c>
      <c r="AR41" s="31">
        <f t="shared" ref="AR41:AT41" si="37">SUM(AR42:AR44)</f>
        <v>495924.52999999997</v>
      </c>
      <c r="AS41" s="31">
        <f t="shared" si="37"/>
        <v>3591581.5700000003</v>
      </c>
      <c r="AT41" s="31">
        <f t="shared" si="37"/>
        <v>89862.01</v>
      </c>
      <c r="AU41" s="33">
        <f t="shared" ref="AU41:BR41" si="38">SUM(AU42:AU44)</f>
        <v>15240194.550000001</v>
      </c>
      <c r="AV41" s="34" t="e">
        <f t="shared" si="38"/>
        <v>#REF!</v>
      </c>
      <c r="AW41" s="31">
        <f t="shared" si="38"/>
        <v>0</v>
      </c>
      <c r="AX41" s="31">
        <f t="shared" si="38"/>
        <v>0</v>
      </c>
      <c r="AY41" s="31">
        <f t="shared" si="38"/>
        <v>0</v>
      </c>
      <c r="AZ41" s="31">
        <f t="shared" si="38"/>
        <v>0</v>
      </c>
      <c r="BA41" s="31">
        <f t="shared" si="38"/>
        <v>0</v>
      </c>
      <c r="BB41" s="31">
        <f t="shared" si="38"/>
        <v>0</v>
      </c>
      <c r="BC41" s="31">
        <f t="shared" si="38"/>
        <v>0</v>
      </c>
      <c r="BD41" s="31">
        <f t="shared" si="38"/>
        <v>0</v>
      </c>
      <c r="BE41" s="31">
        <f t="shared" si="38"/>
        <v>0</v>
      </c>
      <c r="BF41" s="31">
        <f t="shared" si="38"/>
        <v>0</v>
      </c>
      <c r="BG41" s="31">
        <f t="shared" si="38"/>
        <v>0</v>
      </c>
      <c r="BH41" s="31">
        <f t="shared" si="38"/>
        <v>0</v>
      </c>
      <c r="BI41" s="31">
        <f t="shared" si="38"/>
        <v>0</v>
      </c>
      <c r="BJ41" s="31">
        <f t="shared" si="38"/>
        <v>0</v>
      </c>
      <c r="BK41" s="31">
        <f t="shared" si="38"/>
        <v>0</v>
      </c>
      <c r="BL41" s="31">
        <f t="shared" si="38"/>
        <v>0</v>
      </c>
      <c r="BM41" s="31">
        <f t="shared" si="38"/>
        <v>0</v>
      </c>
      <c r="BN41" s="31">
        <f t="shared" si="38"/>
        <v>0</v>
      </c>
      <c r="BO41" s="31">
        <f t="shared" si="38"/>
        <v>0</v>
      </c>
      <c r="BP41" s="31">
        <f t="shared" si="38"/>
        <v>0</v>
      </c>
      <c r="BQ41" s="31">
        <f t="shared" si="38"/>
        <v>0</v>
      </c>
      <c r="BR41" s="31">
        <f t="shared" si="38"/>
        <v>0</v>
      </c>
      <c r="BS41" s="33"/>
      <c r="BT41" s="33"/>
      <c r="BU41" s="31">
        <f t="shared" ref="BU41:CP41" si="39">SUM(BU42:BU44)</f>
        <v>0</v>
      </c>
      <c r="BV41" s="31">
        <f t="shared" si="39"/>
        <v>0</v>
      </c>
      <c r="BW41" s="31">
        <f t="shared" si="39"/>
        <v>0</v>
      </c>
      <c r="BX41" s="31">
        <f t="shared" si="39"/>
        <v>0</v>
      </c>
      <c r="BY41" s="31">
        <f t="shared" si="39"/>
        <v>0</v>
      </c>
      <c r="BZ41" s="31">
        <f t="shared" si="39"/>
        <v>0</v>
      </c>
      <c r="CA41" s="31">
        <f t="shared" si="39"/>
        <v>0</v>
      </c>
      <c r="CB41" s="31">
        <f t="shared" si="39"/>
        <v>0</v>
      </c>
      <c r="CC41" s="31">
        <f t="shared" si="39"/>
        <v>0</v>
      </c>
      <c r="CD41" s="31">
        <f t="shared" si="39"/>
        <v>0</v>
      </c>
      <c r="CE41" s="31">
        <f t="shared" si="39"/>
        <v>0</v>
      </c>
      <c r="CF41" s="31">
        <f t="shared" si="39"/>
        <v>0</v>
      </c>
      <c r="CG41" s="31">
        <f t="shared" si="39"/>
        <v>0</v>
      </c>
      <c r="CH41" s="31">
        <f t="shared" si="39"/>
        <v>0</v>
      </c>
      <c r="CI41" s="31">
        <f t="shared" si="39"/>
        <v>0</v>
      </c>
      <c r="CJ41" s="31">
        <f t="shared" si="39"/>
        <v>0</v>
      </c>
      <c r="CK41" s="31">
        <f t="shared" si="39"/>
        <v>0</v>
      </c>
      <c r="CL41" s="31">
        <f t="shared" si="39"/>
        <v>0</v>
      </c>
      <c r="CM41" s="31">
        <f t="shared" si="39"/>
        <v>0</v>
      </c>
      <c r="CN41" s="31">
        <f t="shared" si="39"/>
        <v>0</v>
      </c>
      <c r="CO41" s="31">
        <f t="shared" si="39"/>
        <v>0</v>
      </c>
      <c r="CP41" s="31">
        <f t="shared" si="39"/>
        <v>0</v>
      </c>
      <c r="CQ41" s="33"/>
      <c r="CR41" s="33"/>
      <c r="CS41" s="31">
        <f t="shared" ref="CS41:DM41" si="40">SUM(CS42:CS44)</f>
        <v>0</v>
      </c>
      <c r="CT41" s="31">
        <f t="shared" si="40"/>
        <v>0</v>
      </c>
      <c r="CU41" s="31">
        <f t="shared" si="40"/>
        <v>0</v>
      </c>
      <c r="CV41" s="31">
        <f t="shared" si="40"/>
        <v>0</v>
      </c>
      <c r="CW41" s="31">
        <f t="shared" si="40"/>
        <v>0</v>
      </c>
      <c r="CX41" s="31">
        <f t="shared" si="40"/>
        <v>0</v>
      </c>
      <c r="CY41" s="31">
        <f t="shared" si="40"/>
        <v>0</v>
      </c>
      <c r="CZ41" s="31">
        <f t="shared" si="40"/>
        <v>0</v>
      </c>
      <c r="DA41" s="31">
        <f t="shared" si="40"/>
        <v>0</v>
      </c>
      <c r="DB41" s="31">
        <f t="shared" si="40"/>
        <v>0</v>
      </c>
      <c r="DC41" s="31">
        <f t="shared" si="40"/>
        <v>0</v>
      </c>
      <c r="DD41" s="31">
        <f t="shared" si="40"/>
        <v>0</v>
      </c>
      <c r="DE41" s="31">
        <f t="shared" si="40"/>
        <v>0</v>
      </c>
      <c r="DF41" s="31">
        <f t="shared" si="40"/>
        <v>0</v>
      </c>
      <c r="DG41" s="31">
        <f t="shared" si="40"/>
        <v>0</v>
      </c>
      <c r="DH41" s="31">
        <f t="shared" si="40"/>
        <v>0</v>
      </c>
      <c r="DI41" s="31">
        <f t="shared" si="40"/>
        <v>0</v>
      </c>
      <c r="DJ41" s="31">
        <f t="shared" si="40"/>
        <v>0</v>
      </c>
      <c r="DK41" s="31">
        <f t="shared" si="40"/>
        <v>0</v>
      </c>
      <c r="DL41" s="31">
        <f t="shared" si="40"/>
        <v>0</v>
      </c>
      <c r="DM41" s="31">
        <f t="shared" si="40"/>
        <v>0</v>
      </c>
      <c r="DN41" s="33"/>
      <c r="DO41" s="33"/>
      <c r="DP41" s="31">
        <f t="shared" ref="DP41:EK41" si="41">SUM(DP42:DP44)</f>
        <v>0</v>
      </c>
      <c r="DQ41" s="31">
        <f t="shared" si="41"/>
        <v>0</v>
      </c>
      <c r="DR41" s="31">
        <f t="shared" si="41"/>
        <v>0</v>
      </c>
      <c r="DS41" s="31">
        <f t="shared" si="41"/>
        <v>0</v>
      </c>
      <c r="DT41" s="31">
        <f t="shared" si="41"/>
        <v>0</v>
      </c>
      <c r="DU41" s="31">
        <f t="shared" si="41"/>
        <v>0</v>
      </c>
      <c r="DV41" s="31">
        <f t="shared" si="41"/>
        <v>0</v>
      </c>
      <c r="DW41" s="31">
        <f t="shared" si="41"/>
        <v>0</v>
      </c>
      <c r="DX41" s="31">
        <f t="shared" si="41"/>
        <v>0</v>
      </c>
      <c r="DY41" s="31">
        <f t="shared" si="41"/>
        <v>0</v>
      </c>
      <c r="DZ41" s="31">
        <f t="shared" si="41"/>
        <v>0</v>
      </c>
      <c r="EA41" s="31">
        <f t="shared" si="41"/>
        <v>0</v>
      </c>
      <c r="EB41" s="31">
        <f t="shared" si="41"/>
        <v>0</v>
      </c>
      <c r="EC41" s="31">
        <f t="shared" si="41"/>
        <v>0</v>
      </c>
      <c r="ED41" s="31">
        <f t="shared" si="41"/>
        <v>0</v>
      </c>
      <c r="EE41" s="31">
        <f t="shared" si="41"/>
        <v>0</v>
      </c>
      <c r="EF41" s="31">
        <f t="shared" si="41"/>
        <v>0</v>
      </c>
      <c r="EG41" s="31">
        <f t="shared" si="41"/>
        <v>0</v>
      </c>
      <c r="EH41" s="31">
        <f t="shared" si="41"/>
        <v>0</v>
      </c>
      <c r="EI41" s="31">
        <f t="shared" si="41"/>
        <v>0</v>
      </c>
      <c r="EJ41" s="31">
        <f t="shared" si="41"/>
        <v>0</v>
      </c>
      <c r="EK41" s="31">
        <f t="shared" si="41"/>
        <v>0</v>
      </c>
      <c r="EL41" s="33"/>
      <c r="EM41" s="33"/>
    </row>
    <row r="42" spans="1:143" s="3" customFormat="1" ht="25" customHeight="1">
      <c r="A42" s="15"/>
      <c r="B42" s="5">
        <v>311</v>
      </c>
      <c r="C42" s="29" t="s">
        <v>29</v>
      </c>
      <c r="D42" s="27"/>
      <c r="E42" s="25">
        <f>12897.14+5112.88</f>
        <v>18010.02</v>
      </c>
      <c r="F42" s="25">
        <v>13795.42</v>
      </c>
      <c r="G42" s="25">
        <f>2516.56+6302.77</f>
        <v>8819.33</v>
      </c>
      <c r="H42" s="25">
        <v>355637.35</v>
      </c>
      <c r="I42" s="25">
        <v>19915.439999999999</v>
      </c>
      <c r="J42" s="25">
        <v>0</v>
      </c>
      <c r="K42" s="25">
        <f>64899.32+4611.74</f>
        <v>69511.06</v>
      </c>
      <c r="L42" s="25">
        <v>4321.87</v>
      </c>
      <c r="M42" s="25">
        <f>2895163.74+2089+178306.97</f>
        <v>3075559.7100000004</v>
      </c>
      <c r="N42" s="25">
        <v>35304.29</v>
      </c>
      <c r="O42" s="25">
        <v>7634.36</v>
      </c>
      <c r="P42" s="25">
        <f>1000836.22+500</f>
        <v>1001336.22</v>
      </c>
      <c r="Q42" s="25">
        <v>1000</v>
      </c>
      <c r="R42" s="25">
        <v>279560.15999999997</v>
      </c>
      <c r="S42" s="25">
        <v>3082.49</v>
      </c>
      <c r="T42" s="25">
        <v>2075.84</v>
      </c>
      <c r="U42" s="25">
        <v>31477.39</v>
      </c>
      <c r="V42" s="25">
        <v>6204.71</v>
      </c>
      <c r="W42" s="25">
        <v>354550.23</v>
      </c>
      <c r="X42" s="25">
        <f>5237842.48-36000-90</f>
        <v>5201752.4800000004</v>
      </c>
      <c r="Y42" s="27">
        <f>SUM(E42:$X$42)</f>
        <v>10489548.370000001</v>
      </c>
      <c r="Z42" s="25">
        <v>31047.83</v>
      </c>
      <c r="AA42" s="27">
        <f>SUM(E42:Z42)-Y42</f>
        <v>10520596.199999999</v>
      </c>
      <c r="AB42" s="28">
        <f>11453119-AA42</f>
        <v>932522.80000000075</v>
      </c>
      <c r="AC42" s="25">
        <v>0</v>
      </c>
      <c r="AD42" s="25">
        <v>0</v>
      </c>
      <c r="AE42" s="25">
        <v>98293.74</v>
      </c>
      <c r="AF42" s="25">
        <v>21829.13</v>
      </c>
      <c r="AG42" s="25">
        <v>22648.18</v>
      </c>
      <c r="AH42" s="25">
        <v>967.49</v>
      </c>
      <c r="AI42" s="25">
        <v>1900</v>
      </c>
      <c r="AJ42" s="25">
        <v>221322.41</v>
      </c>
      <c r="AK42" s="25">
        <v>3235001.93</v>
      </c>
      <c r="AL42" s="25">
        <v>6606.9500000000007</v>
      </c>
      <c r="AM42" s="25">
        <f>305804.65-90</f>
        <v>305714.65000000002</v>
      </c>
      <c r="AN42" s="25">
        <f>2122.04-90</f>
        <v>2032.04</v>
      </c>
      <c r="AO42" s="25">
        <v>90</v>
      </c>
      <c r="AP42" s="25">
        <v>2499.09</v>
      </c>
      <c r="AQ42" s="25">
        <v>0</v>
      </c>
      <c r="AR42" s="25">
        <f>505626.36-12801.83+1300</f>
        <v>494124.52999999997</v>
      </c>
      <c r="AS42" s="25">
        <f>3595612.7-1300-2731.13</f>
        <v>3591581.5700000003</v>
      </c>
      <c r="AT42" s="25">
        <f>6623.92+12801.83+371.76</f>
        <v>19797.509999999998</v>
      </c>
      <c r="AU42" s="27">
        <f>SUM($AC42:AT42)</f>
        <v>8024409.2200000007</v>
      </c>
      <c r="AV42" s="28" t="e">
        <f>6655709+707411+212224+439136+1959091+100000+30000-#REF!</f>
        <v>#REF!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7"/>
      <c r="BT42" s="27"/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7"/>
      <c r="CR42" s="27"/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7"/>
      <c r="DO42" s="27"/>
      <c r="DP42" s="25">
        <v>0</v>
      </c>
      <c r="DQ42" s="25">
        <v>0</v>
      </c>
      <c r="DR42" s="25">
        <v>0</v>
      </c>
      <c r="DS42" s="25">
        <v>0</v>
      </c>
      <c r="DT42" s="25">
        <v>0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7"/>
      <c r="EM42" s="27"/>
    </row>
    <row r="43" spans="1:143" s="3" customFormat="1" ht="25" customHeight="1">
      <c r="A43" s="15"/>
      <c r="B43" s="5">
        <v>313</v>
      </c>
      <c r="C43" s="29" t="s">
        <v>28</v>
      </c>
      <c r="D43" s="27"/>
      <c r="E43" s="25">
        <v>0</v>
      </c>
      <c r="F43" s="25">
        <v>0</v>
      </c>
      <c r="G43" s="25">
        <v>0</v>
      </c>
      <c r="H43" s="25">
        <v>0</v>
      </c>
      <c r="I43" s="25">
        <v>29062.79</v>
      </c>
      <c r="J43" s="25">
        <v>0</v>
      </c>
      <c r="K43" s="25">
        <v>0</v>
      </c>
      <c r="L43" s="25">
        <v>0</v>
      </c>
      <c r="M43" s="25">
        <v>0</v>
      </c>
      <c r="N43" s="25">
        <v>4299.29</v>
      </c>
      <c r="O43" s="25">
        <v>33126.43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7">
        <f>SUM(E43:$X$43)</f>
        <v>66488.510000000009</v>
      </c>
      <c r="Z43" s="25">
        <v>0</v>
      </c>
      <c r="AA43" s="27">
        <f>SUM(E43:Z43)-Y43</f>
        <v>66488.510000000009</v>
      </c>
      <c r="AB43" s="28">
        <f>100000-AA43</f>
        <v>33511.489999999991</v>
      </c>
      <c r="AC43" s="25">
        <v>4816.91</v>
      </c>
      <c r="AD43" s="25">
        <v>0</v>
      </c>
      <c r="AE43" s="25">
        <v>0</v>
      </c>
      <c r="AF43" s="25">
        <v>0</v>
      </c>
      <c r="AG43" s="25">
        <v>53980.73</v>
      </c>
      <c r="AH43" s="25">
        <v>0</v>
      </c>
      <c r="AI43" s="25">
        <v>0</v>
      </c>
      <c r="AJ43" s="25">
        <v>0</v>
      </c>
      <c r="AK43" s="25">
        <v>79191.55</v>
      </c>
      <c r="AL43" s="25">
        <v>74467.73</v>
      </c>
      <c r="AM43" s="25">
        <v>0</v>
      </c>
      <c r="AN43" s="25">
        <f>20441.65-20441.65</f>
        <v>0</v>
      </c>
      <c r="AO43" s="25">
        <f>30719.32+20441.65</f>
        <v>51160.97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7">
        <f>SUM($AC43:AT43)</f>
        <v>263617.89</v>
      </c>
      <c r="AV43" s="28" t="e">
        <f>100000-#REF!</f>
        <v>#REF!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7"/>
      <c r="BT43" s="27"/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7"/>
      <c r="CR43" s="27"/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7"/>
      <c r="DO43" s="27"/>
      <c r="DP43" s="25">
        <v>0</v>
      </c>
      <c r="DQ43" s="25">
        <v>0</v>
      </c>
      <c r="DR43" s="25">
        <v>0</v>
      </c>
      <c r="DS43" s="25">
        <v>0</v>
      </c>
      <c r="DT43" s="25">
        <v>0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7"/>
      <c r="EM43" s="27"/>
    </row>
    <row r="44" spans="1:143" s="3" customFormat="1" ht="25" customHeight="1">
      <c r="A44" s="15"/>
      <c r="B44" s="5">
        <v>314</v>
      </c>
      <c r="C44" s="29" t="s">
        <v>27</v>
      </c>
      <c r="D44" s="27"/>
      <c r="E44" s="25">
        <f>1254697.61-4341.64</f>
        <v>1250355.9700000002</v>
      </c>
      <c r="F44" s="25">
        <v>17624.419999999998</v>
      </c>
      <c r="G44" s="25">
        <v>0</v>
      </c>
      <c r="H44" s="25">
        <v>1184467.42</v>
      </c>
      <c r="I44" s="25">
        <v>723789.95</v>
      </c>
      <c r="J44" s="25">
        <v>0</v>
      </c>
      <c r="K44" s="25">
        <v>24127.29</v>
      </c>
      <c r="L44" s="25">
        <v>1520</v>
      </c>
      <c r="M44" s="25">
        <v>345.22</v>
      </c>
      <c r="N44" s="25">
        <f>145441.49</f>
        <v>145441.49</v>
      </c>
      <c r="O44" s="25">
        <v>0</v>
      </c>
      <c r="P44" s="25">
        <v>0</v>
      </c>
      <c r="Q44" s="25">
        <v>4993473.32</v>
      </c>
      <c r="R44" s="25">
        <v>0</v>
      </c>
      <c r="S44" s="25">
        <v>0</v>
      </c>
      <c r="T44" s="25">
        <v>0</v>
      </c>
      <c r="U44" s="25">
        <v>7055.6</v>
      </c>
      <c r="V44" s="25">
        <v>0</v>
      </c>
      <c r="W44" s="25">
        <v>0</v>
      </c>
      <c r="X44" s="25">
        <v>54000</v>
      </c>
      <c r="Y44" s="27">
        <f>SUM(E44:$X$44)</f>
        <v>8402200.6799999997</v>
      </c>
      <c r="Z44" s="25">
        <v>85349</v>
      </c>
      <c r="AA44" s="27">
        <f>SUM(E44:Z44)-Y44</f>
        <v>8487549.6799999997</v>
      </c>
      <c r="AB44" s="28">
        <f>7880407-AA44</f>
        <v>-607142.6799999997</v>
      </c>
      <c r="AC44" s="25">
        <v>1476790.53</v>
      </c>
      <c r="AD44" s="25">
        <v>0</v>
      </c>
      <c r="AE44" s="25">
        <v>0</v>
      </c>
      <c r="AF44" s="25">
        <v>17714.419999999998</v>
      </c>
      <c r="AG44" s="25">
        <v>1598231.66</v>
      </c>
      <c r="AH44" s="25">
        <v>0</v>
      </c>
      <c r="AI44" s="25">
        <v>9481.6</v>
      </c>
      <c r="AJ44" s="25">
        <v>0</v>
      </c>
      <c r="AK44" s="25">
        <v>0</v>
      </c>
      <c r="AL44" s="25">
        <v>260.39999999999998</v>
      </c>
      <c r="AM44" s="25">
        <v>57757.55</v>
      </c>
      <c r="AN44" s="25">
        <f>815.67-815.67</f>
        <v>0</v>
      </c>
      <c r="AO44" s="25">
        <f>3719251.11+815.67</f>
        <v>3720066.78</v>
      </c>
      <c r="AP44" s="25">
        <v>0</v>
      </c>
      <c r="AQ44" s="25">
        <v>0</v>
      </c>
      <c r="AR44" s="25">
        <v>1800</v>
      </c>
      <c r="AS44" s="25">
        <v>0</v>
      </c>
      <c r="AT44" s="25">
        <f>73514.76-3450.26</f>
        <v>70064.5</v>
      </c>
      <c r="AU44" s="27">
        <f>SUM($AC44:AT44)</f>
        <v>6952167.4399999995</v>
      </c>
      <c r="AV44" s="28" t="e">
        <f>782705+1205988+4757987-#REF!</f>
        <v>#REF!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7"/>
      <c r="BT44" s="27"/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7"/>
      <c r="CR44" s="27"/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7"/>
      <c r="DO44" s="27"/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7"/>
      <c r="EM44" s="27"/>
    </row>
    <row r="45" spans="1:143" s="2" customFormat="1" ht="25" customHeight="1">
      <c r="A45" s="36"/>
      <c r="B45" s="5"/>
      <c r="C45" s="101" t="s">
        <v>26</v>
      </c>
      <c r="D45" s="98"/>
      <c r="E45" s="99">
        <f t="shared" ref="E45:AB45" si="42">SUM(E46:E47)</f>
        <v>550.13</v>
      </c>
      <c r="F45" s="99">
        <f t="shared" si="42"/>
        <v>10000</v>
      </c>
      <c r="G45" s="99">
        <f t="shared" si="42"/>
        <v>11904.17</v>
      </c>
      <c r="H45" s="99">
        <f t="shared" si="42"/>
        <v>16894.72</v>
      </c>
      <c r="I45" s="99">
        <f t="shared" si="42"/>
        <v>3127.97</v>
      </c>
      <c r="J45" s="99">
        <f t="shared" si="42"/>
        <v>105184.66</v>
      </c>
      <c r="K45" s="99">
        <f t="shared" si="42"/>
        <v>42634.15</v>
      </c>
      <c r="L45" s="99">
        <f t="shared" si="42"/>
        <v>-52552</v>
      </c>
      <c r="M45" s="99">
        <f t="shared" si="42"/>
        <v>22268.29</v>
      </c>
      <c r="N45" s="99">
        <f t="shared" si="42"/>
        <v>89702.63</v>
      </c>
      <c r="O45" s="99">
        <f t="shared" si="42"/>
        <v>32526.31</v>
      </c>
      <c r="P45" s="99">
        <f t="shared" si="42"/>
        <v>35086.82</v>
      </c>
      <c r="Q45" s="99">
        <f t="shared" si="42"/>
        <v>24794.29</v>
      </c>
      <c r="R45" s="99">
        <f t="shared" si="42"/>
        <v>0</v>
      </c>
      <c r="S45" s="99">
        <f t="shared" si="42"/>
        <v>15891.05</v>
      </c>
      <c r="T45" s="99">
        <f t="shared" si="42"/>
        <v>131127.49</v>
      </c>
      <c r="U45" s="99">
        <f t="shared" si="42"/>
        <v>44230.399999999994</v>
      </c>
      <c r="V45" s="99">
        <f t="shared" si="42"/>
        <v>23657.66</v>
      </c>
      <c r="W45" s="99">
        <f t="shared" si="42"/>
        <v>60119.37000000001</v>
      </c>
      <c r="X45" s="99">
        <f t="shared" si="42"/>
        <v>26899.63</v>
      </c>
      <c r="Y45" s="98">
        <f t="shared" si="42"/>
        <v>644047.74</v>
      </c>
      <c r="Z45" s="99">
        <f t="shared" si="42"/>
        <v>163989.20000000001</v>
      </c>
      <c r="AA45" s="98">
        <f t="shared" si="42"/>
        <v>808036.94</v>
      </c>
      <c r="AB45" s="100">
        <f t="shared" si="42"/>
        <v>391861.06000000011</v>
      </c>
      <c r="AC45" s="99">
        <v>8000</v>
      </c>
      <c r="AD45" s="99">
        <v>188955.50999999998</v>
      </c>
      <c r="AE45" s="99">
        <v>-17314.169999999998</v>
      </c>
      <c r="AF45" s="99">
        <v>177335.77000000002</v>
      </c>
      <c r="AG45" s="99">
        <v>51914.99</v>
      </c>
      <c r="AH45" s="99">
        <v>-4521121.8899999997</v>
      </c>
      <c r="AI45" s="99">
        <v>4569606.9800000004</v>
      </c>
      <c r="AJ45" s="99">
        <v>97083.81</v>
      </c>
      <c r="AK45" s="99">
        <v>25834</v>
      </c>
      <c r="AL45" s="99">
        <v>4661.05</v>
      </c>
      <c r="AM45" s="99">
        <f t="shared" ref="AM45:AT45" si="43">SUM(AM46:AM47)</f>
        <v>7834.74</v>
      </c>
      <c r="AN45" s="99">
        <f t="shared" si="43"/>
        <v>139336.13</v>
      </c>
      <c r="AO45" s="99">
        <f t="shared" si="43"/>
        <v>69511.179999999993</v>
      </c>
      <c r="AP45" s="99">
        <f t="shared" si="43"/>
        <v>34955.24</v>
      </c>
      <c r="AQ45" s="99">
        <f t="shared" si="43"/>
        <v>79222.89</v>
      </c>
      <c r="AR45" s="99">
        <f t="shared" si="43"/>
        <v>29111.14</v>
      </c>
      <c r="AS45" s="99">
        <f t="shared" si="43"/>
        <v>11245.71</v>
      </c>
      <c r="AT45" s="99">
        <f t="shared" si="43"/>
        <v>172335.29</v>
      </c>
      <c r="AU45" s="98">
        <f t="shared" ref="AU45:BR45" si="44">SUM(AU46:AU47)</f>
        <v>1128508.3700000001</v>
      </c>
      <c r="AV45" s="100" t="e">
        <f t="shared" si="44"/>
        <v>#REF!</v>
      </c>
      <c r="AW45" s="99">
        <f t="shared" si="44"/>
        <v>0</v>
      </c>
      <c r="AX45" s="99">
        <f t="shared" si="44"/>
        <v>0</v>
      </c>
      <c r="AY45" s="99">
        <f t="shared" si="44"/>
        <v>0</v>
      </c>
      <c r="AZ45" s="99">
        <f t="shared" si="44"/>
        <v>0</v>
      </c>
      <c r="BA45" s="99">
        <f t="shared" si="44"/>
        <v>0</v>
      </c>
      <c r="BB45" s="99">
        <f t="shared" si="44"/>
        <v>0</v>
      </c>
      <c r="BC45" s="99">
        <f t="shared" si="44"/>
        <v>0</v>
      </c>
      <c r="BD45" s="99">
        <f t="shared" si="44"/>
        <v>0</v>
      </c>
      <c r="BE45" s="99">
        <f t="shared" si="44"/>
        <v>0</v>
      </c>
      <c r="BF45" s="99">
        <f t="shared" si="44"/>
        <v>0</v>
      </c>
      <c r="BG45" s="99">
        <f t="shared" si="44"/>
        <v>0</v>
      </c>
      <c r="BH45" s="99">
        <f t="shared" si="44"/>
        <v>0</v>
      </c>
      <c r="BI45" s="99">
        <f t="shared" si="44"/>
        <v>0</v>
      </c>
      <c r="BJ45" s="99">
        <f t="shared" si="44"/>
        <v>0</v>
      </c>
      <c r="BK45" s="99">
        <f t="shared" si="44"/>
        <v>0</v>
      </c>
      <c r="BL45" s="99">
        <f t="shared" si="44"/>
        <v>0</v>
      </c>
      <c r="BM45" s="99">
        <f t="shared" si="44"/>
        <v>0</v>
      </c>
      <c r="BN45" s="99">
        <f t="shared" si="44"/>
        <v>0</v>
      </c>
      <c r="BO45" s="99">
        <f t="shared" si="44"/>
        <v>0</v>
      </c>
      <c r="BP45" s="99">
        <f t="shared" si="44"/>
        <v>0</v>
      </c>
      <c r="BQ45" s="99">
        <f t="shared" si="44"/>
        <v>0</v>
      </c>
      <c r="BR45" s="99">
        <f t="shared" si="44"/>
        <v>0</v>
      </c>
      <c r="BS45" s="98"/>
      <c r="BT45" s="98"/>
      <c r="BU45" s="99">
        <f t="shared" ref="BU45:CP45" si="45">SUM(BU46:BU47)</f>
        <v>0</v>
      </c>
      <c r="BV45" s="99">
        <f t="shared" si="45"/>
        <v>0</v>
      </c>
      <c r="BW45" s="99">
        <f t="shared" si="45"/>
        <v>0</v>
      </c>
      <c r="BX45" s="99">
        <f t="shared" si="45"/>
        <v>0</v>
      </c>
      <c r="BY45" s="99">
        <f t="shared" si="45"/>
        <v>0</v>
      </c>
      <c r="BZ45" s="99">
        <f t="shared" si="45"/>
        <v>0</v>
      </c>
      <c r="CA45" s="99">
        <f t="shared" si="45"/>
        <v>0</v>
      </c>
      <c r="CB45" s="99">
        <f t="shared" si="45"/>
        <v>0</v>
      </c>
      <c r="CC45" s="99">
        <f t="shared" si="45"/>
        <v>0</v>
      </c>
      <c r="CD45" s="99">
        <f t="shared" si="45"/>
        <v>0</v>
      </c>
      <c r="CE45" s="99">
        <f t="shared" si="45"/>
        <v>0</v>
      </c>
      <c r="CF45" s="99">
        <f t="shared" si="45"/>
        <v>0</v>
      </c>
      <c r="CG45" s="99">
        <f t="shared" si="45"/>
        <v>0</v>
      </c>
      <c r="CH45" s="99">
        <f t="shared" si="45"/>
        <v>0</v>
      </c>
      <c r="CI45" s="99">
        <f t="shared" si="45"/>
        <v>0</v>
      </c>
      <c r="CJ45" s="99">
        <f t="shared" si="45"/>
        <v>0</v>
      </c>
      <c r="CK45" s="99">
        <f t="shared" si="45"/>
        <v>0</v>
      </c>
      <c r="CL45" s="99">
        <f t="shared" si="45"/>
        <v>0</v>
      </c>
      <c r="CM45" s="99">
        <f t="shared" si="45"/>
        <v>0</v>
      </c>
      <c r="CN45" s="99">
        <f t="shared" si="45"/>
        <v>0</v>
      </c>
      <c r="CO45" s="99">
        <f t="shared" si="45"/>
        <v>0</v>
      </c>
      <c r="CP45" s="99">
        <f t="shared" si="45"/>
        <v>0</v>
      </c>
      <c r="CQ45" s="98"/>
      <c r="CR45" s="98"/>
      <c r="CS45" s="99">
        <f t="shared" ref="CS45:DM45" si="46">SUM(CS46:CS47)</f>
        <v>0</v>
      </c>
      <c r="CT45" s="99">
        <f t="shared" si="46"/>
        <v>0</v>
      </c>
      <c r="CU45" s="99">
        <f t="shared" si="46"/>
        <v>0</v>
      </c>
      <c r="CV45" s="99">
        <f t="shared" si="46"/>
        <v>0</v>
      </c>
      <c r="CW45" s="99">
        <f t="shared" si="46"/>
        <v>0</v>
      </c>
      <c r="CX45" s="99">
        <f t="shared" si="46"/>
        <v>0</v>
      </c>
      <c r="CY45" s="99">
        <f t="shared" si="46"/>
        <v>0</v>
      </c>
      <c r="CZ45" s="99">
        <f t="shared" si="46"/>
        <v>0</v>
      </c>
      <c r="DA45" s="99">
        <f t="shared" si="46"/>
        <v>0</v>
      </c>
      <c r="DB45" s="99">
        <f t="shared" si="46"/>
        <v>0</v>
      </c>
      <c r="DC45" s="99">
        <f t="shared" si="46"/>
        <v>0</v>
      </c>
      <c r="DD45" s="99">
        <f t="shared" si="46"/>
        <v>0</v>
      </c>
      <c r="DE45" s="99">
        <f t="shared" si="46"/>
        <v>0</v>
      </c>
      <c r="DF45" s="99">
        <f t="shared" si="46"/>
        <v>0</v>
      </c>
      <c r="DG45" s="99">
        <f t="shared" si="46"/>
        <v>0</v>
      </c>
      <c r="DH45" s="99">
        <f t="shared" si="46"/>
        <v>0</v>
      </c>
      <c r="DI45" s="99">
        <f t="shared" si="46"/>
        <v>0</v>
      </c>
      <c r="DJ45" s="99">
        <f t="shared" si="46"/>
        <v>0</v>
      </c>
      <c r="DK45" s="99">
        <f t="shared" si="46"/>
        <v>0</v>
      </c>
      <c r="DL45" s="99">
        <f t="shared" si="46"/>
        <v>0</v>
      </c>
      <c r="DM45" s="99">
        <f t="shared" si="46"/>
        <v>0</v>
      </c>
      <c r="DN45" s="98"/>
      <c r="DO45" s="98"/>
      <c r="DP45" s="99">
        <f t="shared" ref="DP45:EK45" si="47">SUM(DP46:DP47)</f>
        <v>0</v>
      </c>
      <c r="DQ45" s="99">
        <f t="shared" si="47"/>
        <v>0</v>
      </c>
      <c r="DR45" s="99">
        <f t="shared" si="47"/>
        <v>0</v>
      </c>
      <c r="DS45" s="99">
        <f t="shared" si="47"/>
        <v>0</v>
      </c>
      <c r="DT45" s="99">
        <f t="shared" si="47"/>
        <v>0</v>
      </c>
      <c r="DU45" s="99">
        <f t="shared" si="47"/>
        <v>0</v>
      </c>
      <c r="DV45" s="99">
        <f t="shared" si="47"/>
        <v>0</v>
      </c>
      <c r="DW45" s="99">
        <f t="shared" si="47"/>
        <v>0</v>
      </c>
      <c r="DX45" s="99">
        <f t="shared" si="47"/>
        <v>0</v>
      </c>
      <c r="DY45" s="99">
        <f t="shared" si="47"/>
        <v>0</v>
      </c>
      <c r="DZ45" s="99">
        <f t="shared" si="47"/>
        <v>0</v>
      </c>
      <c r="EA45" s="99">
        <f t="shared" si="47"/>
        <v>0</v>
      </c>
      <c r="EB45" s="99">
        <f t="shared" si="47"/>
        <v>0</v>
      </c>
      <c r="EC45" s="99">
        <f t="shared" si="47"/>
        <v>0</v>
      </c>
      <c r="ED45" s="99">
        <f t="shared" si="47"/>
        <v>0</v>
      </c>
      <c r="EE45" s="99">
        <f t="shared" si="47"/>
        <v>0</v>
      </c>
      <c r="EF45" s="99">
        <f t="shared" si="47"/>
        <v>0</v>
      </c>
      <c r="EG45" s="99">
        <f t="shared" si="47"/>
        <v>0</v>
      </c>
      <c r="EH45" s="99">
        <f t="shared" si="47"/>
        <v>0</v>
      </c>
      <c r="EI45" s="99">
        <f t="shared" si="47"/>
        <v>0</v>
      </c>
      <c r="EJ45" s="99">
        <f t="shared" si="47"/>
        <v>0</v>
      </c>
      <c r="EK45" s="99">
        <f t="shared" si="47"/>
        <v>0</v>
      </c>
      <c r="EL45" s="98"/>
      <c r="EM45" s="98"/>
    </row>
    <row r="46" spans="1:143" s="3" customFormat="1" ht="25" customHeight="1">
      <c r="A46" s="102" t="s">
        <v>25</v>
      </c>
      <c r="B46" s="5">
        <v>321</v>
      </c>
      <c r="C46" s="56" t="s">
        <v>24</v>
      </c>
      <c r="D46" s="55"/>
      <c r="E46" s="52">
        <v>0</v>
      </c>
      <c r="F46" s="52">
        <v>0</v>
      </c>
      <c r="G46" s="52">
        <v>11904.17</v>
      </c>
      <c r="H46" s="52">
        <v>16894.72</v>
      </c>
      <c r="I46" s="52">
        <v>0</v>
      </c>
      <c r="J46" s="52">
        <f>54000+49684.66</f>
        <v>103684.66</v>
      </c>
      <c r="K46" s="52">
        <f>37318.19+215.96+5100</f>
        <v>42634.15</v>
      </c>
      <c r="L46" s="52">
        <v>-54000</v>
      </c>
      <c r="M46" s="52">
        <v>0</v>
      </c>
      <c r="N46" s="52">
        <v>89702.63</v>
      </c>
      <c r="O46" s="52">
        <v>32526.31</v>
      </c>
      <c r="P46" s="52">
        <v>31958.85</v>
      </c>
      <c r="Q46" s="52">
        <v>24794.29</v>
      </c>
      <c r="R46" s="52">
        <v>0</v>
      </c>
      <c r="S46" s="52">
        <v>0</v>
      </c>
      <c r="T46" s="52">
        <v>19902.560000000001</v>
      </c>
      <c r="U46" s="52">
        <v>0</v>
      </c>
      <c r="V46" s="52">
        <v>0</v>
      </c>
      <c r="W46" s="52">
        <f>8485.83+35318.25-44088.63+44230.4+32.4</f>
        <v>43978.250000000007</v>
      </c>
      <c r="X46" s="52">
        <v>27073.8</v>
      </c>
      <c r="Y46" s="55">
        <f>SUM(E46:$X$46)</f>
        <v>391054.38999999996</v>
      </c>
      <c r="Z46" s="52">
        <f>28910.19-4000</f>
        <v>24910.19</v>
      </c>
      <c r="AA46" s="55">
        <f>SUM(E46:Z46)-Y46</f>
        <v>415964.5799999999</v>
      </c>
      <c r="AB46" s="97">
        <f>600000-AA46</f>
        <v>184035.4200000001</v>
      </c>
      <c r="AC46" s="52">
        <v>8000</v>
      </c>
      <c r="AD46" s="52">
        <v>177874.66999999998</v>
      </c>
      <c r="AE46" s="52">
        <v>-17314.169999999998</v>
      </c>
      <c r="AF46" s="52">
        <v>167335.77000000002</v>
      </c>
      <c r="AG46" s="52">
        <v>51914.99</v>
      </c>
      <c r="AH46" s="52">
        <v>14971.65</v>
      </c>
      <c r="AI46" s="52">
        <v>33513.440000000002</v>
      </c>
      <c r="AJ46" s="52">
        <v>7485.83</v>
      </c>
      <c r="AK46" s="52">
        <v>25834</v>
      </c>
      <c r="AL46" s="52">
        <v>4661.05</v>
      </c>
      <c r="AM46" s="52">
        <v>7511.33</v>
      </c>
      <c r="AN46" s="52">
        <v>139336.13</v>
      </c>
      <c r="AO46" s="52">
        <f>69511.18-106.28+106.28</f>
        <v>69511.179999999993</v>
      </c>
      <c r="AP46" s="52">
        <v>15271.65</v>
      </c>
      <c r="AQ46" s="52">
        <v>79222.89</v>
      </c>
      <c r="AR46" s="52">
        <f>20634.74+8476.4-37318.19+57950.9-20693.73+61.02</f>
        <v>29111.14</v>
      </c>
      <c r="AS46" s="52">
        <f>27.65+61</f>
        <v>88.65</v>
      </c>
      <c r="AT46" s="52">
        <f>24915.26+61.02</f>
        <v>24976.28</v>
      </c>
      <c r="AU46" s="55">
        <f>SUM($AC46:AT46)</f>
        <v>839306.48000000021</v>
      </c>
      <c r="AV46" s="97" t="e">
        <f>850000-#REF!</f>
        <v>#REF!</v>
      </c>
      <c r="AW46" s="52">
        <v>0</v>
      </c>
      <c r="AX46" s="52">
        <v>0</v>
      </c>
      <c r="AY46" s="52">
        <v>0</v>
      </c>
      <c r="AZ46" s="52">
        <v>0</v>
      </c>
      <c r="BA46" s="52">
        <v>0</v>
      </c>
      <c r="BB46" s="52">
        <v>0</v>
      </c>
      <c r="BC46" s="52">
        <v>0</v>
      </c>
      <c r="BD46" s="52">
        <v>0</v>
      </c>
      <c r="BE46" s="52">
        <v>0</v>
      </c>
      <c r="BF46" s="52">
        <v>0</v>
      </c>
      <c r="BG46" s="52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5"/>
      <c r="BT46" s="55"/>
      <c r="BU46" s="52">
        <v>0</v>
      </c>
      <c r="BV46" s="52">
        <v>0</v>
      </c>
      <c r="BW46" s="52">
        <v>0</v>
      </c>
      <c r="BX46" s="52">
        <v>0</v>
      </c>
      <c r="BY46" s="52">
        <v>0</v>
      </c>
      <c r="BZ46" s="52">
        <v>0</v>
      </c>
      <c r="CA46" s="52">
        <v>0</v>
      </c>
      <c r="CB46" s="52">
        <v>0</v>
      </c>
      <c r="CC46" s="52">
        <v>0</v>
      </c>
      <c r="CD46" s="52">
        <v>0</v>
      </c>
      <c r="CE46" s="52">
        <v>0</v>
      </c>
      <c r="CF46" s="52">
        <v>0</v>
      </c>
      <c r="CG46" s="52">
        <v>0</v>
      </c>
      <c r="CH46" s="52">
        <v>0</v>
      </c>
      <c r="CI46" s="52">
        <v>0</v>
      </c>
      <c r="CJ46" s="52">
        <v>0</v>
      </c>
      <c r="CK46" s="52">
        <v>0</v>
      </c>
      <c r="CL46" s="52">
        <v>0</v>
      </c>
      <c r="CM46" s="52">
        <v>0</v>
      </c>
      <c r="CN46" s="52">
        <v>0</v>
      </c>
      <c r="CO46" s="52">
        <v>0</v>
      </c>
      <c r="CP46" s="52">
        <v>0</v>
      </c>
      <c r="CQ46" s="55"/>
      <c r="CR46" s="55"/>
      <c r="CS46" s="52">
        <v>0</v>
      </c>
      <c r="CT46" s="52">
        <v>0</v>
      </c>
      <c r="CU46" s="52">
        <v>0</v>
      </c>
      <c r="CV46" s="52">
        <v>0</v>
      </c>
      <c r="CW46" s="52">
        <v>0</v>
      </c>
      <c r="CX46" s="52">
        <v>0</v>
      </c>
      <c r="CY46" s="52">
        <v>0</v>
      </c>
      <c r="CZ46" s="52">
        <v>0</v>
      </c>
      <c r="DA46" s="52">
        <v>0</v>
      </c>
      <c r="DB46" s="52">
        <v>0</v>
      </c>
      <c r="DC46" s="52">
        <v>0</v>
      </c>
      <c r="DD46" s="52">
        <v>0</v>
      </c>
      <c r="DE46" s="52">
        <v>0</v>
      </c>
      <c r="DF46" s="52">
        <v>0</v>
      </c>
      <c r="DG46" s="52">
        <v>0</v>
      </c>
      <c r="DH46" s="52">
        <v>0</v>
      </c>
      <c r="DI46" s="52">
        <v>0</v>
      </c>
      <c r="DJ46" s="52">
        <v>0</v>
      </c>
      <c r="DK46" s="52">
        <v>0</v>
      </c>
      <c r="DL46" s="52">
        <v>0</v>
      </c>
      <c r="DM46" s="52">
        <v>0</v>
      </c>
      <c r="DN46" s="55"/>
      <c r="DO46" s="55"/>
      <c r="DP46" s="52">
        <v>0</v>
      </c>
      <c r="DQ46" s="52">
        <v>0</v>
      </c>
      <c r="DR46" s="52">
        <v>0</v>
      </c>
      <c r="DS46" s="52">
        <v>0</v>
      </c>
      <c r="DT46" s="52">
        <v>0</v>
      </c>
      <c r="DU46" s="52">
        <v>0</v>
      </c>
      <c r="DV46" s="52">
        <v>0</v>
      </c>
      <c r="DW46" s="52">
        <v>0</v>
      </c>
      <c r="DX46" s="52">
        <v>0</v>
      </c>
      <c r="DY46" s="52">
        <v>0</v>
      </c>
      <c r="DZ46" s="52">
        <v>0</v>
      </c>
      <c r="EA46" s="52">
        <v>0</v>
      </c>
      <c r="EB46" s="52">
        <v>0</v>
      </c>
      <c r="EC46" s="52">
        <v>0</v>
      </c>
      <c r="ED46" s="52">
        <v>0</v>
      </c>
      <c r="EE46" s="52">
        <v>0</v>
      </c>
      <c r="EF46" s="52">
        <v>0</v>
      </c>
      <c r="EG46" s="52">
        <v>0</v>
      </c>
      <c r="EH46" s="52">
        <v>0</v>
      </c>
      <c r="EI46" s="52">
        <v>0</v>
      </c>
      <c r="EJ46" s="52">
        <v>0</v>
      </c>
      <c r="EK46" s="52">
        <v>0</v>
      </c>
      <c r="EL46" s="55"/>
      <c r="EM46" s="55"/>
    </row>
    <row r="47" spans="1:143" s="3" customFormat="1" ht="25" customHeight="1">
      <c r="A47" s="15"/>
      <c r="B47" s="5">
        <v>322</v>
      </c>
      <c r="C47" s="56" t="s">
        <v>23</v>
      </c>
      <c r="D47" s="55"/>
      <c r="E47" s="52">
        <v>550.13</v>
      </c>
      <c r="F47" s="52">
        <v>10000</v>
      </c>
      <c r="G47" s="52">
        <v>0</v>
      </c>
      <c r="H47" s="52">
        <v>0</v>
      </c>
      <c r="I47" s="52">
        <v>3127.97</v>
      </c>
      <c r="J47" s="52">
        <v>1500</v>
      </c>
      <c r="K47" s="52">
        <v>0</v>
      </c>
      <c r="L47" s="52">
        <v>1448</v>
      </c>
      <c r="M47" s="52">
        <v>22268.29</v>
      </c>
      <c r="N47" s="52">
        <v>0</v>
      </c>
      <c r="O47" s="52">
        <v>0</v>
      </c>
      <c r="P47" s="52">
        <v>3127.97</v>
      </c>
      <c r="Q47" s="52">
        <v>0</v>
      </c>
      <c r="R47" s="52">
        <v>0</v>
      </c>
      <c r="S47" s="52">
        <v>15891.05</v>
      </c>
      <c r="T47" s="52">
        <f>99095.86+7097.23+4771.97+259.87</f>
        <v>111224.93</v>
      </c>
      <c r="U47" s="52">
        <f>44088.63+141.77</f>
        <v>44230.399999999994</v>
      </c>
      <c r="V47" s="52">
        <v>23657.66</v>
      </c>
      <c r="W47" s="52">
        <v>16141.12</v>
      </c>
      <c r="X47" s="52">
        <v>-174.17</v>
      </c>
      <c r="Y47" s="55">
        <f>SUM(E47:$X$47)</f>
        <v>252993.34999999998</v>
      </c>
      <c r="Z47" s="52">
        <f>149985.68-11080.84+174.17</f>
        <v>139079.01</v>
      </c>
      <c r="AA47" s="55">
        <f>SUM(E47:Z47)-Y47</f>
        <v>392072.36</v>
      </c>
      <c r="AB47" s="97">
        <f>599898-AA47</f>
        <v>207825.64</v>
      </c>
      <c r="AC47" s="52">
        <v>0</v>
      </c>
      <c r="AD47" s="52">
        <v>11080.84</v>
      </c>
      <c r="AE47" s="52">
        <v>0</v>
      </c>
      <c r="AF47" s="52">
        <v>10000</v>
      </c>
      <c r="AG47" s="52">
        <v>0</v>
      </c>
      <c r="AH47" s="52">
        <v>-4536093.54</v>
      </c>
      <c r="AI47" s="52">
        <v>4536093.54</v>
      </c>
      <c r="AJ47" s="52">
        <v>89597.98</v>
      </c>
      <c r="AK47" s="52">
        <v>0</v>
      </c>
      <c r="AL47" s="52">
        <v>0</v>
      </c>
      <c r="AM47" s="52">
        <f>323.41</f>
        <v>323.41000000000003</v>
      </c>
      <c r="AN47" s="52">
        <v>0</v>
      </c>
      <c r="AO47" s="52">
        <v>0</v>
      </c>
      <c r="AP47" s="52">
        <v>19683.59</v>
      </c>
      <c r="AQ47" s="52">
        <v>0</v>
      </c>
      <c r="AR47" s="52">
        <v>0</v>
      </c>
      <c r="AS47" s="52">
        <v>11157.06</v>
      </c>
      <c r="AT47" s="52">
        <v>147359.01</v>
      </c>
      <c r="AU47" s="55">
        <f>SUM($AC47:AT47)</f>
        <v>289201.8899999999</v>
      </c>
      <c r="AV47" s="97" t="e">
        <f>913063+332651-#REF!</f>
        <v>#REF!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0</v>
      </c>
      <c r="BE47" s="52">
        <v>0</v>
      </c>
      <c r="BF47" s="52">
        <v>0</v>
      </c>
      <c r="BG47" s="52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5"/>
      <c r="BT47" s="55"/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0</v>
      </c>
      <c r="CJ47" s="52">
        <v>0</v>
      </c>
      <c r="CK47" s="52">
        <v>0</v>
      </c>
      <c r="CL47" s="52">
        <v>0</v>
      </c>
      <c r="CM47" s="52">
        <v>0</v>
      </c>
      <c r="CN47" s="52">
        <v>0</v>
      </c>
      <c r="CO47" s="52">
        <v>0</v>
      </c>
      <c r="CP47" s="52">
        <v>0</v>
      </c>
      <c r="CQ47" s="55"/>
      <c r="CR47" s="55"/>
      <c r="CS47" s="52">
        <v>0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5"/>
      <c r="DO47" s="55"/>
      <c r="DP47" s="52">
        <v>0</v>
      </c>
      <c r="DQ47" s="52">
        <v>0</v>
      </c>
      <c r="DR47" s="52">
        <v>0</v>
      </c>
      <c r="DS47" s="52">
        <v>0</v>
      </c>
      <c r="DT47" s="52">
        <v>0</v>
      </c>
      <c r="DU47" s="52">
        <v>0</v>
      </c>
      <c r="DV47" s="52">
        <v>0</v>
      </c>
      <c r="DW47" s="52">
        <v>0</v>
      </c>
      <c r="DX47" s="52">
        <v>0</v>
      </c>
      <c r="DY47" s="52">
        <v>0</v>
      </c>
      <c r="DZ47" s="52">
        <v>0</v>
      </c>
      <c r="EA47" s="52">
        <v>0</v>
      </c>
      <c r="EB47" s="52">
        <v>0</v>
      </c>
      <c r="EC47" s="52">
        <v>0</v>
      </c>
      <c r="ED47" s="52">
        <v>0</v>
      </c>
      <c r="EE47" s="52">
        <v>0</v>
      </c>
      <c r="EF47" s="52">
        <v>0</v>
      </c>
      <c r="EG47" s="52">
        <v>0</v>
      </c>
      <c r="EH47" s="52">
        <v>0</v>
      </c>
      <c r="EI47" s="52">
        <v>0</v>
      </c>
      <c r="EJ47" s="52">
        <v>0</v>
      </c>
      <c r="EK47" s="52">
        <v>0</v>
      </c>
      <c r="EL47" s="55"/>
      <c r="EM47" s="55"/>
    </row>
    <row r="48" spans="1:143" s="2" customFormat="1" ht="25" customHeight="1">
      <c r="A48" s="36"/>
      <c r="B48" s="5"/>
      <c r="C48" s="101" t="s">
        <v>22</v>
      </c>
      <c r="D48" s="98"/>
      <c r="E48" s="99">
        <f t="shared" ref="E48:AB48" si="48">SUM(E49:E51)</f>
        <v>10293664.41</v>
      </c>
      <c r="F48" s="99">
        <f t="shared" si="48"/>
        <v>5371117.9700000007</v>
      </c>
      <c r="G48" s="99">
        <f t="shared" si="48"/>
        <v>0</v>
      </c>
      <c r="H48" s="99">
        <f t="shared" si="48"/>
        <v>600935.23</v>
      </c>
      <c r="I48" s="99">
        <f t="shared" si="48"/>
        <v>704665.64</v>
      </c>
      <c r="J48" s="99">
        <f t="shared" si="48"/>
        <v>68789.31</v>
      </c>
      <c r="K48" s="99">
        <f t="shared" si="48"/>
        <v>182187.86</v>
      </c>
      <c r="L48" s="99">
        <f t="shared" si="48"/>
        <v>26894</v>
      </c>
      <c r="M48" s="99">
        <f t="shared" si="48"/>
        <v>898169.91</v>
      </c>
      <c r="N48" s="99">
        <f t="shared" si="48"/>
        <v>62519.25</v>
      </c>
      <c r="O48" s="99">
        <f t="shared" si="48"/>
        <v>4468</v>
      </c>
      <c r="P48" s="99">
        <f t="shared" si="48"/>
        <v>28659.35</v>
      </c>
      <c r="Q48" s="99">
        <f t="shared" si="48"/>
        <v>1372785.9</v>
      </c>
      <c r="R48" s="99">
        <f t="shared" si="48"/>
        <v>23502.02</v>
      </c>
      <c r="S48" s="99">
        <f t="shared" si="48"/>
        <v>8549.9500000000007</v>
      </c>
      <c r="T48" s="99">
        <f t="shared" si="48"/>
        <v>1209125.6100000001</v>
      </c>
      <c r="U48" s="99">
        <f t="shared" si="48"/>
        <v>2165.96</v>
      </c>
      <c r="V48" s="99">
        <f t="shared" si="48"/>
        <v>0</v>
      </c>
      <c r="W48" s="99">
        <f t="shared" si="48"/>
        <v>7029.02</v>
      </c>
      <c r="X48" s="99">
        <f t="shared" si="48"/>
        <v>51278.1</v>
      </c>
      <c r="Y48" s="98">
        <f t="shared" si="48"/>
        <v>20916507.489999995</v>
      </c>
      <c r="Z48" s="99">
        <f t="shared" si="48"/>
        <v>925905.35000000009</v>
      </c>
      <c r="AA48" s="98">
        <f t="shared" si="48"/>
        <v>21842412.839999996</v>
      </c>
      <c r="AB48" s="100">
        <f t="shared" si="48"/>
        <v>4368542.4400000051</v>
      </c>
      <c r="AC48" s="99">
        <v>112909.94</v>
      </c>
      <c r="AD48" s="99">
        <v>40390.449999999997</v>
      </c>
      <c r="AE48" s="99">
        <v>4909968.1999999993</v>
      </c>
      <c r="AF48" s="99">
        <v>1185107.08</v>
      </c>
      <c r="AG48" s="99">
        <v>5095034.0999999996</v>
      </c>
      <c r="AH48" s="99">
        <v>7356282.8799999999</v>
      </c>
      <c r="AI48" s="99">
        <v>145243.06</v>
      </c>
      <c r="AJ48" s="99">
        <v>16514.78</v>
      </c>
      <c r="AK48" s="99">
        <v>24432.15</v>
      </c>
      <c r="AL48" s="99">
        <v>115743.19</v>
      </c>
      <c r="AM48" s="99">
        <f t="shared" ref="AM48:AT48" si="49">SUM(AM49:AM51)</f>
        <v>169932.47</v>
      </c>
      <c r="AN48" s="99">
        <f t="shared" si="49"/>
        <v>0</v>
      </c>
      <c r="AO48" s="99">
        <f t="shared" si="49"/>
        <v>1600390.24</v>
      </c>
      <c r="AP48" s="99">
        <f t="shared" si="49"/>
        <v>48095.12</v>
      </c>
      <c r="AQ48" s="99">
        <f t="shared" si="49"/>
        <v>54551.71</v>
      </c>
      <c r="AR48" s="99">
        <f t="shared" si="49"/>
        <v>51009.38</v>
      </c>
      <c r="AS48" s="99">
        <f t="shared" si="49"/>
        <v>6774.49</v>
      </c>
      <c r="AT48" s="99">
        <f t="shared" si="49"/>
        <v>919295.71</v>
      </c>
      <c r="AU48" s="98">
        <f t="shared" ref="AU48:BR48" si="50">SUM(AU49:AU51)</f>
        <v>21851674.950000003</v>
      </c>
      <c r="AV48" s="100" t="e">
        <f t="shared" si="50"/>
        <v>#REF!</v>
      </c>
      <c r="AW48" s="99">
        <f t="shared" si="50"/>
        <v>0</v>
      </c>
      <c r="AX48" s="99">
        <f t="shared" si="50"/>
        <v>0</v>
      </c>
      <c r="AY48" s="99">
        <f t="shared" si="50"/>
        <v>0</v>
      </c>
      <c r="AZ48" s="99">
        <f t="shared" si="50"/>
        <v>0</v>
      </c>
      <c r="BA48" s="99">
        <f t="shared" si="50"/>
        <v>0</v>
      </c>
      <c r="BB48" s="99">
        <f t="shared" si="50"/>
        <v>0</v>
      </c>
      <c r="BC48" s="99">
        <f t="shared" si="50"/>
        <v>0</v>
      </c>
      <c r="BD48" s="99">
        <f t="shared" si="50"/>
        <v>0</v>
      </c>
      <c r="BE48" s="99">
        <f t="shared" si="50"/>
        <v>0</v>
      </c>
      <c r="BF48" s="99">
        <f t="shared" si="50"/>
        <v>0</v>
      </c>
      <c r="BG48" s="99">
        <f t="shared" si="50"/>
        <v>0</v>
      </c>
      <c r="BH48" s="99">
        <f t="shared" si="50"/>
        <v>0</v>
      </c>
      <c r="BI48" s="99">
        <f t="shared" si="50"/>
        <v>0</v>
      </c>
      <c r="BJ48" s="99">
        <f t="shared" si="50"/>
        <v>0</v>
      </c>
      <c r="BK48" s="99">
        <f t="shared" si="50"/>
        <v>0</v>
      </c>
      <c r="BL48" s="99">
        <f t="shared" si="50"/>
        <v>0</v>
      </c>
      <c r="BM48" s="99">
        <f t="shared" si="50"/>
        <v>0</v>
      </c>
      <c r="BN48" s="99">
        <f t="shared" si="50"/>
        <v>0</v>
      </c>
      <c r="BO48" s="99">
        <f t="shared" si="50"/>
        <v>0</v>
      </c>
      <c r="BP48" s="99">
        <f t="shared" si="50"/>
        <v>0</v>
      </c>
      <c r="BQ48" s="99">
        <f t="shared" si="50"/>
        <v>0</v>
      </c>
      <c r="BR48" s="99">
        <f t="shared" si="50"/>
        <v>0</v>
      </c>
      <c r="BS48" s="98"/>
      <c r="BT48" s="98"/>
      <c r="BU48" s="99">
        <f t="shared" ref="BU48:CP48" si="51">SUM(BU49:BU51)</f>
        <v>0</v>
      </c>
      <c r="BV48" s="99">
        <f t="shared" si="51"/>
        <v>0</v>
      </c>
      <c r="BW48" s="99">
        <f t="shared" si="51"/>
        <v>0</v>
      </c>
      <c r="BX48" s="99">
        <f t="shared" si="51"/>
        <v>0</v>
      </c>
      <c r="BY48" s="99">
        <f t="shared" si="51"/>
        <v>0</v>
      </c>
      <c r="BZ48" s="99">
        <f t="shared" si="51"/>
        <v>0</v>
      </c>
      <c r="CA48" s="99">
        <f t="shared" si="51"/>
        <v>0</v>
      </c>
      <c r="CB48" s="99">
        <f t="shared" si="51"/>
        <v>0</v>
      </c>
      <c r="CC48" s="99">
        <f t="shared" si="51"/>
        <v>0</v>
      </c>
      <c r="CD48" s="99">
        <f t="shared" si="51"/>
        <v>0</v>
      </c>
      <c r="CE48" s="99">
        <f t="shared" si="51"/>
        <v>0</v>
      </c>
      <c r="CF48" s="99">
        <f t="shared" si="51"/>
        <v>0</v>
      </c>
      <c r="CG48" s="99">
        <f t="shared" si="51"/>
        <v>0</v>
      </c>
      <c r="CH48" s="99">
        <f t="shared" si="51"/>
        <v>0</v>
      </c>
      <c r="CI48" s="99">
        <f t="shared" si="51"/>
        <v>0</v>
      </c>
      <c r="CJ48" s="99">
        <f t="shared" si="51"/>
        <v>0</v>
      </c>
      <c r="CK48" s="99">
        <f t="shared" si="51"/>
        <v>0</v>
      </c>
      <c r="CL48" s="99">
        <f t="shared" si="51"/>
        <v>0</v>
      </c>
      <c r="CM48" s="99">
        <f t="shared" si="51"/>
        <v>0</v>
      </c>
      <c r="CN48" s="99">
        <f t="shared" si="51"/>
        <v>0</v>
      </c>
      <c r="CO48" s="99">
        <f t="shared" si="51"/>
        <v>0</v>
      </c>
      <c r="CP48" s="99">
        <f t="shared" si="51"/>
        <v>0</v>
      </c>
      <c r="CQ48" s="98"/>
      <c r="CR48" s="98"/>
      <c r="CS48" s="99">
        <f t="shared" ref="CS48:DM48" si="52">SUM(CS49:CS51)</f>
        <v>0</v>
      </c>
      <c r="CT48" s="99">
        <f t="shared" si="52"/>
        <v>0</v>
      </c>
      <c r="CU48" s="99">
        <f t="shared" si="52"/>
        <v>0</v>
      </c>
      <c r="CV48" s="99">
        <f t="shared" si="52"/>
        <v>0</v>
      </c>
      <c r="CW48" s="99">
        <f t="shared" si="52"/>
        <v>0</v>
      </c>
      <c r="CX48" s="99">
        <f t="shared" si="52"/>
        <v>0</v>
      </c>
      <c r="CY48" s="99">
        <f t="shared" si="52"/>
        <v>0</v>
      </c>
      <c r="CZ48" s="99">
        <f t="shared" si="52"/>
        <v>0</v>
      </c>
      <c r="DA48" s="99">
        <f t="shared" si="52"/>
        <v>0</v>
      </c>
      <c r="DB48" s="99">
        <f t="shared" si="52"/>
        <v>0</v>
      </c>
      <c r="DC48" s="99">
        <f t="shared" si="52"/>
        <v>0</v>
      </c>
      <c r="DD48" s="99">
        <f t="shared" si="52"/>
        <v>0</v>
      </c>
      <c r="DE48" s="99">
        <f t="shared" si="52"/>
        <v>0</v>
      </c>
      <c r="DF48" s="99">
        <f t="shared" si="52"/>
        <v>0</v>
      </c>
      <c r="DG48" s="99">
        <f t="shared" si="52"/>
        <v>0</v>
      </c>
      <c r="DH48" s="99">
        <f t="shared" si="52"/>
        <v>0</v>
      </c>
      <c r="DI48" s="99">
        <f t="shared" si="52"/>
        <v>0</v>
      </c>
      <c r="DJ48" s="99">
        <f t="shared" si="52"/>
        <v>0</v>
      </c>
      <c r="DK48" s="99">
        <f t="shared" si="52"/>
        <v>0</v>
      </c>
      <c r="DL48" s="99">
        <f t="shared" si="52"/>
        <v>0</v>
      </c>
      <c r="DM48" s="99">
        <f t="shared" si="52"/>
        <v>0</v>
      </c>
      <c r="DN48" s="98"/>
      <c r="DO48" s="98"/>
      <c r="DP48" s="99">
        <f t="shared" ref="DP48:EK48" si="53">SUM(DP49:DP51)</f>
        <v>0</v>
      </c>
      <c r="DQ48" s="99">
        <f t="shared" si="53"/>
        <v>0</v>
      </c>
      <c r="DR48" s="99">
        <f t="shared" si="53"/>
        <v>0</v>
      </c>
      <c r="DS48" s="99">
        <f t="shared" si="53"/>
        <v>0</v>
      </c>
      <c r="DT48" s="99">
        <f t="shared" si="53"/>
        <v>0</v>
      </c>
      <c r="DU48" s="99">
        <f t="shared" si="53"/>
        <v>0</v>
      </c>
      <c r="DV48" s="99">
        <f t="shared" si="53"/>
        <v>0</v>
      </c>
      <c r="DW48" s="99">
        <f t="shared" si="53"/>
        <v>0</v>
      </c>
      <c r="DX48" s="99">
        <f t="shared" si="53"/>
        <v>0</v>
      </c>
      <c r="DY48" s="99">
        <f t="shared" si="53"/>
        <v>0</v>
      </c>
      <c r="DZ48" s="99">
        <f t="shared" si="53"/>
        <v>0</v>
      </c>
      <c r="EA48" s="99">
        <f t="shared" si="53"/>
        <v>0</v>
      </c>
      <c r="EB48" s="99">
        <f t="shared" si="53"/>
        <v>0</v>
      </c>
      <c r="EC48" s="99">
        <f t="shared" si="53"/>
        <v>0</v>
      </c>
      <c r="ED48" s="99">
        <f t="shared" si="53"/>
        <v>0</v>
      </c>
      <c r="EE48" s="99">
        <f t="shared" si="53"/>
        <v>0</v>
      </c>
      <c r="EF48" s="99">
        <f t="shared" si="53"/>
        <v>0</v>
      </c>
      <c r="EG48" s="99">
        <f t="shared" si="53"/>
        <v>0</v>
      </c>
      <c r="EH48" s="99">
        <f t="shared" si="53"/>
        <v>0</v>
      </c>
      <c r="EI48" s="99">
        <f t="shared" si="53"/>
        <v>0</v>
      </c>
      <c r="EJ48" s="99">
        <f t="shared" si="53"/>
        <v>0</v>
      </c>
      <c r="EK48" s="99">
        <f t="shared" si="53"/>
        <v>0</v>
      </c>
      <c r="EL48" s="98"/>
      <c r="EM48" s="98"/>
    </row>
    <row r="49" spans="1:144" s="3" customFormat="1" ht="25" customHeight="1">
      <c r="A49" s="15"/>
      <c r="B49" s="5">
        <v>331</v>
      </c>
      <c r="C49" s="29" t="s">
        <v>21</v>
      </c>
      <c r="D49" s="27"/>
      <c r="E49" s="25">
        <f>10294491.89-10277711-827.4</f>
        <v>15953.490000000596</v>
      </c>
      <c r="F49" s="25">
        <f>41953+827.4</f>
        <v>42780.4</v>
      </c>
      <c r="G49" s="25">
        <v>0</v>
      </c>
      <c r="H49" s="25">
        <v>977.89</v>
      </c>
      <c r="I49" s="25">
        <v>21702.79</v>
      </c>
      <c r="J49" s="25">
        <f>68789.31-66004</f>
        <v>2785.3099999999977</v>
      </c>
      <c r="K49" s="25">
        <f>182187.19-49379-125511</f>
        <v>7297.1900000000023</v>
      </c>
      <c r="L49" s="25">
        <v>0</v>
      </c>
      <c r="M49" s="25">
        <f>898169.91-892567</f>
        <v>5602.9100000000326</v>
      </c>
      <c r="N49" s="25">
        <f>62519.25-4110</f>
        <v>58409.25</v>
      </c>
      <c r="O49" s="25">
        <v>4468</v>
      </c>
      <c r="P49" s="25">
        <v>12714.65</v>
      </c>
      <c r="Q49" s="25">
        <f>128330.17-25386.9</f>
        <v>102943.26999999999</v>
      </c>
      <c r="R49" s="25">
        <v>8631.82</v>
      </c>
      <c r="S49" s="25">
        <v>8549.9500000000007</v>
      </c>
      <c r="T49" s="25">
        <v>0</v>
      </c>
      <c r="U49" s="25">
        <v>2165.96</v>
      </c>
      <c r="V49" s="25">
        <v>0</v>
      </c>
      <c r="W49" s="25">
        <v>0</v>
      </c>
      <c r="X49" s="25">
        <f>51278.1-47708.1</f>
        <v>3570</v>
      </c>
      <c r="Y49" s="27">
        <f>SUM(E49:$X$49)</f>
        <v>298552.88000000064</v>
      </c>
      <c r="Z49" s="25">
        <f>1630692.55-576134.47-1019455-21327</f>
        <v>13776.080000000075</v>
      </c>
      <c r="AA49" s="55">
        <f>SUM(E49:Z49)-Y49</f>
        <v>312328.96000000072</v>
      </c>
      <c r="AB49" s="28">
        <f>342675-AA49</f>
        <v>30346.039999999281</v>
      </c>
      <c r="AC49" s="25">
        <v>1700.4199999999983</v>
      </c>
      <c r="AD49" s="25">
        <v>0</v>
      </c>
      <c r="AE49" s="25">
        <v>13726.679999999998</v>
      </c>
      <c r="AF49" s="25">
        <v>8296.58</v>
      </c>
      <c r="AG49" s="25">
        <v>37658</v>
      </c>
      <c r="AH49" s="25">
        <v>827.57000000029802</v>
      </c>
      <c r="AI49" s="25">
        <v>180</v>
      </c>
      <c r="AJ49" s="25">
        <v>340</v>
      </c>
      <c r="AK49" s="25">
        <v>24432.15</v>
      </c>
      <c r="AL49" s="25">
        <v>60207</v>
      </c>
      <c r="AM49" s="25">
        <f>169932.21-150882</f>
        <v>19050.209999999992</v>
      </c>
      <c r="AN49" s="25">
        <v>0</v>
      </c>
      <c r="AO49" s="25">
        <v>0</v>
      </c>
      <c r="AP49" s="25">
        <f>102646.83-54551.71</f>
        <v>48095.12</v>
      </c>
      <c r="AQ49" s="25">
        <f>54551.71</f>
        <v>54551.71</v>
      </c>
      <c r="AR49" s="25">
        <f>51008.93-47333</f>
        <v>3675.9300000000003</v>
      </c>
      <c r="AS49" s="25">
        <v>6774.49</v>
      </c>
      <c r="AT49" s="25">
        <v>0</v>
      </c>
      <c r="AU49" s="27">
        <f>SUM($AC49:AT49)</f>
        <v>279515.86000000028</v>
      </c>
      <c r="AV49" s="28" t="e">
        <f>495170-#REF!</f>
        <v>#REF!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27"/>
      <c r="BT49" s="27"/>
      <c r="BU49" s="25">
        <v>0</v>
      </c>
      <c r="BV49" s="25">
        <v>0</v>
      </c>
      <c r="BW49" s="25">
        <v>0</v>
      </c>
      <c r="BX49" s="25">
        <v>0</v>
      </c>
      <c r="BY49" s="25">
        <v>0</v>
      </c>
      <c r="BZ49" s="25">
        <v>0</v>
      </c>
      <c r="CA49" s="25">
        <v>0</v>
      </c>
      <c r="CB49" s="25">
        <v>0</v>
      </c>
      <c r="CC49" s="25">
        <v>0</v>
      </c>
      <c r="CD49" s="25">
        <v>0</v>
      </c>
      <c r="CE49" s="25">
        <v>0</v>
      </c>
      <c r="CF49" s="25">
        <v>0</v>
      </c>
      <c r="CG49" s="25">
        <v>0</v>
      </c>
      <c r="CH49" s="25">
        <v>0</v>
      </c>
      <c r="CI49" s="25">
        <v>0</v>
      </c>
      <c r="CJ49" s="25">
        <v>0</v>
      </c>
      <c r="CK49" s="25">
        <v>0</v>
      </c>
      <c r="CL49" s="25">
        <v>0</v>
      </c>
      <c r="CM49" s="25">
        <v>0</v>
      </c>
      <c r="CN49" s="25">
        <v>0</v>
      </c>
      <c r="CO49" s="25">
        <v>0</v>
      </c>
      <c r="CP49" s="25">
        <v>0</v>
      </c>
      <c r="CQ49" s="27"/>
      <c r="CR49" s="27"/>
      <c r="CS49" s="25">
        <v>0</v>
      </c>
      <c r="CT49" s="25">
        <v>0</v>
      </c>
      <c r="CU49" s="25">
        <v>0</v>
      </c>
      <c r="CV49" s="25">
        <v>0</v>
      </c>
      <c r="CW49" s="25">
        <v>0</v>
      </c>
      <c r="CX49" s="25">
        <v>0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  <c r="DE49" s="25">
        <v>0</v>
      </c>
      <c r="DF49" s="25">
        <v>0</v>
      </c>
      <c r="DG49" s="25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7"/>
      <c r="DO49" s="27"/>
      <c r="DP49" s="25">
        <v>0</v>
      </c>
      <c r="DQ49" s="25">
        <v>0</v>
      </c>
      <c r="DR49" s="25">
        <v>0</v>
      </c>
      <c r="DS49" s="25">
        <v>0</v>
      </c>
      <c r="DT49" s="25">
        <v>0</v>
      </c>
      <c r="DU49" s="25">
        <v>0</v>
      </c>
      <c r="DV49" s="25">
        <v>0</v>
      </c>
      <c r="DW49" s="25">
        <v>0</v>
      </c>
      <c r="DX49" s="25">
        <v>0</v>
      </c>
      <c r="DY49" s="25">
        <v>0</v>
      </c>
      <c r="DZ49" s="25">
        <v>0</v>
      </c>
      <c r="EA49" s="25">
        <v>0</v>
      </c>
      <c r="EB49" s="25">
        <v>0</v>
      </c>
      <c r="EC49" s="25">
        <v>0</v>
      </c>
      <c r="ED49" s="25">
        <v>0</v>
      </c>
      <c r="EE49" s="25">
        <v>0</v>
      </c>
      <c r="EF49" s="25">
        <v>0</v>
      </c>
      <c r="EG49" s="25">
        <v>0</v>
      </c>
      <c r="EH49" s="25">
        <v>0</v>
      </c>
      <c r="EI49" s="25">
        <v>0</v>
      </c>
      <c r="EJ49" s="25">
        <v>0</v>
      </c>
      <c r="EK49" s="25">
        <v>0</v>
      </c>
      <c r="EL49" s="27"/>
      <c r="EM49" s="27"/>
    </row>
    <row r="50" spans="1:144" s="3" customFormat="1" ht="25" customHeight="1">
      <c r="A50" s="15"/>
      <c r="B50" s="5">
        <v>332</v>
      </c>
      <c r="C50" s="29" t="s">
        <v>20</v>
      </c>
      <c r="D50" s="27"/>
      <c r="E50" s="25">
        <v>10277710.92</v>
      </c>
      <c r="F50" s="25">
        <f>5370290.57-41953</f>
        <v>5328337.57</v>
      </c>
      <c r="G50" s="25">
        <v>0</v>
      </c>
      <c r="H50" s="25">
        <f>600935.34-978</f>
        <v>599957.34</v>
      </c>
      <c r="I50" s="25">
        <f>704665.85-21703</f>
        <v>682962.85</v>
      </c>
      <c r="J50" s="25">
        <v>66004</v>
      </c>
      <c r="K50" s="25">
        <v>49379.49</v>
      </c>
      <c r="L50" s="25">
        <v>26894</v>
      </c>
      <c r="M50" s="25">
        <v>892567</v>
      </c>
      <c r="N50" s="25">
        <v>4110</v>
      </c>
      <c r="O50" s="25">
        <v>0</v>
      </c>
      <c r="P50" s="25">
        <f>28659.35-12714.65</f>
        <v>15944.699999999999</v>
      </c>
      <c r="Q50" s="25">
        <v>0</v>
      </c>
      <c r="R50" s="25">
        <f>23502.2-8632</f>
        <v>14870.2</v>
      </c>
      <c r="S50" s="25">
        <v>0</v>
      </c>
      <c r="T50" s="25">
        <f>1209125.61</f>
        <v>1209125.6100000001</v>
      </c>
      <c r="U50" s="25">
        <v>0</v>
      </c>
      <c r="V50" s="25">
        <v>0</v>
      </c>
      <c r="W50" s="25">
        <v>7029.02</v>
      </c>
      <c r="X50" s="25">
        <v>47708.1</v>
      </c>
      <c r="Y50" s="27">
        <f>SUM(E50:$X$50)</f>
        <v>19222600.799999997</v>
      </c>
      <c r="Z50" s="25">
        <v>335994.8</v>
      </c>
      <c r="AA50" s="55">
        <f>SUM(E50:Z50)-Y50</f>
        <v>19558595.599999994</v>
      </c>
      <c r="AB50" s="28">
        <f>24239467-342675-AA50</f>
        <v>4338196.400000006</v>
      </c>
      <c r="AC50" s="25">
        <v>111209.52</v>
      </c>
      <c r="AD50" s="25">
        <v>40390.449999999997</v>
      </c>
      <c r="AE50" s="25">
        <v>4896241.5199999996</v>
      </c>
      <c r="AF50" s="25">
        <v>1176810.5</v>
      </c>
      <c r="AG50" s="25">
        <v>5057376.0999999996</v>
      </c>
      <c r="AH50" s="25">
        <v>7355455.3099999996</v>
      </c>
      <c r="AI50" s="25">
        <v>12900.209999999992</v>
      </c>
      <c r="AJ50" s="25">
        <v>16174.78</v>
      </c>
      <c r="AK50" s="25">
        <v>0</v>
      </c>
      <c r="AL50" s="25">
        <v>55536.19</v>
      </c>
      <c r="AM50" s="25">
        <v>150882.26</v>
      </c>
      <c r="AN50" s="25">
        <v>0</v>
      </c>
      <c r="AO50" s="25">
        <f>1600390.24-1460667</f>
        <v>139723.24</v>
      </c>
      <c r="AP50" s="25">
        <v>0</v>
      </c>
      <c r="AQ50" s="25">
        <v>0</v>
      </c>
      <c r="AR50" s="25">
        <v>47333.45</v>
      </c>
      <c r="AS50" s="25">
        <v>0</v>
      </c>
      <c r="AT50" s="25">
        <f>919295.71-594437</f>
        <v>324858.70999999996</v>
      </c>
      <c r="AU50" s="27">
        <f>SUM($AC50:AT50)</f>
        <v>19384892.240000002</v>
      </c>
      <c r="AV50" s="28" t="e">
        <f>22906478-#REF!</f>
        <v>#REF!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27"/>
      <c r="BT50" s="27"/>
      <c r="BU50" s="25">
        <v>0</v>
      </c>
      <c r="BV50" s="25">
        <v>0</v>
      </c>
      <c r="BW50" s="25">
        <v>0</v>
      </c>
      <c r="BX50" s="25">
        <v>0</v>
      </c>
      <c r="BY50" s="25">
        <v>0</v>
      </c>
      <c r="BZ50" s="25">
        <v>0</v>
      </c>
      <c r="CA50" s="25">
        <v>0</v>
      </c>
      <c r="CB50" s="25">
        <v>0</v>
      </c>
      <c r="CC50" s="25">
        <v>0</v>
      </c>
      <c r="CD50" s="25">
        <v>0</v>
      </c>
      <c r="CE50" s="25">
        <v>0</v>
      </c>
      <c r="CF50" s="25">
        <v>0</v>
      </c>
      <c r="CG50" s="25">
        <v>0</v>
      </c>
      <c r="CH50" s="25">
        <v>0</v>
      </c>
      <c r="CI50" s="25">
        <v>0</v>
      </c>
      <c r="CJ50" s="25">
        <v>0</v>
      </c>
      <c r="CK50" s="25">
        <v>0</v>
      </c>
      <c r="CL50" s="25">
        <v>0</v>
      </c>
      <c r="CM50" s="25">
        <v>0</v>
      </c>
      <c r="CN50" s="25">
        <v>0</v>
      </c>
      <c r="CO50" s="25">
        <v>0</v>
      </c>
      <c r="CP50" s="25">
        <v>0</v>
      </c>
      <c r="CQ50" s="27"/>
      <c r="CR50" s="27"/>
      <c r="CS50" s="25">
        <v>0</v>
      </c>
      <c r="CT50" s="25">
        <v>0</v>
      </c>
      <c r="CU50" s="25">
        <v>0</v>
      </c>
      <c r="CV50" s="25">
        <v>0</v>
      </c>
      <c r="CW50" s="25">
        <v>0</v>
      </c>
      <c r="CX50" s="25">
        <v>0</v>
      </c>
      <c r="CY50" s="25">
        <v>0</v>
      </c>
      <c r="CZ50" s="25">
        <v>0</v>
      </c>
      <c r="DA50" s="25">
        <v>0</v>
      </c>
      <c r="DB50" s="25">
        <v>0</v>
      </c>
      <c r="DC50" s="25">
        <v>0</v>
      </c>
      <c r="DD50" s="25">
        <v>0</v>
      </c>
      <c r="DE50" s="25">
        <v>0</v>
      </c>
      <c r="DF50" s="25">
        <v>0</v>
      </c>
      <c r="DG50" s="25">
        <v>0</v>
      </c>
      <c r="DH50" s="25">
        <v>0</v>
      </c>
      <c r="DI50" s="25">
        <v>0</v>
      </c>
      <c r="DJ50" s="25">
        <v>0</v>
      </c>
      <c r="DK50" s="25">
        <v>0</v>
      </c>
      <c r="DL50" s="25">
        <v>0</v>
      </c>
      <c r="DM50" s="25">
        <v>0</v>
      </c>
      <c r="DN50" s="27"/>
      <c r="DO50" s="27"/>
      <c r="DP50" s="25">
        <v>0</v>
      </c>
      <c r="DQ50" s="25">
        <v>0</v>
      </c>
      <c r="DR50" s="25">
        <v>0</v>
      </c>
      <c r="DS50" s="25">
        <v>0</v>
      </c>
      <c r="DT50" s="25">
        <v>0</v>
      </c>
      <c r="DU50" s="25">
        <v>0</v>
      </c>
      <c r="DV50" s="25">
        <v>0</v>
      </c>
      <c r="DW50" s="25">
        <v>0</v>
      </c>
      <c r="DX50" s="25">
        <v>0</v>
      </c>
      <c r="DY50" s="25">
        <v>0</v>
      </c>
      <c r="DZ50" s="25">
        <v>0</v>
      </c>
      <c r="EA50" s="25">
        <v>0</v>
      </c>
      <c r="EB50" s="25">
        <v>0</v>
      </c>
      <c r="EC50" s="25">
        <v>0</v>
      </c>
      <c r="ED50" s="25">
        <v>0</v>
      </c>
      <c r="EE50" s="25">
        <v>0</v>
      </c>
      <c r="EF50" s="25">
        <v>0</v>
      </c>
      <c r="EG50" s="25">
        <v>0</v>
      </c>
      <c r="EH50" s="25">
        <v>0</v>
      </c>
      <c r="EI50" s="25">
        <v>0</v>
      </c>
      <c r="EJ50" s="25">
        <v>0</v>
      </c>
      <c r="EK50" s="25">
        <v>0</v>
      </c>
      <c r="EL50" s="27"/>
      <c r="EM50" s="27"/>
    </row>
    <row r="51" spans="1:144" s="3" customFormat="1" ht="25" customHeight="1">
      <c r="A51" s="15"/>
      <c r="B51" s="5">
        <v>333</v>
      </c>
      <c r="C51" s="29" t="s">
        <v>19</v>
      </c>
      <c r="D51" s="27"/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125511.18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f>1372785.63-102943</f>
        <v>1269842.6299999999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7">
        <f>SUM(E51:$X$51)</f>
        <v>1395353.8099999998</v>
      </c>
      <c r="Z51" s="25">
        <v>576134.47</v>
      </c>
      <c r="AA51" s="55">
        <f>SUM(E51:Z51)-Y51</f>
        <v>1971488.28</v>
      </c>
      <c r="AB51" s="28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>
        <v>132162.85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1460667</v>
      </c>
      <c r="AP51" s="25">
        <v>0</v>
      </c>
      <c r="AQ51" s="25">
        <v>0</v>
      </c>
      <c r="AR51" s="25">
        <v>0</v>
      </c>
      <c r="AS51" s="25">
        <v>0</v>
      </c>
      <c r="AT51" s="25">
        <v>594437</v>
      </c>
      <c r="AU51" s="27">
        <f>SUM($AC51:AT51)</f>
        <v>2187266.85</v>
      </c>
      <c r="AV51" s="28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27"/>
      <c r="BT51" s="27"/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7"/>
      <c r="CR51" s="27"/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  <c r="DE51" s="25">
        <v>0</v>
      </c>
      <c r="DF51" s="25">
        <v>0</v>
      </c>
      <c r="DG51" s="25">
        <v>0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7"/>
      <c r="DO51" s="27"/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7"/>
      <c r="EM51" s="27"/>
    </row>
    <row r="52" spans="1:144" s="2" customFormat="1" ht="25" customHeight="1">
      <c r="A52" s="36"/>
      <c r="B52" s="5"/>
      <c r="C52" s="101" t="s">
        <v>18</v>
      </c>
      <c r="D52" s="98"/>
      <c r="E52" s="99">
        <f t="shared" ref="E52:AB52" si="54">SUM(E53:E57)</f>
        <v>15247.84</v>
      </c>
      <c r="F52" s="99">
        <f t="shared" si="54"/>
        <v>506721.9</v>
      </c>
      <c r="G52" s="99">
        <f t="shared" si="54"/>
        <v>47799.07</v>
      </c>
      <c r="H52" s="99">
        <f t="shared" si="54"/>
        <v>64899.360000000001</v>
      </c>
      <c r="I52" s="99">
        <f t="shared" si="54"/>
        <v>432302.85</v>
      </c>
      <c r="J52" s="99">
        <f t="shared" si="54"/>
        <v>131548.61000000002</v>
      </c>
      <c r="K52" s="99">
        <f t="shared" si="54"/>
        <v>107124.62000000001</v>
      </c>
      <c r="L52" s="99">
        <f t="shared" si="54"/>
        <v>12535.83</v>
      </c>
      <c r="M52" s="99">
        <f t="shared" si="54"/>
        <v>51193.14</v>
      </c>
      <c r="N52" s="99">
        <f t="shared" si="54"/>
        <v>128479.51</v>
      </c>
      <c r="O52" s="99">
        <f t="shared" si="54"/>
        <v>21976.760000000002</v>
      </c>
      <c r="P52" s="99">
        <f t="shared" si="54"/>
        <v>66115.75</v>
      </c>
      <c r="Q52" s="99">
        <f t="shared" si="54"/>
        <v>231327.02</v>
      </c>
      <c r="R52" s="99">
        <f t="shared" si="54"/>
        <v>22087.87</v>
      </c>
      <c r="S52" s="99">
        <f t="shared" si="54"/>
        <v>49831.78</v>
      </c>
      <c r="T52" s="99">
        <f t="shared" si="54"/>
        <v>129423.70999999999</v>
      </c>
      <c r="U52" s="99">
        <f t="shared" si="54"/>
        <v>48667.64</v>
      </c>
      <c r="V52" s="99">
        <f t="shared" si="54"/>
        <v>15991.63</v>
      </c>
      <c r="W52" s="99">
        <f t="shared" si="54"/>
        <v>4752.38</v>
      </c>
      <c r="X52" s="99">
        <f t="shared" si="54"/>
        <v>3214.5</v>
      </c>
      <c r="Y52" s="98">
        <f t="shared" si="54"/>
        <v>2091241.7700000005</v>
      </c>
      <c r="Z52" s="99">
        <f t="shared" si="54"/>
        <v>1019454.78</v>
      </c>
      <c r="AA52" s="98">
        <f t="shared" si="54"/>
        <v>3110696.5500000003</v>
      </c>
      <c r="AB52" s="100">
        <f t="shared" si="54"/>
        <v>-460393.55000000034</v>
      </c>
      <c r="AC52" s="99">
        <v>46254.25</v>
      </c>
      <c r="AD52" s="99">
        <v>25236.3</v>
      </c>
      <c r="AE52" s="99">
        <v>20918.54</v>
      </c>
      <c r="AF52" s="99">
        <v>193090.22999999998</v>
      </c>
      <c r="AG52" s="99">
        <v>481753.1</v>
      </c>
      <c r="AH52" s="99">
        <v>609099.18999999994</v>
      </c>
      <c r="AI52" s="99">
        <v>86685.010000000009</v>
      </c>
      <c r="AJ52" s="99">
        <v>58728.35</v>
      </c>
      <c r="AK52" s="99">
        <v>118411.79999999999</v>
      </c>
      <c r="AL52" s="99">
        <v>86691.91</v>
      </c>
      <c r="AM52" s="99">
        <f t="shared" ref="AM52:AN52" si="55">SUM(AM53:AM57)</f>
        <v>151921.81</v>
      </c>
      <c r="AN52" s="99">
        <f t="shared" si="55"/>
        <v>36747.229999999996</v>
      </c>
      <c r="AO52" s="99">
        <f t="shared" ref="AO52" si="56">SUM(AO53:AO57)</f>
        <v>325493.98000000004</v>
      </c>
      <c r="AP52" s="99">
        <f t="shared" ref="AP52" si="57">SUM(AP53:AP57)</f>
        <v>110643.61</v>
      </c>
      <c r="AQ52" s="99">
        <f t="shared" ref="AQ52:AT52" si="58">SUM(AQ53:AQ57)</f>
        <v>1846.48</v>
      </c>
      <c r="AR52" s="99">
        <f t="shared" ref="AR52:AT52" si="59">SUM(AR53:AR57)</f>
        <v>401918.46</v>
      </c>
      <c r="AS52" s="99">
        <f t="shared" si="59"/>
        <v>4527.58</v>
      </c>
      <c r="AT52" s="99">
        <f t="shared" si="59"/>
        <v>1060448.83</v>
      </c>
      <c r="AU52" s="98">
        <f t="shared" ref="AU52:BR52" si="60">SUM(AU53:AU57)</f>
        <v>3820416.66</v>
      </c>
      <c r="AV52" s="100" t="e">
        <f t="shared" si="60"/>
        <v>#REF!</v>
      </c>
      <c r="AW52" s="99">
        <f t="shared" si="60"/>
        <v>0</v>
      </c>
      <c r="AX52" s="99">
        <f t="shared" si="60"/>
        <v>0</v>
      </c>
      <c r="AY52" s="99">
        <f t="shared" si="60"/>
        <v>0</v>
      </c>
      <c r="AZ52" s="99">
        <f t="shared" si="60"/>
        <v>0</v>
      </c>
      <c r="BA52" s="99">
        <f t="shared" si="60"/>
        <v>0</v>
      </c>
      <c r="BB52" s="99">
        <f t="shared" si="60"/>
        <v>0</v>
      </c>
      <c r="BC52" s="99">
        <f t="shared" si="60"/>
        <v>0</v>
      </c>
      <c r="BD52" s="99">
        <f t="shared" si="60"/>
        <v>0</v>
      </c>
      <c r="BE52" s="99">
        <f t="shared" si="60"/>
        <v>0</v>
      </c>
      <c r="BF52" s="99">
        <f t="shared" si="60"/>
        <v>0</v>
      </c>
      <c r="BG52" s="99">
        <f t="shared" si="60"/>
        <v>0</v>
      </c>
      <c r="BH52" s="99">
        <f t="shared" si="60"/>
        <v>0</v>
      </c>
      <c r="BI52" s="99">
        <f t="shared" si="60"/>
        <v>0</v>
      </c>
      <c r="BJ52" s="99">
        <f t="shared" si="60"/>
        <v>0</v>
      </c>
      <c r="BK52" s="99">
        <f t="shared" si="60"/>
        <v>0</v>
      </c>
      <c r="BL52" s="99">
        <f t="shared" si="60"/>
        <v>0</v>
      </c>
      <c r="BM52" s="99">
        <f t="shared" si="60"/>
        <v>0</v>
      </c>
      <c r="BN52" s="99">
        <f t="shared" si="60"/>
        <v>0</v>
      </c>
      <c r="BO52" s="99">
        <f t="shared" si="60"/>
        <v>0</v>
      </c>
      <c r="BP52" s="99">
        <f t="shared" si="60"/>
        <v>0</v>
      </c>
      <c r="BQ52" s="99">
        <f t="shared" si="60"/>
        <v>0</v>
      </c>
      <c r="BR52" s="99">
        <f t="shared" si="60"/>
        <v>0</v>
      </c>
      <c r="BS52" s="98"/>
      <c r="BT52" s="98"/>
      <c r="BU52" s="99">
        <f t="shared" ref="BU52:CP52" si="61">SUM(BU53:BU57)</f>
        <v>0</v>
      </c>
      <c r="BV52" s="99">
        <f t="shared" si="61"/>
        <v>0</v>
      </c>
      <c r="BW52" s="99">
        <f t="shared" si="61"/>
        <v>0</v>
      </c>
      <c r="BX52" s="99">
        <f t="shared" si="61"/>
        <v>0</v>
      </c>
      <c r="BY52" s="99">
        <f t="shared" si="61"/>
        <v>0</v>
      </c>
      <c r="BZ52" s="99">
        <f t="shared" si="61"/>
        <v>0</v>
      </c>
      <c r="CA52" s="99">
        <f t="shared" si="61"/>
        <v>0</v>
      </c>
      <c r="CB52" s="99">
        <f t="shared" si="61"/>
        <v>0</v>
      </c>
      <c r="CC52" s="99">
        <f t="shared" si="61"/>
        <v>0</v>
      </c>
      <c r="CD52" s="99">
        <f t="shared" si="61"/>
        <v>0</v>
      </c>
      <c r="CE52" s="99">
        <f t="shared" si="61"/>
        <v>0</v>
      </c>
      <c r="CF52" s="99">
        <f t="shared" si="61"/>
        <v>0</v>
      </c>
      <c r="CG52" s="99">
        <f t="shared" si="61"/>
        <v>0</v>
      </c>
      <c r="CH52" s="99">
        <f t="shared" si="61"/>
        <v>0</v>
      </c>
      <c r="CI52" s="99">
        <f t="shared" si="61"/>
        <v>0</v>
      </c>
      <c r="CJ52" s="99">
        <f t="shared" si="61"/>
        <v>0</v>
      </c>
      <c r="CK52" s="99">
        <f t="shared" si="61"/>
        <v>0</v>
      </c>
      <c r="CL52" s="99">
        <f t="shared" si="61"/>
        <v>0</v>
      </c>
      <c r="CM52" s="99">
        <f t="shared" si="61"/>
        <v>0</v>
      </c>
      <c r="CN52" s="99">
        <f t="shared" si="61"/>
        <v>0</v>
      </c>
      <c r="CO52" s="99">
        <f t="shared" si="61"/>
        <v>0</v>
      </c>
      <c r="CP52" s="99">
        <f t="shared" si="61"/>
        <v>0</v>
      </c>
      <c r="CQ52" s="98"/>
      <c r="CR52" s="98"/>
      <c r="CS52" s="99">
        <f t="shared" ref="CS52:DM52" si="62">SUM(CS53:CS57)</f>
        <v>0</v>
      </c>
      <c r="CT52" s="99">
        <f t="shared" si="62"/>
        <v>0</v>
      </c>
      <c r="CU52" s="99">
        <f t="shared" si="62"/>
        <v>0</v>
      </c>
      <c r="CV52" s="99">
        <f t="shared" si="62"/>
        <v>0</v>
      </c>
      <c r="CW52" s="99">
        <f t="shared" si="62"/>
        <v>0</v>
      </c>
      <c r="CX52" s="99">
        <f t="shared" si="62"/>
        <v>0</v>
      </c>
      <c r="CY52" s="99">
        <f t="shared" si="62"/>
        <v>0</v>
      </c>
      <c r="CZ52" s="99">
        <f t="shared" si="62"/>
        <v>0</v>
      </c>
      <c r="DA52" s="99">
        <f t="shared" si="62"/>
        <v>0</v>
      </c>
      <c r="DB52" s="99">
        <f t="shared" si="62"/>
        <v>0</v>
      </c>
      <c r="DC52" s="99">
        <f t="shared" si="62"/>
        <v>0</v>
      </c>
      <c r="DD52" s="99">
        <f t="shared" si="62"/>
        <v>0</v>
      </c>
      <c r="DE52" s="99">
        <f t="shared" si="62"/>
        <v>0</v>
      </c>
      <c r="DF52" s="99">
        <f t="shared" si="62"/>
        <v>0</v>
      </c>
      <c r="DG52" s="99">
        <f t="shared" si="62"/>
        <v>0</v>
      </c>
      <c r="DH52" s="99">
        <f t="shared" si="62"/>
        <v>0</v>
      </c>
      <c r="DI52" s="99">
        <f t="shared" si="62"/>
        <v>0</v>
      </c>
      <c r="DJ52" s="99">
        <f t="shared" si="62"/>
        <v>0</v>
      </c>
      <c r="DK52" s="99">
        <f t="shared" si="62"/>
        <v>0</v>
      </c>
      <c r="DL52" s="99">
        <f t="shared" si="62"/>
        <v>0</v>
      </c>
      <c r="DM52" s="99">
        <f t="shared" si="62"/>
        <v>0</v>
      </c>
      <c r="DN52" s="98"/>
      <c r="DO52" s="98"/>
      <c r="DP52" s="99">
        <f t="shared" ref="DP52:EK52" si="63">SUM(DP53:DP57)</f>
        <v>0</v>
      </c>
      <c r="DQ52" s="99">
        <f t="shared" si="63"/>
        <v>0</v>
      </c>
      <c r="DR52" s="99">
        <f t="shared" si="63"/>
        <v>0</v>
      </c>
      <c r="DS52" s="99">
        <f t="shared" si="63"/>
        <v>0</v>
      </c>
      <c r="DT52" s="99">
        <f t="shared" si="63"/>
        <v>0</v>
      </c>
      <c r="DU52" s="99">
        <f t="shared" si="63"/>
        <v>0</v>
      </c>
      <c r="DV52" s="99">
        <f t="shared" si="63"/>
        <v>0</v>
      </c>
      <c r="DW52" s="99">
        <f t="shared" si="63"/>
        <v>0</v>
      </c>
      <c r="DX52" s="99">
        <f t="shared" si="63"/>
        <v>0</v>
      </c>
      <c r="DY52" s="99">
        <f t="shared" si="63"/>
        <v>0</v>
      </c>
      <c r="DZ52" s="99">
        <f t="shared" si="63"/>
        <v>0</v>
      </c>
      <c r="EA52" s="99">
        <f t="shared" si="63"/>
        <v>0</v>
      </c>
      <c r="EB52" s="99">
        <f t="shared" si="63"/>
        <v>0</v>
      </c>
      <c r="EC52" s="99">
        <f t="shared" si="63"/>
        <v>0</v>
      </c>
      <c r="ED52" s="99">
        <f t="shared" si="63"/>
        <v>0</v>
      </c>
      <c r="EE52" s="99">
        <f t="shared" si="63"/>
        <v>0</v>
      </c>
      <c r="EF52" s="99">
        <f t="shared" si="63"/>
        <v>0</v>
      </c>
      <c r="EG52" s="99">
        <f t="shared" si="63"/>
        <v>0</v>
      </c>
      <c r="EH52" s="99">
        <f t="shared" si="63"/>
        <v>0</v>
      </c>
      <c r="EI52" s="99">
        <f t="shared" si="63"/>
        <v>0</v>
      </c>
      <c r="EJ52" s="99">
        <f t="shared" si="63"/>
        <v>0</v>
      </c>
      <c r="EK52" s="99">
        <f t="shared" si="63"/>
        <v>0</v>
      </c>
      <c r="EL52" s="98"/>
      <c r="EM52" s="98"/>
    </row>
    <row r="53" spans="1:144" s="3" customFormat="1" ht="25" customHeight="1">
      <c r="A53" s="15"/>
      <c r="B53" s="5">
        <v>351</v>
      </c>
      <c r="C53" s="56" t="s">
        <v>17</v>
      </c>
      <c r="D53" s="55"/>
      <c r="E53" s="52">
        <v>15247.84</v>
      </c>
      <c r="F53" s="52">
        <v>189071.15</v>
      </c>
      <c r="G53" s="52">
        <v>45097.11</v>
      </c>
      <c r="H53" s="52">
        <v>12951.21</v>
      </c>
      <c r="I53" s="52">
        <v>419433.68</v>
      </c>
      <c r="J53" s="52">
        <v>129448.13</v>
      </c>
      <c r="K53" s="52">
        <v>106146.49</v>
      </c>
      <c r="L53" s="52">
        <v>11732.48</v>
      </c>
      <c r="M53" s="52">
        <v>50347.02</v>
      </c>
      <c r="N53" s="52">
        <v>111817.37</v>
      </c>
      <c r="O53" s="52">
        <v>21895.360000000001</v>
      </c>
      <c r="P53" s="52">
        <f>61803.51</f>
        <v>61803.51</v>
      </c>
      <c r="Q53" s="52">
        <v>219691.8</v>
      </c>
      <c r="R53" s="52">
        <v>17416.599999999999</v>
      </c>
      <c r="S53" s="52">
        <v>11825.54</v>
      </c>
      <c r="T53" s="52">
        <v>35229.21</v>
      </c>
      <c r="U53" s="52">
        <v>26726.080000000002</v>
      </c>
      <c r="V53" s="52">
        <v>87.8</v>
      </c>
      <c r="W53" s="52">
        <v>0</v>
      </c>
      <c r="X53" s="52">
        <v>0</v>
      </c>
      <c r="Y53" s="55">
        <f>SUM(E53:$X$53)</f>
        <v>1485968.3800000004</v>
      </c>
      <c r="Z53" s="52">
        <v>0</v>
      </c>
      <c r="AA53" s="55">
        <f>SUM(E53:Z53)-Y53</f>
        <v>1485968.3800000004</v>
      </c>
      <c r="AB53" s="97">
        <f>1903264-AA53</f>
        <v>417295.61999999965</v>
      </c>
      <c r="AC53" s="52">
        <v>27377.85</v>
      </c>
      <c r="AD53" s="52">
        <v>14958.05</v>
      </c>
      <c r="AE53" s="52">
        <v>14617.58</v>
      </c>
      <c r="AF53" s="52">
        <v>190464.09</v>
      </c>
      <c r="AG53" s="52">
        <v>441443.36</v>
      </c>
      <c r="AH53" s="52">
        <v>165305.65</v>
      </c>
      <c r="AI53" s="52">
        <v>79938.080000000002</v>
      </c>
      <c r="AJ53" s="52">
        <v>58189.32</v>
      </c>
      <c r="AK53" s="52">
        <v>21829.96</v>
      </c>
      <c r="AL53" s="52">
        <v>10619.28</v>
      </c>
      <c r="AM53" s="52">
        <v>135636.66</v>
      </c>
      <c r="AN53" s="52">
        <f>18346.42+79</f>
        <v>18425.419999999998</v>
      </c>
      <c r="AO53" s="52">
        <f>275582.71+79</f>
        <v>275661.71000000002</v>
      </c>
      <c r="AP53" s="52">
        <v>63411.85</v>
      </c>
      <c r="AQ53" s="52">
        <v>0</v>
      </c>
      <c r="AR53" s="52">
        <v>29048.31</v>
      </c>
      <c r="AS53" s="52">
        <v>0</v>
      </c>
      <c r="AT53" s="52">
        <v>0</v>
      </c>
      <c r="AU53" s="55">
        <f>SUM($AC53:AT53)</f>
        <v>1546927.17</v>
      </c>
      <c r="AV53" s="97" t="e">
        <f>748120+1142675-#REF!</f>
        <v>#REF!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0</v>
      </c>
      <c r="BF53" s="52">
        <v>0</v>
      </c>
      <c r="BG53" s="52">
        <v>0</v>
      </c>
      <c r="BH53" s="52">
        <v>0</v>
      </c>
      <c r="BI53" s="52">
        <v>0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5"/>
      <c r="BT53" s="55"/>
      <c r="BU53" s="52">
        <v>0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0</v>
      </c>
      <c r="CH53" s="52">
        <v>0</v>
      </c>
      <c r="CI53" s="52">
        <v>0</v>
      </c>
      <c r="CJ53" s="52">
        <v>0</v>
      </c>
      <c r="CK53" s="52">
        <v>0</v>
      </c>
      <c r="CL53" s="52">
        <v>0</v>
      </c>
      <c r="CM53" s="52">
        <v>0</v>
      </c>
      <c r="CN53" s="52">
        <v>0</v>
      </c>
      <c r="CO53" s="52">
        <v>0</v>
      </c>
      <c r="CP53" s="52">
        <v>0</v>
      </c>
      <c r="CQ53" s="55"/>
      <c r="CR53" s="55"/>
      <c r="CS53" s="52">
        <v>0</v>
      </c>
      <c r="CT53" s="52">
        <v>0</v>
      </c>
      <c r="CU53" s="52">
        <v>0</v>
      </c>
      <c r="CV53" s="52">
        <v>0</v>
      </c>
      <c r="CW53" s="52">
        <v>0</v>
      </c>
      <c r="CX53" s="52">
        <v>0</v>
      </c>
      <c r="CY53" s="52">
        <v>0</v>
      </c>
      <c r="CZ53" s="52">
        <v>0</v>
      </c>
      <c r="DA53" s="52">
        <v>0</v>
      </c>
      <c r="DB53" s="52">
        <v>0</v>
      </c>
      <c r="DC53" s="52">
        <v>0</v>
      </c>
      <c r="DD53" s="52">
        <v>0</v>
      </c>
      <c r="DE53" s="52">
        <v>0</v>
      </c>
      <c r="DF53" s="52">
        <v>0</v>
      </c>
      <c r="DG53" s="52">
        <v>0</v>
      </c>
      <c r="DH53" s="52">
        <v>0</v>
      </c>
      <c r="DI53" s="52">
        <v>0</v>
      </c>
      <c r="DJ53" s="52">
        <v>0</v>
      </c>
      <c r="DK53" s="52">
        <v>0</v>
      </c>
      <c r="DL53" s="52">
        <v>0</v>
      </c>
      <c r="DM53" s="52">
        <v>0</v>
      </c>
      <c r="DN53" s="55"/>
      <c r="DO53" s="55"/>
      <c r="DP53" s="52">
        <v>0</v>
      </c>
      <c r="DQ53" s="52">
        <v>0</v>
      </c>
      <c r="DR53" s="52">
        <v>0</v>
      </c>
      <c r="DS53" s="52">
        <v>0</v>
      </c>
      <c r="DT53" s="52">
        <v>0</v>
      </c>
      <c r="DU53" s="52">
        <v>0</v>
      </c>
      <c r="DV53" s="52">
        <v>0</v>
      </c>
      <c r="DW53" s="52">
        <v>0</v>
      </c>
      <c r="DX53" s="52">
        <v>0</v>
      </c>
      <c r="DY53" s="52">
        <v>0</v>
      </c>
      <c r="DZ53" s="52">
        <v>0</v>
      </c>
      <c r="EA53" s="52">
        <v>0</v>
      </c>
      <c r="EB53" s="52">
        <v>0</v>
      </c>
      <c r="EC53" s="52">
        <v>0</v>
      </c>
      <c r="ED53" s="52">
        <v>0</v>
      </c>
      <c r="EE53" s="52">
        <v>0</v>
      </c>
      <c r="EF53" s="52">
        <v>0</v>
      </c>
      <c r="EG53" s="52">
        <v>0</v>
      </c>
      <c r="EH53" s="52">
        <v>0</v>
      </c>
      <c r="EI53" s="52">
        <v>0</v>
      </c>
      <c r="EJ53" s="52">
        <v>0</v>
      </c>
      <c r="EK53" s="52">
        <v>0</v>
      </c>
      <c r="EL53" s="55"/>
      <c r="EM53" s="55"/>
    </row>
    <row r="54" spans="1:144" s="3" customFormat="1" ht="25" customHeight="1">
      <c r="A54" s="15"/>
      <c r="B54" s="5">
        <v>352</v>
      </c>
      <c r="C54" s="56" t="s">
        <v>16</v>
      </c>
      <c r="D54" s="55"/>
      <c r="E54" s="52">
        <v>0</v>
      </c>
      <c r="F54" s="52">
        <v>0</v>
      </c>
      <c r="G54" s="52">
        <v>0</v>
      </c>
      <c r="H54" s="52">
        <v>41309.949999999997</v>
      </c>
      <c r="I54" s="52">
        <v>11401.87</v>
      </c>
      <c r="J54" s="52">
        <v>248.58</v>
      </c>
      <c r="K54" s="52">
        <v>0</v>
      </c>
      <c r="L54" s="52">
        <v>0</v>
      </c>
      <c r="M54" s="52">
        <v>0</v>
      </c>
      <c r="N54" s="52">
        <v>6121.61</v>
      </c>
      <c r="O54" s="52">
        <v>0</v>
      </c>
      <c r="P54" s="52">
        <v>0</v>
      </c>
      <c r="Q54" s="52">
        <v>11556.22</v>
      </c>
      <c r="R54" s="52">
        <v>0</v>
      </c>
      <c r="S54" s="52">
        <v>7841.46</v>
      </c>
      <c r="T54" s="52">
        <v>92685.5</v>
      </c>
      <c r="U54" s="52">
        <v>0</v>
      </c>
      <c r="V54" s="52">
        <v>13554.15</v>
      </c>
      <c r="W54" s="52">
        <v>0</v>
      </c>
      <c r="X54" s="52">
        <v>0</v>
      </c>
      <c r="Y54" s="55">
        <f>SUM(E54:$X$54)</f>
        <v>184719.34</v>
      </c>
      <c r="Z54" s="52">
        <v>1019454.78</v>
      </c>
      <c r="AA54" s="55">
        <f>SUM(E54:Z54)-Y54</f>
        <v>1204174.1199999999</v>
      </c>
      <c r="AB54" s="97">
        <f>714707-AA54</f>
        <v>-489467.11999999988</v>
      </c>
      <c r="AC54" s="52">
        <v>16059.92</v>
      </c>
      <c r="AD54" s="52">
        <v>9728.25</v>
      </c>
      <c r="AE54" s="52">
        <v>0</v>
      </c>
      <c r="AF54" s="52">
        <v>85.12</v>
      </c>
      <c r="AG54" s="52">
        <v>38898.61</v>
      </c>
      <c r="AH54" s="52">
        <v>115965.32</v>
      </c>
      <c r="AI54" s="52">
        <v>0</v>
      </c>
      <c r="AJ54" s="52">
        <v>0</v>
      </c>
      <c r="AK54" s="52">
        <v>95750.59</v>
      </c>
      <c r="AL54" s="52">
        <v>6072.39</v>
      </c>
      <c r="AM54" s="52">
        <v>5099.0200000000004</v>
      </c>
      <c r="AN54" s="52">
        <v>18321.810000000001</v>
      </c>
      <c r="AO54" s="52">
        <v>5</v>
      </c>
      <c r="AP54" s="52">
        <v>46353.34</v>
      </c>
      <c r="AQ54" s="52">
        <v>0</v>
      </c>
      <c r="AR54" s="52">
        <v>372497.15</v>
      </c>
      <c r="AS54" s="52">
        <v>0</v>
      </c>
      <c r="AT54" s="52">
        <v>1058643.83</v>
      </c>
      <c r="AU54" s="55">
        <f>SUM($AC54:AT54)</f>
        <v>1783480.35</v>
      </c>
      <c r="AV54" s="97" t="e">
        <f>1947924-#REF!</f>
        <v>#REF!</v>
      </c>
      <c r="AW54" s="52">
        <v>0</v>
      </c>
      <c r="AX54" s="52">
        <v>0</v>
      </c>
      <c r="AY54" s="52">
        <v>0</v>
      </c>
      <c r="AZ54" s="52">
        <v>0</v>
      </c>
      <c r="BA54" s="52">
        <v>0</v>
      </c>
      <c r="BB54" s="52">
        <v>0</v>
      </c>
      <c r="BC54" s="52">
        <v>0</v>
      </c>
      <c r="BD54" s="52">
        <v>0</v>
      </c>
      <c r="BE54" s="52">
        <v>0</v>
      </c>
      <c r="BF54" s="52">
        <v>0</v>
      </c>
      <c r="BG54" s="52">
        <v>0</v>
      </c>
      <c r="BH54" s="52">
        <v>0</v>
      </c>
      <c r="BI54" s="52">
        <v>0</v>
      </c>
      <c r="BJ54" s="52">
        <v>0</v>
      </c>
      <c r="BK54" s="52">
        <v>0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5"/>
      <c r="BT54" s="55"/>
      <c r="BU54" s="52">
        <v>0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v>0</v>
      </c>
      <c r="CB54" s="52">
        <v>0</v>
      </c>
      <c r="CC54" s="52">
        <v>0</v>
      </c>
      <c r="CD54" s="52">
        <v>0</v>
      </c>
      <c r="CE54" s="52">
        <v>0</v>
      </c>
      <c r="CF54" s="52">
        <v>0</v>
      </c>
      <c r="CG54" s="52">
        <v>0</v>
      </c>
      <c r="CH54" s="52">
        <v>0</v>
      </c>
      <c r="CI54" s="52">
        <v>0</v>
      </c>
      <c r="CJ54" s="52">
        <v>0</v>
      </c>
      <c r="CK54" s="52">
        <v>0</v>
      </c>
      <c r="CL54" s="52">
        <v>0</v>
      </c>
      <c r="CM54" s="52">
        <v>0</v>
      </c>
      <c r="CN54" s="52">
        <v>0</v>
      </c>
      <c r="CO54" s="52">
        <v>0</v>
      </c>
      <c r="CP54" s="52">
        <v>0</v>
      </c>
      <c r="CQ54" s="55"/>
      <c r="CR54" s="55"/>
      <c r="CS54" s="52">
        <v>0</v>
      </c>
      <c r="CT54" s="52">
        <v>0</v>
      </c>
      <c r="CU54" s="52">
        <v>0</v>
      </c>
      <c r="CV54" s="52">
        <v>0</v>
      </c>
      <c r="CW54" s="52">
        <v>0</v>
      </c>
      <c r="CX54" s="52">
        <v>0</v>
      </c>
      <c r="CY54" s="52">
        <v>0</v>
      </c>
      <c r="CZ54" s="52">
        <v>0</v>
      </c>
      <c r="DA54" s="52">
        <v>0</v>
      </c>
      <c r="DB54" s="52">
        <v>0</v>
      </c>
      <c r="DC54" s="52">
        <v>0</v>
      </c>
      <c r="DD54" s="52">
        <v>0</v>
      </c>
      <c r="DE54" s="52">
        <v>0</v>
      </c>
      <c r="DF54" s="52">
        <v>0</v>
      </c>
      <c r="DG54" s="52">
        <v>0</v>
      </c>
      <c r="DH54" s="52">
        <v>0</v>
      </c>
      <c r="DI54" s="52">
        <v>0</v>
      </c>
      <c r="DJ54" s="52">
        <v>0</v>
      </c>
      <c r="DK54" s="52">
        <v>0</v>
      </c>
      <c r="DL54" s="52">
        <v>0</v>
      </c>
      <c r="DM54" s="52">
        <v>0</v>
      </c>
      <c r="DN54" s="55"/>
      <c r="DO54" s="55"/>
      <c r="DP54" s="52">
        <v>0</v>
      </c>
      <c r="DQ54" s="52">
        <v>0</v>
      </c>
      <c r="DR54" s="52">
        <v>0</v>
      </c>
      <c r="DS54" s="52">
        <v>0</v>
      </c>
      <c r="DT54" s="52">
        <v>0</v>
      </c>
      <c r="DU54" s="52">
        <v>0</v>
      </c>
      <c r="DV54" s="52">
        <v>0</v>
      </c>
      <c r="DW54" s="52">
        <v>0</v>
      </c>
      <c r="DX54" s="52">
        <v>0</v>
      </c>
      <c r="DY54" s="52">
        <v>0</v>
      </c>
      <c r="DZ54" s="52">
        <v>0</v>
      </c>
      <c r="EA54" s="52">
        <v>0</v>
      </c>
      <c r="EB54" s="52">
        <v>0</v>
      </c>
      <c r="EC54" s="52">
        <v>0</v>
      </c>
      <c r="ED54" s="52">
        <v>0</v>
      </c>
      <c r="EE54" s="52">
        <v>0</v>
      </c>
      <c r="EF54" s="52">
        <v>0</v>
      </c>
      <c r="EG54" s="52">
        <v>0</v>
      </c>
      <c r="EH54" s="52">
        <v>0</v>
      </c>
      <c r="EI54" s="52">
        <v>0</v>
      </c>
      <c r="EJ54" s="52">
        <v>0</v>
      </c>
      <c r="EK54" s="52">
        <v>0</v>
      </c>
      <c r="EL54" s="55"/>
      <c r="EM54" s="55"/>
      <c r="EN54" s="23"/>
    </row>
    <row r="55" spans="1:144" s="3" customFormat="1" ht="25" customHeight="1">
      <c r="A55" s="15"/>
      <c r="B55" s="5">
        <v>353</v>
      </c>
      <c r="C55" s="56" t="s">
        <v>15</v>
      </c>
      <c r="D55" s="55"/>
      <c r="E55" s="52">
        <v>0</v>
      </c>
      <c r="F55" s="52">
        <f>316750.75+900</f>
        <v>317650.75</v>
      </c>
      <c r="G55" s="52">
        <f>2701.96</f>
        <v>2701.96</v>
      </c>
      <c r="H55" s="52">
        <f>9749.2+890-1</f>
        <v>10638.2</v>
      </c>
      <c r="I55" s="52">
        <v>1467.3</v>
      </c>
      <c r="J55" s="52">
        <f>1508.5+343.4</f>
        <v>1851.9</v>
      </c>
      <c r="K55" s="52">
        <v>978.13</v>
      </c>
      <c r="L55" s="52">
        <f>370+433.35</f>
        <v>803.35</v>
      </c>
      <c r="M55" s="52">
        <f>476.72+369.4</f>
        <v>846.12</v>
      </c>
      <c r="N55" s="52">
        <f>9100+1440.53</f>
        <v>10540.53</v>
      </c>
      <c r="O55" s="52">
        <v>81.400000000000006</v>
      </c>
      <c r="P55" s="52">
        <f>4233.24+79</f>
        <v>4312.24</v>
      </c>
      <c r="Q55" s="52">
        <v>79</v>
      </c>
      <c r="R55" s="52">
        <f>3322.02+1349.25</f>
        <v>4671.2700000000004</v>
      </c>
      <c r="S55" s="52">
        <f>29501.08+647.2+16.5</f>
        <v>30164.780000000002</v>
      </c>
      <c r="T55" s="52">
        <f>1204+300+5</f>
        <v>1509</v>
      </c>
      <c r="U55" s="52">
        <f>20667.46+1275.1-1</f>
        <v>21941.559999999998</v>
      </c>
      <c r="V55" s="52">
        <f>1812.18+537.5</f>
        <v>2349.6800000000003</v>
      </c>
      <c r="W55" s="52">
        <f>2650.58+2101.8</f>
        <v>4752.38</v>
      </c>
      <c r="X55" s="52">
        <f>3017+182.5+15</f>
        <v>3214.5</v>
      </c>
      <c r="Y55" s="55">
        <f>SUM(E55:$X$55)</f>
        <v>420554.0500000001</v>
      </c>
      <c r="Z55" s="52">
        <v>0</v>
      </c>
      <c r="AA55" s="55">
        <f>SUM(E55:Z55)-Y55</f>
        <v>420554.0500000001</v>
      </c>
      <c r="AB55" s="97">
        <f>32332-AA55</f>
        <v>-388222.0500000001</v>
      </c>
      <c r="AC55" s="52">
        <v>2816.48</v>
      </c>
      <c r="AD55" s="52">
        <v>550</v>
      </c>
      <c r="AE55" s="52">
        <v>6300.96</v>
      </c>
      <c r="AF55" s="52">
        <v>2541.02</v>
      </c>
      <c r="AG55" s="52">
        <v>1411.13</v>
      </c>
      <c r="AH55" s="52">
        <v>327828.21999999997</v>
      </c>
      <c r="AI55" s="52">
        <v>6746.93</v>
      </c>
      <c r="AJ55" s="52">
        <v>539.03</v>
      </c>
      <c r="AK55" s="52">
        <v>831.25</v>
      </c>
      <c r="AL55" s="52">
        <v>70000.240000000005</v>
      </c>
      <c r="AM55" s="52">
        <v>11186.13</v>
      </c>
      <c r="AN55" s="52">
        <v>0</v>
      </c>
      <c r="AO55" s="52">
        <f>48072.27+1755</f>
        <v>49827.27</v>
      </c>
      <c r="AP55" s="52">
        <f>876.42+2</f>
        <v>878.42</v>
      </c>
      <c r="AQ55" s="52">
        <v>1846.48</v>
      </c>
      <c r="AR55" s="52">
        <v>373</v>
      </c>
      <c r="AS55" s="52">
        <f>2651.08+1876.5</f>
        <v>4527.58</v>
      </c>
      <c r="AT55" s="52">
        <f>1481+324</f>
        <v>1805</v>
      </c>
      <c r="AU55" s="55">
        <f>SUM($AC55:AT55)</f>
        <v>490009.14</v>
      </c>
      <c r="AV55" s="97" t="e">
        <f>28093-#REF!</f>
        <v>#REF!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0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5"/>
      <c r="BT55" s="55"/>
      <c r="BU55" s="52"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0</v>
      </c>
      <c r="CJ55" s="52">
        <v>0</v>
      </c>
      <c r="CK55" s="52">
        <v>0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5"/>
      <c r="CR55" s="55"/>
      <c r="CS55" s="52">
        <v>0</v>
      </c>
      <c r="CT55" s="52">
        <v>0</v>
      </c>
      <c r="CU55" s="52">
        <v>0</v>
      </c>
      <c r="CV55" s="52">
        <v>0</v>
      </c>
      <c r="CW55" s="52">
        <v>0</v>
      </c>
      <c r="CX55" s="52">
        <v>0</v>
      </c>
      <c r="CY55" s="52">
        <v>0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0</v>
      </c>
      <c r="DH55" s="52">
        <v>0</v>
      </c>
      <c r="DI55" s="52">
        <v>0</v>
      </c>
      <c r="DJ55" s="52">
        <v>0</v>
      </c>
      <c r="DK55" s="52">
        <v>0</v>
      </c>
      <c r="DL55" s="52">
        <v>0</v>
      </c>
      <c r="DM55" s="52">
        <v>0</v>
      </c>
      <c r="DN55" s="55"/>
      <c r="DO55" s="55"/>
      <c r="DP55" s="52">
        <v>0</v>
      </c>
      <c r="DQ55" s="52">
        <v>0</v>
      </c>
      <c r="DR55" s="52">
        <v>0</v>
      </c>
      <c r="DS55" s="52">
        <v>0</v>
      </c>
      <c r="DT55" s="52">
        <v>0</v>
      </c>
      <c r="DU55" s="52">
        <v>0</v>
      </c>
      <c r="DV55" s="52">
        <v>0</v>
      </c>
      <c r="DW55" s="52">
        <v>0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0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5"/>
      <c r="EM55" s="55"/>
    </row>
    <row r="56" spans="1:144" s="3" customFormat="1" ht="25" customHeight="1">
      <c r="A56" s="15"/>
      <c r="B56" s="5">
        <v>360</v>
      </c>
      <c r="C56" s="56" t="s">
        <v>14</v>
      </c>
      <c r="D56" s="55"/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0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5">
        <f>SUM(E56:$X$56)</f>
        <v>0</v>
      </c>
      <c r="Z56" s="52">
        <v>0</v>
      </c>
      <c r="AA56" s="55">
        <f>SUM(E56:Z56)-Y56</f>
        <v>0</v>
      </c>
      <c r="AB56" s="97">
        <v>0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0</v>
      </c>
      <c r="AO56" s="52">
        <v>0</v>
      </c>
      <c r="AP56" s="52">
        <v>0</v>
      </c>
      <c r="AQ56" s="52">
        <v>0</v>
      </c>
      <c r="AR56" s="52">
        <v>0</v>
      </c>
      <c r="AS56" s="52">
        <v>0</v>
      </c>
      <c r="AT56" s="52">
        <v>0</v>
      </c>
      <c r="AU56" s="55">
        <f>SUM($AC56:AT56)</f>
        <v>0</v>
      </c>
      <c r="AV56" s="97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5"/>
      <c r="BT56" s="55"/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5"/>
      <c r="CR56" s="55"/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5"/>
      <c r="DO56" s="55"/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5"/>
      <c r="EM56" s="55"/>
    </row>
    <row r="57" spans="1:144" s="3" customFormat="1" ht="25" customHeight="1" thickBot="1">
      <c r="A57" s="15"/>
      <c r="B57" s="5">
        <v>370</v>
      </c>
      <c r="C57" s="51" t="s">
        <v>13</v>
      </c>
      <c r="D57" s="50"/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50">
        <f>SUM(E57:$X$57)</f>
        <v>0</v>
      </c>
      <c r="Z57" s="48">
        <v>0</v>
      </c>
      <c r="AA57" s="50">
        <f>SUM(E57:Z57)-Y57</f>
        <v>0</v>
      </c>
      <c r="AB57" s="96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50">
        <f>SUM($AC57:AT57)</f>
        <v>0</v>
      </c>
      <c r="AV57" s="96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v>0</v>
      </c>
      <c r="BD57" s="48">
        <v>0</v>
      </c>
      <c r="BE57" s="48">
        <v>0</v>
      </c>
      <c r="BF57" s="48">
        <v>0</v>
      </c>
      <c r="BG57" s="48">
        <v>0</v>
      </c>
      <c r="BH57" s="48">
        <v>0</v>
      </c>
      <c r="BI57" s="48">
        <v>0</v>
      </c>
      <c r="BJ57" s="48">
        <v>0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0</v>
      </c>
      <c r="BQ57" s="48">
        <v>0</v>
      </c>
      <c r="BR57" s="48">
        <v>0</v>
      </c>
      <c r="BS57" s="50"/>
      <c r="BT57" s="50"/>
      <c r="BU57" s="48">
        <v>0</v>
      </c>
      <c r="BV57" s="48">
        <v>0</v>
      </c>
      <c r="BW57" s="48">
        <v>0</v>
      </c>
      <c r="BX57" s="48">
        <v>0</v>
      </c>
      <c r="BY57" s="48">
        <v>0</v>
      </c>
      <c r="BZ57" s="48">
        <v>0</v>
      </c>
      <c r="CA57" s="48">
        <v>0</v>
      </c>
      <c r="CB57" s="48">
        <v>0</v>
      </c>
      <c r="CC57" s="48">
        <v>0</v>
      </c>
      <c r="CD57" s="48">
        <v>0</v>
      </c>
      <c r="CE57" s="48">
        <v>0</v>
      </c>
      <c r="CF57" s="48">
        <v>0</v>
      </c>
      <c r="CG57" s="48">
        <v>0</v>
      </c>
      <c r="CH57" s="48">
        <v>0</v>
      </c>
      <c r="CI57" s="48">
        <v>0</v>
      </c>
      <c r="CJ57" s="48">
        <v>0</v>
      </c>
      <c r="CK57" s="48">
        <v>0</v>
      </c>
      <c r="CL57" s="48">
        <v>0</v>
      </c>
      <c r="CM57" s="48">
        <v>0</v>
      </c>
      <c r="CN57" s="48">
        <v>0</v>
      </c>
      <c r="CO57" s="48">
        <v>0</v>
      </c>
      <c r="CP57" s="48">
        <v>0</v>
      </c>
      <c r="CQ57" s="50"/>
      <c r="CR57" s="50"/>
      <c r="CS57" s="48">
        <v>0</v>
      </c>
      <c r="CT57" s="48">
        <v>0</v>
      </c>
      <c r="CU57" s="48">
        <v>0</v>
      </c>
      <c r="CV57" s="48">
        <v>0</v>
      </c>
      <c r="CW57" s="48">
        <v>0</v>
      </c>
      <c r="CX57" s="48">
        <v>0</v>
      </c>
      <c r="CY57" s="48">
        <v>0</v>
      </c>
      <c r="CZ57" s="48">
        <v>0</v>
      </c>
      <c r="DA57" s="48">
        <v>0</v>
      </c>
      <c r="DB57" s="48">
        <v>0</v>
      </c>
      <c r="DC57" s="48">
        <v>0</v>
      </c>
      <c r="DD57" s="48">
        <v>0</v>
      </c>
      <c r="DE57" s="48">
        <v>0</v>
      </c>
      <c r="DF57" s="48">
        <v>0</v>
      </c>
      <c r="DG57" s="48">
        <v>0</v>
      </c>
      <c r="DH57" s="48">
        <v>0</v>
      </c>
      <c r="DI57" s="48">
        <v>0</v>
      </c>
      <c r="DJ57" s="48">
        <v>0</v>
      </c>
      <c r="DK57" s="48">
        <v>0</v>
      </c>
      <c r="DL57" s="48">
        <v>0</v>
      </c>
      <c r="DM57" s="48">
        <v>0</v>
      </c>
      <c r="DN57" s="50"/>
      <c r="DO57" s="50"/>
      <c r="DP57" s="48">
        <v>0</v>
      </c>
      <c r="DQ57" s="48">
        <v>0</v>
      </c>
      <c r="DR57" s="48">
        <v>0</v>
      </c>
      <c r="DS57" s="48">
        <v>0</v>
      </c>
      <c r="DT57" s="48">
        <v>0</v>
      </c>
      <c r="DU57" s="48">
        <v>0</v>
      </c>
      <c r="DV57" s="48">
        <v>0</v>
      </c>
      <c r="DW57" s="48">
        <v>0</v>
      </c>
      <c r="DX57" s="48">
        <v>0</v>
      </c>
      <c r="DY57" s="48">
        <v>0</v>
      </c>
      <c r="DZ57" s="48">
        <v>0</v>
      </c>
      <c r="EA57" s="48">
        <v>0</v>
      </c>
      <c r="EB57" s="48">
        <v>0</v>
      </c>
      <c r="EC57" s="48">
        <v>0</v>
      </c>
      <c r="ED57" s="48">
        <v>0</v>
      </c>
      <c r="EE57" s="48">
        <v>0</v>
      </c>
      <c r="EF57" s="48">
        <v>0</v>
      </c>
      <c r="EG57" s="48">
        <v>0</v>
      </c>
      <c r="EH57" s="48">
        <v>0</v>
      </c>
      <c r="EI57" s="48">
        <v>0</v>
      </c>
      <c r="EJ57" s="48">
        <v>0</v>
      </c>
      <c r="EK57" s="48">
        <v>0</v>
      </c>
      <c r="EL57" s="50"/>
      <c r="EM57" s="50"/>
    </row>
    <row r="58" spans="1:144" s="12" customFormat="1" ht="25" customHeight="1">
      <c r="A58" s="61"/>
      <c r="B58" s="5"/>
      <c r="C58" s="95"/>
    </row>
    <row r="59" spans="1:144" s="12" customFormat="1" ht="25" customHeight="1" thickBot="1">
      <c r="A59" s="61"/>
      <c r="B59" s="5"/>
      <c r="C59" s="95"/>
      <c r="Z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</row>
    <row r="60" spans="1:144" s="12" customFormat="1" ht="25" customHeight="1">
      <c r="A60" s="61"/>
      <c r="B60" s="5"/>
      <c r="C60" s="94" t="s">
        <v>12</v>
      </c>
      <c r="D60" s="93" t="str">
        <f t="shared" ref="D60:AB60" si="64">+D1</f>
        <v>Total</v>
      </c>
      <c r="E60" s="86">
        <f t="shared" si="64"/>
        <v>42006</v>
      </c>
      <c r="F60" s="86">
        <f t="shared" si="64"/>
        <v>42009</v>
      </c>
      <c r="G60" s="86">
        <f t="shared" si="64"/>
        <v>42010</v>
      </c>
      <c r="H60" s="86">
        <f t="shared" si="64"/>
        <v>42011</v>
      </c>
      <c r="I60" s="86">
        <f t="shared" si="64"/>
        <v>42012</v>
      </c>
      <c r="J60" s="86">
        <f t="shared" si="64"/>
        <v>42013</v>
      </c>
      <c r="K60" s="86">
        <f t="shared" si="64"/>
        <v>42016</v>
      </c>
      <c r="L60" s="86">
        <f t="shared" si="64"/>
        <v>42017</v>
      </c>
      <c r="M60" s="86">
        <f t="shared" si="64"/>
        <v>42018</v>
      </c>
      <c r="N60" s="86">
        <f t="shared" si="64"/>
        <v>42019</v>
      </c>
      <c r="O60" s="86">
        <f t="shared" si="64"/>
        <v>42020</v>
      </c>
      <c r="P60" s="86">
        <f t="shared" si="64"/>
        <v>42023</v>
      </c>
      <c r="Q60" s="86">
        <f t="shared" si="64"/>
        <v>42024</v>
      </c>
      <c r="R60" s="86">
        <f t="shared" si="64"/>
        <v>42025</v>
      </c>
      <c r="S60" s="86">
        <f t="shared" si="64"/>
        <v>42026</v>
      </c>
      <c r="T60" s="86">
        <f t="shared" si="64"/>
        <v>42027</v>
      </c>
      <c r="U60" s="86">
        <f t="shared" si="64"/>
        <v>42030</v>
      </c>
      <c r="V60" s="86">
        <f t="shared" si="64"/>
        <v>42031</v>
      </c>
      <c r="W60" s="86">
        <f t="shared" si="64"/>
        <v>42032</v>
      </c>
      <c r="X60" s="82">
        <f t="shared" si="64"/>
        <v>42033</v>
      </c>
      <c r="Y60" s="91" t="str">
        <f t="shared" si="64"/>
        <v>Total</v>
      </c>
      <c r="Z60" s="82">
        <f t="shared" si="64"/>
        <v>42034</v>
      </c>
      <c r="AA60" s="91" t="str">
        <f t="shared" si="64"/>
        <v>Total</v>
      </c>
      <c r="AB60" s="92" t="str">
        <f t="shared" si="64"/>
        <v>Total</v>
      </c>
      <c r="AC60" s="82">
        <v>42037</v>
      </c>
      <c r="AD60" s="82">
        <v>42038</v>
      </c>
      <c r="AE60" s="82">
        <v>42039</v>
      </c>
      <c r="AF60" s="82">
        <v>42040</v>
      </c>
      <c r="AG60" s="82">
        <v>42041</v>
      </c>
      <c r="AH60" s="82">
        <v>42044</v>
      </c>
      <c r="AI60" s="82">
        <v>42045</v>
      </c>
      <c r="AJ60" s="82">
        <v>42046</v>
      </c>
      <c r="AK60" s="82">
        <v>42047</v>
      </c>
      <c r="AL60" s="82">
        <v>42048</v>
      </c>
      <c r="AM60" s="82">
        <f t="shared" ref="AM60:AT62" si="65">+AM1</f>
        <v>42053</v>
      </c>
      <c r="AN60" s="82">
        <f t="shared" si="65"/>
        <v>42054</v>
      </c>
      <c r="AO60" s="82">
        <f t="shared" si="65"/>
        <v>42055</v>
      </c>
      <c r="AP60" s="82">
        <f t="shared" si="65"/>
        <v>42058</v>
      </c>
      <c r="AQ60" s="82">
        <f t="shared" si="65"/>
        <v>42059</v>
      </c>
      <c r="AR60" s="82">
        <f t="shared" si="65"/>
        <v>42060</v>
      </c>
      <c r="AS60" s="82">
        <f t="shared" si="65"/>
        <v>42061</v>
      </c>
      <c r="AT60" s="82">
        <f t="shared" si="65"/>
        <v>42062</v>
      </c>
      <c r="AU60" s="91">
        <f t="shared" ref="AU60:BR60" si="66">+AU1</f>
        <v>42062</v>
      </c>
      <c r="AV60" s="90" t="str">
        <f t="shared" si="66"/>
        <v>Total</v>
      </c>
      <c r="AW60" s="82">
        <f t="shared" si="66"/>
        <v>42065</v>
      </c>
      <c r="AX60" s="82">
        <f t="shared" si="66"/>
        <v>42066</v>
      </c>
      <c r="AY60" s="82">
        <f t="shared" si="66"/>
        <v>42067</v>
      </c>
      <c r="AZ60" s="82">
        <f t="shared" si="66"/>
        <v>42068</v>
      </c>
      <c r="BA60" s="82">
        <f t="shared" si="66"/>
        <v>42069</v>
      </c>
      <c r="BB60" s="82">
        <f t="shared" si="66"/>
        <v>42072</v>
      </c>
      <c r="BC60" s="82">
        <f t="shared" si="66"/>
        <v>42073</v>
      </c>
      <c r="BD60" s="82">
        <f t="shared" si="66"/>
        <v>42074</v>
      </c>
      <c r="BE60" s="82">
        <f t="shared" si="66"/>
        <v>42075</v>
      </c>
      <c r="BF60" s="82">
        <f t="shared" si="66"/>
        <v>42076</v>
      </c>
      <c r="BG60" s="82">
        <f t="shared" si="66"/>
        <v>42079</v>
      </c>
      <c r="BH60" s="82">
        <f t="shared" si="66"/>
        <v>42080</v>
      </c>
      <c r="BI60" s="82">
        <f t="shared" si="66"/>
        <v>42081</v>
      </c>
      <c r="BJ60" s="82">
        <f t="shared" si="66"/>
        <v>42082</v>
      </c>
      <c r="BK60" s="82">
        <f t="shared" si="66"/>
        <v>42083</v>
      </c>
      <c r="BL60" s="82">
        <f t="shared" si="66"/>
        <v>42086</v>
      </c>
      <c r="BM60" s="82">
        <f t="shared" si="66"/>
        <v>42087</v>
      </c>
      <c r="BN60" s="82">
        <f t="shared" si="66"/>
        <v>42088</v>
      </c>
      <c r="BO60" s="82">
        <f t="shared" si="66"/>
        <v>42089</v>
      </c>
      <c r="BP60" s="82">
        <f t="shared" si="66"/>
        <v>42090</v>
      </c>
      <c r="BQ60" s="82">
        <f t="shared" si="66"/>
        <v>42093</v>
      </c>
      <c r="BR60" s="82">
        <f t="shared" si="66"/>
        <v>42094</v>
      </c>
      <c r="BS60" s="89"/>
      <c r="BT60" s="89"/>
      <c r="BU60" s="82">
        <f t="shared" ref="BU60:CP60" si="67">+BU1</f>
        <v>42095</v>
      </c>
      <c r="BV60" s="82">
        <f t="shared" si="67"/>
        <v>42096</v>
      </c>
      <c r="BW60" s="82">
        <f t="shared" si="67"/>
        <v>42097</v>
      </c>
      <c r="BX60" s="82">
        <f t="shared" si="67"/>
        <v>42100</v>
      </c>
      <c r="BY60" s="82">
        <f t="shared" si="67"/>
        <v>42101</v>
      </c>
      <c r="BZ60" s="82">
        <f t="shared" si="67"/>
        <v>42102</v>
      </c>
      <c r="CA60" s="82">
        <f t="shared" si="67"/>
        <v>42103</v>
      </c>
      <c r="CB60" s="82">
        <f t="shared" si="67"/>
        <v>42104</v>
      </c>
      <c r="CC60" s="82">
        <f t="shared" si="67"/>
        <v>42107</v>
      </c>
      <c r="CD60" s="82">
        <f t="shared" si="67"/>
        <v>42108</v>
      </c>
      <c r="CE60" s="82">
        <f t="shared" si="67"/>
        <v>42109</v>
      </c>
      <c r="CF60" s="82">
        <f t="shared" si="67"/>
        <v>42110</v>
      </c>
      <c r="CG60" s="82">
        <f t="shared" si="67"/>
        <v>42111</v>
      </c>
      <c r="CH60" s="82">
        <f t="shared" si="67"/>
        <v>42114</v>
      </c>
      <c r="CI60" s="82">
        <f t="shared" si="67"/>
        <v>42115</v>
      </c>
      <c r="CJ60" s="82">
        <f t="shared" si="67"/>
        <v>42116</v>
      </c>
      <c r="CK60" s="82">
        <f t="shared" si="67"/>
        <v>42117</v>
      </c>
      <c r="CL60" s="82">
        <f t="shared" si="67"/>
        <v>42118</v>
      </c>
      <c r="CM60" s="82">
        <f t="shared" si="67"/>
        <v>42121</v>
      </c>
      <c r="CN60" s="82">
        <f t="shared" si="67"/>
        <v>42122</v>
      </c>
      <c r="CO60" s="82">
        <f t="shared" si="67"/>
        <v>42123</v>
      </c>
      <c r="CP60" s="82">
        <f t="shared" si="67"/>
        <v>42124</v>
      </c>
      <c r="CQ60" s="89"/>
      <c r="CR60" s="89"/>
      <c r="CS60" s="82">
        <f t="shared" ref="CS60:DM60" si="68">+CS1</f>
        <v>42125</v>
      </c>
      <c r="CT60" s="82">
        <f t="shared" si="68"/>
        <v>42128</v>
      </c>
      <c r="CU60" s="82">
        <f t="shared" si="68"/>
        <v>42129</v>
      </c>
      <c r="CV60" s="82">
        <f t="shared" si="68"/>
        <v>42130</v>
      </c>
      <c r="CW60" s="82">
        <f t="shared" si="68"/>
        <v>42131</v>
      </c>
      <c r="CX60" s="82">
        <f t="shared" si="68"/>
        <v>42132</v>
      </c>
      <c r="CY60" s="82">
        <f t="shared" si="68"/>
        <v>42135</v>
      </c>
      <c r="CZ60" s="82">
        <f t="shared" si="68"/>
        <v>42136</v>
      </c>
      <c r="DA60" s="82">
        <f t="shared" si="68"/>
        <v>42137</v>
      </c>
      <c r="DB60" s="82">
        <f t="shared" si="68"/>
        <v>42138</v>
      </c>
      <c r="DC60" s="82">
        <f t="shared" si="68"/>
        <v>42139</v>
      </c>
      <c r="DD60" s="82">
        <f t="shared" si="68"/>
        <v>42142</v>
      </c>
      <c r="DE60" s="82">
        <f t="shared" si="68"/>
        <v>42143</v>
      </c>
      <c r="DF60" s="82">
        <f t="shared" si="68"/>
        <v>42144</v>
      </c>
      <c r="DG60" s="82">
        <f t="shared" si="68"/>
        <v>42145</v>
      </c>
      <c r="DH60" s="82">
        <f t="shared" si="68"/>
        <v>42146</v>
      </c>
      <c r="DI60" s="82">
        <f t="shared" si="68"/>
        <v>42149</v>
      </c>
      <c r="DJ60" s="82">
        <f t="shared" si="68"/>
        <v>42150</v>
      </c>
      <c r="DK60" s="82">
        <f t="shared" si="68"/>
        <v>42151</v>
      </c>
      <c r="DL60" s="82">
        <f t="shared" si="68"/>
        <v>42152</v>
      </c>
      <c r="DM60" s="82">
        <f t="shared" si="68"/>
        <v>42153</v>
      </c>
      <c r="DN60" s="89"/>
      <c r="DO60" s="89"/>
      <c r="DP60" s="82">
        <f t="shared" ref="DP60:EK60" si="69">+DP1</f>
        <v>42156</v>
      </c>
      <c r="DQ60" s="82">
        <f t="shared" si="69"/>
        <v>42157</v>
      </c>
      <c r="DR60" s="82">
        <f t="shared" si="69"/>
        <v>42158</v>
      </c>
      <c r="DS60" s="82">
        <f t="shared" si="69"/>
        <v>42159</v>
      </c>
      <c r="DT60" s="82">
        <f t="shared" si="69"/>
        <v>42160</v>
      </c>
      <c r="DU60" s="82">
        <f t="shared" si="69"/>
        <v>42163</v>
      </c>
      <c r="DV60" s="82">
        <f t="shared" si="69"/>
        <v>42164</v>
      </c>
      <c r="DW60" s="82">
        <f t="shared" si="69"/>
        <v>42165</v>
      </c>
      <c r="DX60" s="82">
        <f t="shared" si="69"/>
        <v>42166</v>
      </c>
      <c r="DY60" s="82">
        <f t="shared" si="69"/>
        <v>42167</v>
      </c>
      <c r="DZ60" s="82">
        <f t="shared" si="69"/>
        <v>42170</v>
      </c>
      <c r="EA60" s="82">
        <f t="shared" si="69"/>
        <v>42171</v>
      </c>
      <c r="EB60" s="82">
        <f t="shared" si="69"/>
        <v>42172</v>
      </c>
      <c r="EC60" s="82">
        <f t="shared" si="69"/>
        <v>42173</v>
      </c>
      <c r="ED60" s="82">
        <f t="shared" si="69"/>
        <v>42174</v>
      </c>
      <c r="EE60" s="82">
        <f t="shared" si="69"/>
        <v>42177</v>
      </c>
      <c r="EF60" s="82">
        <f t="shared" si="69"/>
        <v>42178</v>
      </c>
      <c r="EG60" s="82">
        <f t="shared" si="69"/>
        <v>42179</v>
      </c>
      <c r="EH60" s="82">
        <f t="shared" si="69"/>
        <v>42180</v>
      </c>
      <c r="EI60" s="82">
        <f t="shared" si="69"/>
        <v>42181</v>
      </c>
      <c r="EJ60" s="82">
        <f t="shared" si="69"/>
        <v>42184</v>
      </c>
      <c r="EK60" s="82">
        <f t="shared" si="69"/>
        <v>42185</v>
      </c>
      <c r="EL60" s="89"/>
      <c r="EM60" s="89"/>
    </row>
    <row r="61" spans="1:144" s="12" customFormat="1" ht="25" customHeight="1">
      <c r="A61" s="61"/>
      <c r="B61" s="5"/>
      <c r="C61" s="88">
        <f t="shared" ref="C61:X61" si="70">+C2</f>
        <v>42036</v>
      </c>
      <c r="D61" s="87" t="str">
        <f t="shared" si="70"/>
        <v>Final</v>
      </c>
      <c r="E61" s="86" t="str">
        <f t="shared" si="70"/>
        <v>sex</v>
      </c>
      <c r="F61" s="86" t="str">
        <f t="shared" si="70"/>
        <v>seg</v>
      </c>
      <c r="G61" s="86" t="str">
        <f t="shared" si="70"/>
        <v>ter</v>
      </c>
      <c r="H61" s="86" t="str">
        <f t="shared" si="70"/>
        <v>qua</v>
      </c>
      <c r="I61" s="86" t="str">
        <f t="shared" si="70"/>
        <v>qui</v>
      </c>
      <c r="J61" s="86" t="str">
        <f t="shared" si="70"/>
        <v>sex</v>
      </c>
      <c r="K61" s="86" t="str">
        <f t="shared" si="70"/>
        <v>seg</v>
      </c>
      <c r="L61" s="86" t="str">
        <f t="shared" si="70"/>
        <v>ter</v>
      </c>
      <c r="M61" s="86" t="str">
        <f t="shared" si="70"/>
        <v>qua</v>
      </c>
      <c r="N61" s="86" t="str">
        <f t="shared" si="70"/>
        <v>qui</v>
      </c>
      <c r="O61" s="86" t="str">
        <f t="shared" si="70"/>
        <v>sex</v>
      </c>
      <c r="P61" s="86" t="str">
        <f t="shared" si="70"/>
        <v>seg</v>
      </c>
      <c r="Q61" s="86" t="str">
        <f t="shared" si="70"/>
        <v>ter</v>
      </c>
      <c r="R61" s="86" t="str">
        <f t="shared" si="70"/>
        <v>qua</v>
      </c>
      <c r="S61" s="86" t="str">
        <f t="shared" si="70"/>
        <v>qui</v>
      </c>
      <c r="T61" s="86" t="str">
        <f t="shared" si="70"/>
        <v>sex</v>
      </c>
      <c r="U61" s="86" t="str">
        <f t="shared" si="70"/>
        <v>seg</v>
      </c>
      <c r="V61" s="86" t="str">
        <f t="shared" si="70"/>
        <v>ter</v>
      </c>
      <c r="W61" s="86" t="str">
        <f t="shared" si="70"/>
        <v>qua</v>
      </c>
      <c r="X61" s="82" t="str">
        <f t="shared" si="70"/>
        <v>qui</v>
      </c>
      <c r="Y61" s="84" t="s">
        <v>11</v>
      </c>
      <c r="Z61" s="82" t="str">
        <f t="shared" ref="Z61:AB61" si="71">+Z2</f>
        <v>sex</v>
      </c>
      <c r="AA61" s="84" t="str">
        <f t="shared" si="71"/>
        <v>Final</v>
      </c>
      <c r="AB61" s="85" t="str">
        <f t="shared" si="71"/>
        <v>Orçado</v>
      </c>
      <c r="AC61" s="82" t="s">
        <v>69</v>
      </c>
      <c r="AD61" s="82" t="s">
        <v>70</v>
      </c>
      <c r="AE61" s="82" t="s">
        <v>71</v>
      </c>
      <c r="AF61" s="82" t="s">
        <v>72</v>
      </c>
      <c r="AG61" s="82" t="s">
        <v>73</v>
      </c>
      <c r="AH61" s="82" t="s">
        <v>69</v>
      </c>
      <c r="AI61" s="82" t="s">
        <v>70</v>
      </c>
      <c r="AJ61" s="82" t="s">
        <v>71</v>
      </c>
      <c r="AK61" s="82" t="s">
        <v>72</v>
      </c>
      <c r="AL61" s="82" t="s">
        <v>73</v>
      </c>
      <c r="AM61" s="82" t="str">
        <f t="shared" si="65"/>
        <v>qua</v>
      </c>
      <c r="AN61" s="82" t="str">
        <f t="shared" si="65"/>
        <v>qui</v>
      </c>
      <c r="AO61" s="82" t="str">
        <f t="shared" si="65"/>
        <v>sex</v>
      </c>
      <c r="AP61" s="82" t="str">
        <f t="shared" si="65"/>
        <v>seg</v>
      </c>
      <c r="AQ61" s="82" t="str">
        <f t="shared" si="65"/>
        <v>ter</v>
      </c>
      <c r="AR61" s="82" t="str">
        <f t="shared" si="65"/>
        <v>qua</v>
      </c>
      <c r="AS61" s="82" t="str">
        <f t="shared" si="65"/>
        <v>qui</v>
      </c>
      <c r="AT61" s="82" t="str">
        <f t="shared" si="65"/>
        <v>sex</v>
      </c>
      <c r="AU61" s="84" t="s">
        <v>11</v>
      </c>
      <c r="AV61" s="83" t="str">
        <f t="shared" ref="AV61:BR61" si="72">+AV2</f>
        <v>Orçado</v>
      </c>
      <c r="AW61" s="82" t="str">
        <f t="shared" si="72"/>
        <v>seg</v>
      </c>
      <c r="AX61" s="82" t="str">
        <f t="shared" si="72"/>
        <v>ter</v>
      </c>
      <c r="AY61" s="82" t="str">
        <f t="shared" si="72"/>
        <v>qua</v>
      </c>
      <c r="AZ61" s="82" t="str">
        <f t="shared" si="72"/>
        <v>qui</v>
      </c>
      <c r="BA61" s="82" t="str">
        <f t="shared" si="72"/>
        <v>sex</v>
      </c>
      <c r="BB61" s="82" t="str">
        <f t="shared" si="72"/>
        <v>seg</v>
      </c>
      <c r="BC61" s="82" t="str">
        <f t="shared" si="72"/>
        <v>ter</v>
      </c>
      <c r="BD61" s="82" t="str">
        <f t="shared" si="72"/>
        <v>qua</v>
      </c>
      <c r="BE61" s="82" t="str">
        <f t="shared" si="72"/>
        <v>qui</v>
      </c>
      <c r="BF61" s="82" t="str">
        <f t="shared" si="72"/>
        <v>sex</v>
      </c>
      <c r="BG61" s="82" t="str">
        <f t="shared" si="72"/>
        <v>seg</v>
      </c>
      <c r="BH61" s="82" t="str">
        <f t="shared" si="72"/>
        <v>ter</v>
      </c>
      <c r="BI61" s="82" t="str">
        <f t="shared" si="72"/>
        <v>qua</v>
      </c>
      <c r="BJ61" s="82" t="str">
        <f t="shared" si="72"/>
        <v>qui</v>
      </c>
      <c r="BK61" s="82" t="str">
        <f t="shared" si="72"/>
        <v>sex</v>
      </c>
      <c r="BL61" s="82" t="str">
        <f t="shared" si="72"/>
        <v>seg</v>
      </c>
      <c r="BM61" s="82" t="str">
        <f t="shared" si="72"/>
        <v>ter</v>
      </c>
      <c r="BN61" s="82" t="str">
        <f t="shared" si="72"/>
        <v>qua</v>
      </c>
      <c r="BO61" s="82" t="str">
        <f t="shared" si="72"/>
        <v>qui</v>
      </c>
      <c r="BP61" s="82" t="str">
        <f t="shared" si="72"/>
        <v>sex</v>
      </c>
      <c r="BQ61" s="82" t="str">
        <f t="shared" si="72"/>
        <v>seg</v>
      </c>
      <c r="BR61" s="82" t="str">
        <f t="shared" si="72"/>
        <v>ter</v>
      </c>
      <c r="BS61" s="81"/>
      <c r="BT61" s="81"/>
      <c r="BU61" s="82" t="str">
        <f t="shared" ref="BU61:CP61" si="73">+BU2</f>
        <v>qua</v>
      </c>
      <c r="BV61" s="82" t="str">
        <f t="shared" si="73"/>
        <v>qui</v>
      </c>
      <c r="BW61" s="82" t="str">
        <f t="shared" si="73"/>
        <v>sex</v>
      </c>
      <c r="BX61" s="82" t="str">
        <f t="shared" si="73"/>
        <v>seg</v>
      </c>
      <c r="BY61" s="82" t="str">
        <f t="shared" si="73"/>
        <v>ter</v>
      </c>
      <c r="BZ61" s="82" t="str">
        <f t="shared" si="73"/>
        <v>qua</v>
      </c>
      <c r="CA61" s="82" t="str">
        <f t="shared" si="73"/>
        <v>qui</v>
      </c>
      <c r="CB61" s="82" t="str">
        <f t="shared" si="73"/>
        <v>sex</v>
      </c>
      <c r="CC61" s="82" t="str">
        <f t="shared" si="73"/>
        <v>seg</v>
      </c>
      <c r="CD61" s="82" t="str">
        <f t="shared" si="73"/>
        <v>ter</v>
      </c>
      <c r="CE61" s="82" t="str">
        <f t="shared" si="73"/>
        <v>qua</v>
      </c>
      <c r="CF61" s="82" t="str">
        <f t="shared" si="73"/>
        <v>qui</v>
      </c>
      <c r="CG61" s="82" t="str">
        <f t="shared" si="73"/>
        <v>sex</v>
      </c>
      <c r="CH61" s="82" t="str">
        <f t="shared" si="73"/>
        <v>seg</v>
      </c>
      <c r="CI61" s="82" t="str">
        <f t="shared" si="73"/>
        <v>ter</v>
      </c>
      <c r="CJ61" s="82" t="str">
        <f t="shared" si="73"/>
        <v>qua</v>
      </c>
      <c r="CK61" s="82" t="str">
        <f t="shared" si="73"/>
        <v>qui</v>
      </c>
      <c r="CL61" s="82" t="str">
        <f t="shared" si="73"/>
        <v>sex</v>
      </c>
      <c r="CM61" s="82" t="str">
        <f t="shared" si="73"/>
        <v>seg</v>
      </c>
      <c r="CN61" s="82" t="str">
        <f t="shared" si="73"/>
        <v>ter</v>
      </c>
      <c r="CO61" s="82" t="str">
        <f t="shared" si="73"/>
        <v>qua</v>
      </c>
      <c r="CP61" s="82" t="str">
        <f t="shared" si="73"/>
        <v>qui</v>
      </c>
      <c r="CQ61" s="81"/>
      <c r="CR61" s="81"/>
      <c r="CS61" s="82" t="str">
        <f t="shared" ref="CS61:DM61" si="74">+CS2</f>
        <v>sex</v>
      </c>
      <c r="CT61" s="82" t="str">
        <f t="shared" si="74"/>
        <v>seg</v>
      </c>
      <c r="CU61" s="82" t="str">
        <f t="shared" si="74"/>
        <v>ter</v>
      </c>
      <c r="CV61" s="82" t="str">
        <f t="shared" si="74"/>
        <v>qua</v>
      </c>
      <c r="CW61" s="82" t="str">
        <f t="shared" si="74"/>
        <v>qui</v>
      </c>
      <c r="CX61" s="82" t="str">
        <f t="shared" si="74"/>
        <v>sex</v>
      </c>
      <c r="CY61" s="82" t="str">
        <f t="shared" si="74"/>
        <v>seg</v>
      </c>
      <c r="CZ61" s="82" t="str">
        <f t="shared" si="74"/>
        <v>ter</v>
      </c>
      <c r="DA61" s="82" t="str">
        <f t="shared" si="74"/>
        <v>qua</v>
      </c>
      <c r="DB61" s="82" t="str">
        <f t="shared" si="74"/>
        <v>qui</v>
      </c>
      <c r="DC61" s="82" t="str">
        <f t="shared" si="74"/>
        <v>sex</v>
      </c>
      <c r="DD61" s="82" t="str">
        <f t="shared" si="74"/>
        <v>seg</v>
      </c>
      <c r="DE61" s="82" t="str">
        <f t="shared" si="74"/>
        <v>ter</v>
      </c>
      <c r="DF61" s="82" t="str">
        <f t="shared" si="74"/>
        <v>qua</v>
      </c>
      <c r="DG61" s="82" t="str">
        <f t="shared" si="74"/>
        <v>qui</v>
      </c>
      <c r="DH61" s="82" t="str">
        <f t="shared" si="74"/>
        <v>sex</v>
      </c>
      <c r="DI61" s="82" t="str">
        <f t="shared" si="74"/>
        <v>seg</v>
      </c>
      <c r="DJ61" s="82" t="str">
        <f t="shared" si="74"/>
        <v>ter</v>
      </c>
      <c r="DK61" s="82" t="str">
        <f t="shared" si="74"/>
        <v>qua</v>
      </c>
      <c r="DL61" s="82" t="str">
        <f t="shared" si="74"/>
        <v>qui</v>
      </c>
      <c r="DM61" s="82" t="str">
        <f t="shared" si="74"/>
        <v>sex</v>
      </c>
      <c r="DN61" s="81"/>
      <c r="DO61" s="81"/>
      <c r="DP61" s="82" t="str">
        <f t="shared" ref="DP61:EK61" si="75">+DP2</f>
        <v>seg</v>
      </c>
      <c r="DQ61" s="82" t="str">
        <f t="shared" si="75"/>
        <v>ter</v>
      </c>
      <c r="DR61" s="82" t="str">
        <f t="shared" si="75"/>
        <v>qua</v>
      </c>
      <c r="DS61" s="82" t="str">
        <f t="shared" si="75"/>
        <v>qui</v>
      </c>
      <c r="DT61" s="82" t="str">
        <f t="shared" si="75"/>
        <v>sex</v>
      </c>
      <c r="DU61" s="82" t="str">
        <f t="shared" si="75"/>
        <v>seg</v>
      </c>
      <c r="DV61" s="82" t="str">
        <f t="shared" si="75"/>
        <v>ter</v>
      </c>
      <c r="DW61" s="82" t="str">
        <f t="shared" si="75"/>
        <v>qua</v>
      </c>
      <c r="DX61" s="82" t="str">
        <f t="shared" si="75"/>
        <v>qui</v>
      </c>
      <c r="DY61" s="82" t="str">
        <f t="shared" si="75"/>
        <v>sex</v>
      </c>
      <c r="DZ61" s="82" t="str">
        <f t="shared" si="75"/>
        <v>seg</v>
      </c>
      <c r="EA61" s="82" t="str">
        <f t="shared" si="75"/>
        <v>ter</v>
      </c>
      <c r="EB61" s="82" t="str">
        <f t="shared" si="75"/>
        <v>qua</v>
      </c>
      <c r="EC61" s="82" t="str">
        <f t="shared" si="75"/>
        <v>qui</v>
      </c>
      <c r="ED61" s="82" t="str">
        <f t="shared" si="75"/>
        <v>sex</v>
      </c>
      <c r="EE61" s="82" t="str">
        <f t="shared" si="75"/>
        <v>seg</v>
      </c>
      <c r="EF61" s="82" t="str">
        <f t="shared" si="75"/>
        <v>ter</v>
      </c>
      <c r="EG61" s="82" t="str">
        <f t="shared" si="75"/>
        <v>qua</v>
      </c>
      <c r="EH61" s="82" t="str">
        <f t="shared" si="75"/>
        <v>qui</v>
      </c>
      <c r="EI61" s="82" t="str">
        <f t="shared" si="75"/>
        <v>sex</v>
      </c>
      <c r="EJ61" s="82" t="str">
        <f t="shared" si="75"/>
        <v>seg</v>
      </c>
      <c r="EK61" s="82" t="str">
        <f t="shared" si="75"/>
        <v>ter</v>
      </c>
      <c r="EL61" s="81"/>
      <c r="EM61" s="81"/>
    </row>
    <row r="62" spans="1:144" s="10" customFormat="1" ht="25" customHeight="1" thickBot="1">
      <c r="A62" s="15"/>
      <c r="B62" s="5"/>
      <c r="C62" s="6"/>
      <c r="D62" s="80">
        <f t="shared" ref="D62:X62" si="76">+D3</f>
        <v>41974</v>
      </c>
      <c r="E62" s="78" t="str">
        <f t="shared" si="76"/>
        <v>REAL</v>
      </c>
      <c r="F62" s="78" t="str">
        <f t="shared" si="76"/>
        <v>REAL</v>
      </c>
      <c r="G62" s="78" t="str">
        <f t="shared" si="76"/>
        <v>REAL</v>
      </c>
      <c r="H62" s="78" t="str">
        <f t="shared" si="76"/>
        <v>REAL</v>
      </c>
      <c r="I62" s="78" t="str">
        <f t="shared" si="76"/>
        <v>REAL</v>
      </c>
      <c r="J62" s="78" t="str">
        <f t="shared" si="76"/>
        <v>REAL</v>
      </c>
      <c r="K62" s="78" t="str">
        <f t="shared" si="76"/>
        <v>REAL</v>
      </c>
      <c r="L62" s="78" t="str">
        <f t="shared" si="76"/>
        <v>REAL</v>
      </c>
      <c r="M62" s="78" t="str">
        <f t="shared" si="76"/>
        <v>REAL</v>
      </c>
      <c r="N62" s="78" t="str">
        <f t="shared" si="76"/>
        <v>REAL</v>
      </c>
      <c r="O62" s="78" t="str">
        <f t="shared" si="76"/>
        <v>REAL</v>
      </c>
      <c r="P62" s="78" t="str">
        <f t="shared" si="76"/>
        <v>REAL</v>
      </c>
      <c r="Q62" s="78" t="str">
        <f t="shared" si="76"/>
        <v>REAL</v>
      </c>
      <c r="R62" s="78" t="str">
        <f t="shared" si="76"/>
        <v>REAL</v>
      </c>
      <c r="S62" s="78" t="str">
        <f t="shared" si="76"/>
        <v>REAL</v>
      </c>
      <c r="T62" s="78" t="str">
        <f t="shared" si="76"/>
        <v>REAL</v>
      </c>
      <c r="U62" s="78" t="str">
        <f t="shared" si="76"/>
        <v>REAL</v>
      </c>
      <c r="V62" s="78" t="str">
        <f t="shared" si="76"/>
        <v>REAL</v>
      </c>
      <c r="W62" s="78" t="str">
        <f t="shared" si="76"/>
        <v>REAL</v>
      </c>
      <c r="X62" s="78" t="str">
        <f t="shared" si="76"/>
        <v>REAL</v>
      </c>
      <c r="Y62" s="77">
        <f>+$X$60</f>
        <v>42033</v>
      </c>
      <c r="Z62" s="78" t="str">
        <f>+Z3</f>
        <v>REAL</v>
      </c>
      <c r="AA62" s="76">
        <f>+AA3</f>
        <v>42005</v>
      </c>
      <c r="AB62" s="79">
        <f>+AB3</f>
        <v>42005</v>
      </c>
      <c r="AC62" s="78" t="s">
        <v>10</v>
      </c>
      <c r="AD62" s="78" t="s">
        <v>10</v>
      </c>
      <c r="AE62" s="78" t="s">
        <v>10</v>
      </c>
      <c r="AF62" s="78" t="s">
        <v>10</v>
      </c>
      <c r="AG62" s="78" t="s">
        <v>10</v>
      </c>
      <c r="AH62" s="78" t="s">
        <v>10</v>
      </c>
      <c r="AI62" s="78" t="s">
        <v>10</v>
      </c>
      <c r="AJ62" s="78" t="s">
        <v>10</v>
      </c>
      <c r="AK62" s="78" t="s">
        <v>10</v>
      </c>
      <c r="AL62" s="78" t="s">
        <v>75</v>
      </c>
      <c r="AM62" s="78" t="str">
        <f t="shared" si="65"/>
        <v>Real</v>
      </c>
      <c r="AN62" s="78" t="str">
        <f t="shared" si="65"/>
        <v>Real</v>
      </c>
      <c r="AO62" s="78" t="str">
        <f t="shared" si="65"/>
        <v>Real</v>
      </c>
      <c r="AP62" s="78" t="str">
        <f t="shared" si="65"/>
        <v>Real</v>
      </c>
      <c r="AQ62" s="78" t="str">
        <f t="shared" si="65"/>
        <v>Real</v>
      </c>
      <c r="AR62" s="78" t="str">
        <f t="shared" si="65"/>
        <v>Real</v>
      </c>
      <c r="AS62" s="78" t="str">
        <f t="shared" si="65"/>
        <v>Real</v>
      </c>
      <c r="AT62" s="78" t="str">
        <f t="shared" si="65"/>
        <v>Real</v>
      </c>
      <c r="AU62" s="77">
        <f>+AT60</f>
        <v>42062</v>
      </c>
      <c r="AV62" s="75">
        <f t="shared" ref="AV62:BR62" si="77">+AV3</f>
        <v>42036</v>
      </c>
      <c r="AW62" s="74" t="str">
        <f t="shared" si="77"/>
        <v>Previsto</v>
      </c>
      <c r="AX62" s="74" t="str">
        <f t="shared" si="77"/>
        <v>Previsto</v>
      </c>
      <c r="AY62" s="74" t="str">
        <f t="shared" si="77"/>
        <v>Previsto</v>
      </c>
      <c r="AZ62" s="74" t="str">
        <f t="shared" si="77"/>
        <v>Previsto</v>
      </c>
      <c r="BA62" s="74" t="str">
        <f t="shared" si="77"/>
        <v>Previsto</v>
      </c>
      <c r="BB62" s="74" t="str">
        <f t="shared" si="77"/>
        <v>Previsto</v>
      </c>
      <c r="BC62" s="74" t="str">
        <f t="shared" si="77"/>
        <v>Previsto</v>
      </c>
      <c r="BD62" s="74" t="str">
        <f t="shared" si="77"/>
        <v>Previsto</v>
      </c>
      <c r="BE62" s="74" t="str">
        <f t="shared" si="77"/>
        <v>Previsto</v>
      </c>
      <c r="BF62" s="74" t="str">
        <f t="shared" si="77"/>
        <v>Previsto</v>
      </c>
      <c r="BG62" s="74" t="str">
        <f t="shared" si="77"/>
        <v>Previsto</v>
      </c>
      <c r="BH62" s="74" t="str">
        <f t="shared" si="77"/>
        <v>Previsto</v>
      </c>
      <c r="BI62" s="74" t="str">
        <f t="shared" si="77"/>
        <v>Previsto</v>
      </c>
      <c r="BJ62" s="74" t="str">
        <f t="shared" si="77"/>
        <v>Previsto</v>
      </c>
      <c r="BK62" s="74" t="str">
        <f t="shared" si="77"/>
        <v>Previsto</v>
      </c>
      <c r="BL62" s="74" t="str">
        <f t="shared" si="77"/>
        <v>Previsto</v>
      </c>
      <c r="BM62" s="74" t="str">
        <f t="shared" si="77"/>
        <v>Previsto</v>
      </c>
      <c r="BN62" s="74" t="str">
        <f t="shared" si="77"/>
        <v>Previsto</v>
      </c>
      <c r="BO62" s="74" t="str">
        <f t="shared" si="77"/>
        <v>Previsto</v>
      </c>
      <c r="BP62" s="74" t="str">
        <f t="shared" si="77"/>
        <v>Previsto</v>
      </c>
      <c r="BQ62" s="74" t="str">
        <f t="shared" si="77"/>
        <v>Previsto</v>
      </c>
      <c r="BR62" s="74" t="str">
        <f t="shared" si="77"/>
        <v>Previsto</v>
      </c>
      <c r="BS62" s="73"/>
      <c r="BT62" s="73"/>
      <c r="BU62" s="74" t="str">
        <f t="shared" ref="BU62:CP62" si="78">+BU3</f>
        <v>Previsto</v>
      </c>
      <c r="BV62" s="74" t="str">
        <f t="shared" si="78"/>
        <v>Previsto</v>
      </c>
      <c r="BW62" s="74" t="str">
        <f t="shared" si="78"/>
        <v>Previsto</v>
      </c>
      <c r="BX62" s="74" t="str">
        <f t="shared" si="78"/>
        <v>Previsto</v>
      </c>
      <c r="BY62" s="74" t="str">
        <f t="shared" si="78"/>
        <v>Previsto</v>
      </c>
      <c r="BZ62" s="74" t="str">
        <f t="shared" si="78"/>
        <v>Previsto</v>
      </c>
      <c r="CA62" s="74" t="str">
        <f t="shared" si="78"/>
        <v>Previsto</v>
      </c>
      <c r="CB62" s="74" t="str">
        <f t="shared" si="78"/>
        <v>Previsto</v>
      </c>
      <c r="CC62" s="74" t="str">
        <f t="shared" si="78"/>
        <v>Previsto</v>
      </c>
      <c r="CD62" s="74" t="str">
        <f t="shared" si="78"/>
        <v>Previsto</v>
      </c>
      <c r="CE62" s="74" t="str">
        <f t="shared" si="78"/>
        <v>Previsto</v>
      </c>
      <c r="CF62" s="74" t="str">
        <f t="shared" si="78"/>
        <v>Previsto</v>
      </c>
      <c r="CG62" s="74" t="str">
        <f t="shared" si="78"/>
        <v>Previsto</v>
      </c>
      <c r="CH62" s="74" t="str">
        <f t="shared" si="78"/>
        <v>Previsto</v>
      </c>
      <c r="CI62" s="74" t="str">
        <f t="shared" si="78"/>
        <v>Previsto</v>
      </c>
      <c r="CJ62" s="74" t="str">
        <f t="shared" si="78"/>
        <v>Previsto</v>
      </c>
      <c r="CK62" s="74" t="str">
        <f t="shared" si="78"/>
        <v>Previsto</v>
      </c>
      <c r="CL62" s="74" t="str">
        <f t="shared" si="78"/>
        <v>Previsto</v>
      </c>
      <c r="CM62" s="74" t="str">
        <f t="shared" si="78"/>
        <v>Previsto</v>
      </c>
      <c r="CN62" s="74" t="str">
        <f t="shared" si="78"/>
        <v>Previsto</v>
      </c>
      <c r="CO62" s="74" t="str">
        <f t="shared" si="78"/>
        <v>Previsto</v>
      </c>
      <c r="CP62" s="74" t="str">
        <f t="shared" si="78"/>
        <v>Previsto</v>
      </c>
      <c r="CQ62" s="73"/>
      <c r="CR62" s="73"/>
      <c r="CS62" s="74" t="str">
        <f t="shared" ref="CS62:DM62" si="79">+CS3</f>
        <v>Previsto</v>
      </c>
      <c r="CT62" s="74" t="str">
        <f t="shared" si="79"/>
        <v>Previsto</v>
      </c>
      <c r="CU62" s="74" t="str">
        <f t="shared" si="79"/>
        <v>Previsto</v>
      </c>
      <c r="CV62" s="74" t="str">
        <f t="shared" si="79"/>
        <v>Previsto</v>
      </c>
      <c r="CW62" s="74" t="str">
        <f t="shared" si="79"/>
        <v>Previsto</v>
      </c>
      <c r="CX62" s="74" t="str">
        <f t="shared" si="79"/>
        <v>Previsto</v>
      </c>
      <c r="CY62" s="74" t="str">
        <f t="shared" si="79"/>
        <v>Previsto</v>
      </c>
      <c r="CZ62" s="74" t="str">
        <f t="shared" si="79"/>
        <v>Previsto</v>
      </c>
      <c r="DA62" s="74" t="str">
        <f t="shared" si="79"/>
        <v>Previsto</v>
      </c>
      <c r="DB62" s="74" t="str">
        <f t="shared" si="79"/>
        <v>Previsto</v>
      </c>
      <c r="DC62" s="74" t="str">
        <f t="shared" si="79"/>
        <v>Previsto</v>
      </c>
      <c r="DD62" s="74" t="str">
        <f t="shared" si="79"/>
        <v>Previsto</v>
      </c>
      <c r="DE62" s="74" t="str">
        <f t="shared" si="79"/>
        <v>Previsto</v>
      </c>
      <c r="DF62" s="74" t="str">
        <f t="shared" si="79"/>
        <v>Previsto</v>
      </c>
      <c r="DG62" s="74" t="str">
        <f t="shared" si="79"/>
        <v>Previsto</v>
      </c>
      <c r="DH62" s="74" t="str">
        <f t="shared" si="79"/>
        <v>Previsto</v>
      </c>
      <c r="DI62" s="74" t="str">
        <f t="shared" si="79"/>
        <v>Previsto</v>
      </c>
      <c r="DJ62" s="74" t="str">
        <f t="shared" si="79"/>
        <v>Previsto</v>
      </c>
      <c r="DK62" s="74" t="str">
        <f t="shared" si="79"/>
        <v>Previsto</v>
      </c>
      <c r="DL62" s="74" t="str">
        <f t="shared" si="79"/>
        <v>Previsto</v>
      </c>
      <c r="DM62" s="74" t="str">
        <f t="shared" si="79"/>
        <v>Previsto</v>
      </c>
      <c r="DN62" s="73"/>
      <c r="DO62" s="73"/>
      <c r="DP62" s="74" t="str">
        <f t="shared" ref="DP62:EK62" si="80">+DP3</f>
        <v>Previsto</v>
      </c>
      <c r="DQ62" s="74" t="str">
        <f t="shared" si="80"/>
        <v>Previsto</v>
      </c>
      <c r="DR62" s="74" t="str">
        <f t="shared" si="80"/>
        <v>Previsto</v>
      </c>
      <c r="DS62" s="74" t="str">
        <f t="shared" si="80"/>
        <v>Previsto</v>
      </c>
      <c r="DT62" s="74" t="str">
        <f t="shared" si="80"/>
        <v>Previsto</v>
      </c>
      <c r="DU62" s="74" t="str">
        <f t="shared" si="80"/>
        <v>Previsto</v>
      </c>
      <c r="DV62" s="74" t="str">
        <f t="shared" si="80"/>
        <v>Previsto</v>
      </c>
      <c r="DW62" s="74" t="str">
        <f t="shared" si="80"/>
        <v>Previsto</v>
      </c>
      <c r="DX62" s="74" t="str">
        <f t="shared" si="80"/>
        <v>Previsto</v>
      </c>
      <c r="DY62" s="74" t="str">
        <f t="shared" si="80"/>
        <v>Previsto</v>
      </c>
      <c r="DZ62" s="74" t="str">
        <f t="shared" si="80"/>
        <v>Previsto</v>
      </c>
      <c r="EA62" s="74" t="str">
        <f t="shared" si="80"/>
        <v>Previsto</v>
      </c>
      <c r="EB62" s="74" t="str">
        <f t="shared" si="80"/>
        <v>Previsto</v>
      </c>
      <c r="EC62" s="74" t="str">
        <f t="shared" si="80"/>
        <v>Previsto</v>
      </c>
      <c r="ED62" s="74" t="str">
        <f t="shared" si="80"/>
        <v>Previsto</v>
      </c>
      <c r="EE62" s="74" t="str">
        <f t="shared" si="80"/>
        <v>Previsto</v>
      </c>
      <c r="EF62" s="74" t="str">
        <f t="shared" si="80"/>
        <v>Previsto</v>
      </c>
      <c r="EG62" s="74" t="str">
        <f t="shared" si="80"/>
        <v>Previsto</v>
      </c>
      <c r="EH62" s="74" t="str">
        <f t="shared" si="80"/>
        <v>Previsto</v>
      </c>
      <c r="EI62" s="74" t="str">
        <f t="shared" si="80"/>
        <v>Previsto</v>
      </c>
      <c r="EJ62" s="74" t="str">
        <f t="shared" si="80"/>
        <v>Previsto</v>
      </c>
      <c r="EK62" s="74" t="str">
        <f t="shared" si="80"/>
        <v>Previsto</v>
      </c>
      <c r="EL62" s="73"/>
      <c r="EM62" s="73"/>
    </row>
    <row r="63" spans="1:144" s="2" customFormat="1" ht="25" customHeight="1">
      <c r="A63" s="36"/>
      <c r="B63" s="5"/>
      <c r="C63" s="72" t="s">
        <v>9</v>
      </c>
      <c r="D63" s="69"/>
      <c r="E63" s="68">
        <f t="shared" ref="E63:X63" si="81">+D64</f>
        <v>473842.00999999978</v>
      </c>
      <c r="F63" s="68">
        <f t="shared" si="81"/>
        <v>471095.97999999981</v>
      </c>
      <c r="G63" s="68">
        <f t="shared" si="81"/>
        <v>471291.88999999978</v>
      </c>
      <c r="H63" s="68">
        <f t="shared" si="81"/>
        <v>471444.62999999977</v>
      </c>
      <c r="I63" s="68">
        <f t="shared" si="81"/>
        <v>471589.82999999978</v>
      </c>
      <c r="J63" s="71">
        <f t="shared" si="81"/>
        <v>453648.44999999984</v>
      </c>
      <c r="K63" s="68">
        <f t="shared" si="81"/>
        <v>453793.39999999985</v>
      </c>
      <c r="L63" s="68">
        <f t="shared" si="81"/>
        <v>454021.64999999985</v>
      </c>
      <c r="M63" s="68">
        <f t="shared" si="81"/>
        <v>454183.10999999987</v>
      </c>
      <c r="N63" s="68">
        <f t="shared" si="81"/>
        <v>454348.61999999988</v>
      </c>
      <c r="O63" s="68">
        <f t="shared" si="81"/>
        <v>454524.8299999999</v>
      </c>
      <c r="P63" s="68">
        <f t="shared" si="81"/>
        <v>454702.29999999987</v>
      </c>
      <c r="Q63" s="68">
        <f t="shared" si="81"/>
        <v>454929.10999999987</v>
      </c>
      <c r="R63" s="68">
        <f t="shared" si="81"/>
        <v>176624.91999999987</v>
      </c>
      <c r="S63" s="68">
        <f t="shared" si="81"/>
        <v>176686.80999999988</v>
      </c>
      <c r="T63" s="68">
        <f t="shared" si="81"/>
        <v>177126.50999999989</v>
      </c>
      <c r="U63" s="68">
        <f t="shared" si="81"/>
        <v>166351.86999999988</v>
      </c>
      <c r="V63" s="68">
        <f t="shared" si="81"/>
        <v>166494.44999999987</v>
      </c>
      <c r="W63" s="68">
        <f t="shared" si="81"/>
        <v>166575.45999999988</v>
      </c>
      <c r="X63" s="68">
        <f t="shared" si="81"/>
        <v>166660.72999999986</v>
      </c>
      <c r="Y63" s="69">
        <f>+E63</f>
        <v>473842.00999999978</v>
      </c>
      <c r="Z63" s="68">
        <f>+X64</f>
        <v>313767.6799999997</v>
      </c>
      <c r="AA63" s="69">
        <f>+E63</f>
        <v>473842.00999999978</v>
      </c>
      <c r="AB63" s="70"/>
      <c r="AC63" s="68">
        <v>309662.44999999925</v>
      </c>
      <c r="AD63" s="68">
        <v>309778.10999999923</v>
      </c>
      <c r="AE63" s="68">
        <v>310862.40999999922</v>
      </c>
      <c r="AF63" s="68">
        <v>310931.46999999922</v>
      </c>
      <c r="AG63" s="68">
        <v>309465.60999999923</v>
      </c>
      <c r="AH63" s="68">
        <v>294548.10999999923</v>
      </c>
      <c r="AI63" s="68">
        <v>294920.99999999924</v>
      </c>
      <c r="AJ63" s="68">
        <v>294996.54999999923</v>
      </c>
      <c r="AK63" s="68">
        <v>287373.21999999922</v>
      </c>
      <c r="AL63" s="68">
        <v>287467.1399999992</v>
      </c>
      <c r="AM63" s="68">
        <f t="shared" ref="AM63:AP63" si="82">+AL64</f>
        <v>287557.00999999919</v>
      </c>
      <c r="AN63" s="68">
        <f t="shared" si="82"/>
        <v>283440.02999999915</v>
      </c>
      <c r="AO63" s="68">
        <f t="shared" si="82"/>
        <v>283539.91999999917</v>
      </c>
      <c r="AP63" s="68">
        <f t="shared" si="82"/>
        <v>153955.64999999915</v>
      </c>
      <c r="AQ63" s="68">
        <f>+AP64</f>
        <v>154063.15999999916</v>
      </c>
      <c r="AR63" s="68">
        <f>+AQ64</f>
        <v>154138.52999999915</v>
      </c>
      <c r="AS63" s="68">
        <f>+AR64</f>
        <v>154206.54999999914</v>
      </c>
      <c r="AT63" s="68">
        <f>+AS64</f>
        <v>353302.50999999931</v>
      </c>
      <c r="AU63" s="69">
        <f>+$AC$63</f>
        <v>309662.44999999925</v>
      </c>
      <c r="AV63" s="57"/>
      <c r="AW63" s="68">
        <f t="shared" ref="AW63:BR63" si="83">+AV64</f>
        <v>0</v>
      </c>
      <c r="AX63" s="68">
        <f t="shared" si="83"/>
        <v>0</v>
      </c>
      <c r="AY63" s="68">
        <f t="shared" si="83"/>
        <v>0</v>
      </c>
      <c r="AZ63" s="68">
        <f t="shared" si="83"/>
        <v>0</v>
      </c>
      <c r="BA63" s="68">
        <f t="shared" si="83"/>
        <v>0</v>
      </c>
      <c r="BB63" s="68">
        <f t="shared" si="83"/>
        <v>0</v>
      </c>
      <c r="BC63" s="68">
        <f t="shared" si="83"/>
        <v>0</v>
      </c>
      <c r="BD63" s="68">
        <f t="shared" si="83"/>
        <v>0</v>
      </c>
      <c r="BE63" s="68">
        <f t="shared" si="83"/>
        <v>0</v>
      </c>
      <c r="BF63" s="68">
        <f t="shared" si="83"/>
        <v>0</v>
      </c>
      <c r="BG63" s="68">
        <f t="shared" si="83"/>
        <v>0</v>
      </c>
      <c r="BH63" s="68">
        <f t="shared" si="83"/>
        <v>0</v>
      </c>
      <c r="BI63" s="68">
        <f t="shared" si="83"/>
        <v>0</v>
      </c>
      <c r="BJ63" s="68">
        <f t="shared" si="83"/>
        <v>0</v>
      </c>
      <c r="BK63" s="68">
        <f t="shared" si="83"/>
        <v>0</v>
      </c>
      <c r="BL63" s="68">
        <f t="shared" si="83"/>
        <v>0</v>
      </c>
      <c r="BM63" s="68">
        <f t="shared" si="83"/>
        <v>0</v>
      </c>
      <c r="BN63" s="68">
        <f t="shared" si="83"/>
        <v>0</v>
      </c>
      <c r="BO63" s="68">
        <f t="shared" si="83"/>
        <v>0</v>
      </c>
      <c r="BP63" s="68">
        <f t="shared" si="83"/>
        <v>0</v>
      </c>
      <c r="BQ63" s="68">
        <f t="shared" si="83"/>
        <v>0</v>
      </c>
      <c r="BR63" s="68">
        <f t="shared" si="83"/>
        <v>0</v>
      </c>
      <c r="BS63" s="30"/>
      <c r="BT63" s="30"/>
      <c r="BU63" s="68">
        <f t="shared" ref="BU63:CP63" si="84">+BT64</f>
        <v>0</v>
      </c>
      <c r="BV63" s="68">
        <f t="shared" si="84"/>
        <v>0</v>
      </c>
      <c r="BW63" s="68">
        <f t="shared" si="84"/>
        <v>0</v>
      </c>
      <c r="BX63" s="68">
        <f t="shared" si="84"/>
        <v>0</v>
      </c>
      <c r="BY63" s="68">
        <f t="shared" si="84"/>
        <v>0</v>
      </c>
      <c r="BZ63" s="68">
        <f t="shared" si="84"/>
        <v>0</v>
      </c>
      <c r="CA63" s="68">
        <f t="shared" si="84"/>
        <v>0</v>
      </c>
      <c r="CB63" s="68">
        <f t="shared" si="84"/>
        <v>0</v>
      </c>
      <c r="CC63" s="68">
        <f t="shared" si="84"/>
        <v>0</v>
      </c>
      <c r="CD63" s="68">
        <f t="shared" si="84"/>
        <v>0</v>
      </c>
      <c r="CE63" s="68">
        <f t="shared" si="84"/>
        <v>0</v>
      </c>
      <c r="CF63" s="68">
        <f t="shared" si="84"/>
        <v>0</v>
      </c>
      <c r="CG63" s="68">
        <f t="shared" si="84"/>
        <v>0</v>
      </c>
      <c r="CH63" s="68">
        <f t="shared" si="84"/>
        <v>0</v>
      </c>
      <c r="CI63" s="68">
        <f t="shared" si="84"/>
        <v>0</v>
      </c>
      <c r="CJ63" s="68">
        <f t="shared" si="84"/>
        <v>0</v>
      </c>
      <c r="CK63" s="68">
        <f t="shared" si="84"/>
        <v>0</v>
      </c>
      <c r="CL63" s="68">
        <f t="shared" si="84"/>
        <v>0</v>
      </c>
      <c r="CM63" s="68">
        <f t="shared" si="84"/>
        <v>0</v>
      </c>
      <c r="CN63" s="68">
        <f t="shared" si="84"/>
        <v>0</v>
      </c>
      <c r="CO63" s="68">
        <f t="shared" si="84"/>
        <v>0</v>
      </c>
      <c r="CP63" s="68">
        <f t="shared" si="84"/>
        <v>0</v>
      </c>
      <c r="CQ63" s="30"/>
      <c r="CR63" s="30"/>
      <c r="CS63" s="68">
        <f t="shared" ref="CS63:DM63" si="85">+CR64</f>
        <v>0</v>
      </c>
      <c r="CT63" s="68">
        <f t="shared" si="85"/>
        <v>0</v>
      </c>
      <c r="CU63" s="68">
        <f t="shared" si="85"/>
        <v>0</v>
      </c>
      <c r="CV63" s="68">
        <f t="shared" si="85"/>
        <v>0</v>
      </c>
      <c r="CW63" s="68">
        <f t="shared" si="85"/>
        <v>0</v>
      </c>
      <c r="CX63" s="68">
        <f t="shared" si="85"/>
        <v>0</v>
      </c>
      <c r="CY63" s="68">
        <f t="shared" si="85"/>
        <v>0</v>
      </c>
      <c r="CZ63" s="68">
        <f t="shared" si="85"/>
        <v>0</v>
      </c>
      <c r="DA63" s="68">
        <f t="shared" si="85"/>
        <v>0</v>
      </c>
      <c r="DB63" s="68">
        <f t="shared" si="85"/>
        <v>0</v>
      </c>
      <c r="DC63" s="68">
        <f t="shared" si="85"/>
        <v>0</v>
      </c>
      <c r="DD63" s="68">
        <f t="shared" si="85"/>
        <v>0</v>
      </c>
      <c r="DE63" s="68">
        <f t="shared" si="85"/>
        <v>0</v>
      </c>
      <c r="DF63" s="68">
        <f t="shared" si="85"/>
        <v>0</v>
      </c>
      <c r="DG63" s="68">
        <f t="shared" si="85"/>
        <v>0</v>
      </c>
      <c r="DH63" s="68">
        <f t="shared" si="85"/>
        <v>0</v>
      </c>
      <c r="DI63" s="68">
        <f t="shared" si="85"/>
        <v>0</v>
      </c>
      <c r="DJ63" s="68">
        <f t="shared" si="85"/>
        <v>0</v>
      </c>
      <c r="DK63" s="68">
        <f t="shared" si="85"/>
        <v>0</v>
      </c>
      <c r="DL63" s="68">
        <f t="shared" si="85"/>
        <v>0</v>
      </c>
      <c r="DM63" s="68">
        <f t="shared" si="85"/>
        <v>0</v>
      </c>
      <c r="DN63" s="30"/>
      <c r="DO63" s="30"/>
      <c r="DP63" s="68">
        <f t="shared" ref="DP63:EK63" si="86">+DO64</f>
        <v>0</v>
      </c>
      <c r="DQ63" s="68">
        <f t="shared" si="86"/>
        <v>0</v>
      </c>
      <c r="DR63" s="68">
        <f t="shared" si="86"/>
        <v>0</v>
      </c>
      <c r="DS63" s="68">
        <f t="shared" si="86"/>
        <v>0</v>
      </c>
      <c r="DT63" s="68">
        <f t="shared" si="86"/>
        <v>0</v>
      </c>
      <c r="DU63" s="68">
        <f t="shared" si="86"/>
        <v>0</v>
      </c>
      <c r="DV63" s="68">
        <f t="shared" si="86"/>
        <v>0</v>
      </c>
      <c r="DW63" s="68">
        <f t="shared" si="86"/>
        <v>0</v>
      </c>
      <c r="DX63" s="68">
        <f t="shared" si="86"/>
        <v>0</v>
      </c>
      <c r="DY63" s="68">
        <f t="shared" si="86"/>
        <v>0</v>
      </c>
      <c r="DZ63" s="68">
        <f t="shared" si="86"/>
        <v>0</v>
      </c>
      <c r="EA63" s="68">
        <f t="shared" si="86"/>
        <v>0</v>
      </c>
      <c r="EB63" s="68">
        <f t="shared" si="86"/>
        <v>0</v>
      </c>
      <c r="EC63" s="68">
        <f t="shared" si="86"/>
        <v>0</v>
      </c>
      <c r="ED63" s="68">
        <f t="shared" si="86"/>
        <v>0</v>
      </c>
      <c r="EE63" s="68">
        <f t="shared" si="86"/>
        <v>0</v>
      </c>
      <c r="EF63" s="68">
        <f t="shared" si="86"/>
        <v>0</v>
      </c>
      <c r="EG63" s="68">
        <f t="shared" si="86"/>
        <v>0</v>
      </c>
      <c r="EH63" s="68">
        <f t="shared" si="86"/>
        <v>0</v>
      </c>
      <c r="EI63" s="68">
        <f t="shared" si="86"/>
        <v>0</v>
      </c>
      <c r="EJ63" s="68">
        <f t="shared" si="86"/>
        <v>0</v>
      </c>
      <c r="EK63" s="68">
        <f t="shared" si="86"/>
        <v>0</v>
      </c>
      <c r="EL63" s="30"/>
      <c r="EM63" s="30"/>
    </row>
    <row r="64" spans="1:144" s="2" customFormat="1" ht="25" customHeight="1" thickBot="1">
      <c r="A64" s="36"/>
      <c r="B64" s="5"/>
      <c r="C64" s="67" t="s">
        <v>8</v>
      </c>
      <c r="D64" s="65">
        <v>473842.00999999978</v>
      </c>
      <c r="E64" s="63">
        <f t="shared" ref="E64:AU64" si="87">+E63+E66-E70</f>
        <v>471095.97999999981</v>
      </c>
      <c r="F64" s="63">
        <f t="shared" si="87"/>
        <v>471291.88999999978</v>
      </c>
      <c r="G64" s="63">
        <f t="shared" si="87"/>
        <v>471444.62999999977</v>
      </c>
      <c r="H64" s="63">
        <f t="shared" si="87"/>
        <v>471589.82999999978</v>
      </c>
      <c r="I64" s="63">
        <f t="shared" si="87"/>
        <v>453648.44999999984</v>
      </c>
      <c r="J64" s="63">
        <f t="shared" si="87"/>
        <v>453793.39999999985</v>
      </c>
      <c r="K64" s="63">
        <f t="shared" si="87"/>
        <v>454021.64999999985</v>
      </c>
      <c r="L64" s="63">
        <f t="shared" si="87"/>
        <v>454183.10999999987</v>
      </c>
      <c r="M64" s="63">
        <f t="shared" si="87"/>
        <v>454348.61999999988</v>
      </c>
      <c r="N64" s="63">
        <f t="shared" si="87"/>
        <v>454524.8299999999</v>
      </c>
      <c r="O64" s="63">
        <f t="shared" si="87"/>
        <v>454702.29999999987</v>
      </c>
      <c r="P64" s="63">
        <f t="shared" si="87"/>
        <v>454929.10999999987</v>
      </c>
      <c r="Q64" s="63">
        <f t="shared" si="87"/>
        <v>176624.91999999987</v>
      </c>
      <c r="R64" s="63">
        <f t="shared" si="87"/>
        <v>176686.80999999988</v>
      </c>
      <c r="S64" s="63">
        <f t="shared" si="87"/>
        <v>177126.50999999989</v>
      </c>
      <c r="T64" s="63">
        <f t="shared" si="87"/>
        <v>166351.86999999988</v>
      </c>
      <c r="U64" s="63">
        <f t="shared" si="87"/>
        <v>166494.44999999987</v>
      </c>
      <c r="V64" s="63">
        <f t="shared" si="87"/>
        <v>166575.45999999988</v>
      </c>
      <c r="W64" s="63">
        <f t="shared" si="87"/>
        <v>166660.72999999986</v>
      </c>
      <c r="X64" s="63">
        <f t="shared" si="87"/>
        <v>313767.6799999997</v>
      </c>
      <c r="Y64" s="65">
        <f t="shared" si="87"/>
        <v>313767.68000000017</v>
      </c>
      <c r="Z64" s="63">
        <f t="shared" si="87"/>
        <v>309662.44999999972</v>
      </c>
      <c r="AA64" s="65">
        <f t="shared" si="87"/>
        <v>309662.44999999925</v>
      </c>
      <c r="AB64" s="66">
        <f t="shared" si="87"/>
        <v>154884.92000000027</v>
      </c>
      <c r="AC64" s="63">
        <v>309778.10999999923</v>
      </c>
      <c r="AD64" s="63">
        <v>310862.40999999922</v>
      </c>
      <c r="AE64" s="63">
        <v>310931.46999999922</v>
      </c>
      <c r="AF64" s="63">
        <v>309465.60999999923</v>
      </c>
      <c r="AG64" s="63">
        <v>294548.10999999923</v>
      </c>
      <c r="AH64" s="63">
        <v>294920.99999999924</v>
      </c>
      <c r="AI64" s="63">
        <v>294996.54999999923</v>
      </c>
      <c r="AJ64" s="63">
        <v>287373.21999999922</v>
      </c>
      <c r="AK64" s="63">
        <v>287467.1399999992</v>
      </c>
      <c r="AL64" s="63">
        <v>287557.00999999919</v>
      </c>
      <c r="AM64" s="63">
        <f t="shared" ref="AM64:AT64" si="88">+AM63+AM66-AM70</f>
        <v>283440.02999999915</v>
      </c>
      <c r="AN64" s="63">
        <f t="shared" si="88"/>
        <v>283539.91999999917</v>
      </c>
      <c r="AO64" s="63">
        <f t="shared" si="88"/>
        <v>153955.64999999915</v>
      </c>
      <c r="AP64" s="63">
        <f t="shared" si="88"/>
        <v>154063.15999999916</v>
      </c>
      <c r="AQ64" s="63">
        <f t="shared" si="88"/>
        <v>154138.52999999915</v>
      </c>
      <c r="AR64" s="63">
        <f t="shared" si="88"/>
        <v>154206.54999999914</v>
      </c>
      <c r="AS64" s="63">
        <f t="shared" si="88"/>
        <v>353302.50999999931</v>
      </c>
      <c r="AT64" s="63">
        <f t="shared" si="88"/>
        <v>348152.70999999932</v>
      </c>
      <c r="AU64" s="65">
        <f t="shared" si="87"/>
        <v>348152.7099999995</v>
      </c>
      <c r="AV64" s="64"/>
      <c r="AW64" s="63">
        <f t="shared" ref="AW64:BR64" si="89">+AW63+AW66-AW70</f>
        <v>0</v>
      </c>
      <c r="AX64" s="63">
        <f t="shared" si="89"/>
        <v>0</v>
      </c>
      <c r="AY64" s="63">
        <f t="shared" si="89"/>
        <v>0</v>
      </c>
      <c r="AZ64" s="63">
        <f t="shared" si="89"/>
        <v>0</v>
      </c>
      <c r="BA64" s="63">
        <f t="shared" si="89"/>
        <v>0</v>
      </c>
      <c r="BB64" s="63">
        <f t="shared" si="89"/>
        <v>0</v>
      </c>
      <c r="BC64" s="63">
        <f t="shared" si="89"/>
        <v>0</v>
      </c>
      <c r="BD64" s="63">
        <f t="shared" si="89"/>
        <v>0</v>
      </c>
      <c r="BE64" s="63">
        <f t="shared" si="89"/>
        <v>0</v>
      </c>
      <c r="BF64" s="63">
        <f t="shared" si="89"/>
        <v>0</v>
      </c>
      <c r="BG64" s="63">
        <f t="shared" si="89"/>
        <v>0</v>
      </c>
      <c r="BH64" s="63">
        <f t="shared" si="89"/>
        <v>0</v>
      </c>
      <c r="BI64" s="63">
        <f t="shared" si="89"/>
        <v>0</v>
      </c>
      <c r="BJ64" s="63">
        <f t="shared" si="89"/>
        <v>0</v>
      </c>
      <c r="BK64" s="63">
        <f t="shared" si="89"/>
        <v>0</v>
      </c>
      <c r="BL64" s="63">
        <f t="shared" si="89"/>
        <v>0</v>
      </c>
      <c r="BM64" s="63">
        <f t="shared" si="89"/>
        <v>0</v>
      </c>
      <c r="BN64" s="63">
        <f t="shared" si="89"/>
        <v>0</v>
      </c>
      <c r="BO64" s="63">
        <f t="shared" si="89"/>
        <v>0</v>
      </c>
      <c r="BP64" s="63">
        <f t="shared" si="89"/>
        <v>0</v>
      </c>
      <c r="BQ64" s="63">
        <f t="shared" si="89"/>
        <v>0</v>
      </c>
      <c r="BR64" s="63">
        <f t="shared" si="89"/>
        <v>0</v>
      </c>
      <c r="BS64" s="62"/>
      <c r="BT64" s="62"/>
      <c r="BU64" s="63">
        <f t="shared" ref="BU64:CP64" si="90">+BU63+BU66-BU70</f>
        <v>0</v>
      </c>
      <c r="BV64" s="63">
        <f t="shared" si="90"/>
        <v>0</v>
      </c>
      <c r="BW64" s="63">
        <f t="shared" si="90"/>
        <v>0</v>
      </c>
      <c r="BX64" s="63">
        <f t="shared" si="90"/>
        <v>0</v>
      </c>
      <c r="BY64" s="63">
        <f t="shared" si="90"/>
        <v>0</v>
      </c>
      <c r="BZ64" s="63">
        <f t="shared" si="90"/>
        <v>0</v>
      </c>
      <c r="CA64" s="63">
        <f t="shared" si="90"/>
        <v>0</v>
      </c>
      <c r="CB64" s="63">
        <f t="shared" si="90"/>
        <v>0</v>
      </c>
      <c r="CC64" s="63">
        <f t="shared" si="90"/>
        <v>0</v>
      </c>
      <c r="CD64" s="63">
        <f t="shared" si="90"/>
        <v>0</v>
      </c>
      <c r="CE64" s="63">
        <f t="shared" si="90"/>
        <v>0</v>
      </c>
      <c r="CF64" s="63">
        <f t="shared" si="90"/>
        <v>0</v>
      </c>
      <c r="CG64" s="63">
        <f t="shared" si="90"/>
        <v>0</v>
      </c>
      <c r="CH64" s="63">
        <f t="shared" si="90"/>
        <v>0</v>
      </c>
      <c r="CI64" s="63">
        <f t="shared" si="90"/>
        <v>0</v>
      </c>
      <c r="CJ64" s="63">
        <f t="shared" si="90"/>
        <v>0</v>
      </c>
      <c r="CK64" s="63">
        <f t="shared" si="90"/>
        <v>0</v>
      </c>
      <c r="CL64" s="63">
        <f t="shared" si="90"/>
        <v>0</v>
      </c>
      <c r="CM64" s="63">
        <f t="shared" si="90"/>
        <v>0</v>
      </c>
      <c r="CN64" s="63">
        <f t="shared" si="90"/>
        <v>0</v>
      </c>
      <c r="CO64" s="63">
        <f t="shared" si="90"/>
        <v>0</v>
      </c>
      <c r="CP64" s="63">
        <f t="shared" si="90"/>
        <v>0</v>
      </c>
      <c r="CQ64" s="62"/>
      <c r="CR64" s="62"/>
      <c r="CS64" s="63">
        <f t="shared" ref="CS64:DM64" si="91">+CS63+CS66-CS70</f>
        <v>0</v>
      </c>
      <c r="CT64" s="63">
        <f t="shared" si="91"/>
        <v>0</v>
      </c>
      <c r="CU64" s="63">
        <f t="shared" si="91"/>
        <v>0</v>
      </c>
      <c r="CV64" s="63">
        <f t="shared" si="91"/>
        <v>0</v>
      </c>
      <c r="CW64" s="63">
        <f t="shared" si="91"/>
        <v>0</v>
      </c>
      <c r="CX64" s="63">
        <f t="shared" si="91"/>
        <v>0</v>
      </c>
      <c r="CY64" s="63">
        <f t="shared" si="91"/>
        <v>0</v>
      </c>
      <c r="CZ64" s="63">
        <f t="shared" si="91"/>
        <v>0</v>
      </c>
      <c r="DA64" s="63">
        <f t="shared" si="91"/>
        <v>0</v>
      </c>
      <c r="DB64" s="63">
        <f t="shared" si="91"/>
        <v>0</v>
      </c>
      <c r="DC64" s="63">
        <f t="shared" si="91"/>
        <v>0</v>
      </c>
      <c r="DD64" s="63">
        <f t="shared" si="91"/>
        <v>0</v>
      </c>
      <c r="DE64" s="63">
        <f t="shared" si="91"/>
        <v>0</v>
      </c>
      <c r="DF64" s="63">
        <f t="shared" si="91"/>
        <v>0</v>
      </c>
      <c r="DG64" s="63">
        <f t="shared" si="91"/>
        <v>0</v>
      </c>
      <c r="DH64" s="63">
        <f t="shared" si="91"/>
        <v>0</v>
      </c>
      <c r="DI64" s="63">
        <f t="shared" si="91"/>
        <v>0</v>
      </c>
      <c r="DJ64" s="63">
        <f t="shared" si="91"/>
        <v>0</v>
      </c>
      <c r="DK64" s="63">
        <f t="shared" si="91"/>
        <v>0</v>
      </c>
      <c r="DL64" s="63">
        <f t="shared" si="91"/>
        <v>0</v>
      </c>
      <c r="DM64" s="63">
        <f t="shared" si="91"/>
        <v>0</v>
      </c>
      <c r="DN64" s="62"/>
      <c r="DO64" s="62"/>
      <c r="DP64" s="63">
        <f t="shared" ref="DP64:EK64" si="92">+DP63+DP66-DP70</f>
        <v>0</v>
      </c>
      <c r="DQ64" s="63">
        <f t="shared" si="92"/>
        <v>0</v>
      </c>
      <c r="DR64" s="63">
        <f t="shared" si="92"/>
        <v>0</v>
      </c>
      <c r="DS64" s="63">
        <f t="shared" si="92"/>
        <v>0</v>
      </c>
      <c r="DT64" s="63">
        <f t="shared" si="92"/>
        <v>0</v>
      </c>
      <c r="DU64" s="63">
        <f t="shared" si="92"/>
        <v>0</v>
      </c>
      <c r="DV64" s="63">
        <f t="shared" si="92"/>
        <v>0</v>
      </c>
      <c r="DW64" s="63">
        <f t="shared" si="92"/>
        <v>0</v>
      </c>
      <c r="DX64" s="63">
        <f t="shared" si="92"/>
        <v>0</v>
      </c>
      <c r="DY64" s="63">
        <f t="shared" si="92"/>
        <v>0</v>
      </c>
      <c r="DZ64" s="63">
        <f t="shared" si="92"/>
        <v>0</v>
      </c>
      <c r="EA64" s="63">
        <f t="shared" si="92"/>
        <v>0</v>
      </c>
      <c r="EB64" s="63">
        <f t="shared" si="92"/>
        <v>0</v>
      </c>
      <c r="EC64" s="63">
        <f t="shared" si="92"/>
        <v>0</v>
      </c>
      <c r="ED64" s="63">
        <f t="shared" si="92"/>
        <v>0</v>
      </c>
      <c r="EE64" s="63">
        <f t="shared" si="92"/>
        <v>0</v>
      </c>
      <c r="EF64" s="63">
        <f t="shared" si="92"/>
        <v>0</v>
      </c>
      <c r="EG64" s="63">
        <f t="shared" si="92"/>
        <v>0</v>
      </c>
      <c r="EH64" s="63">
        <f t="shared" si="92"/>
        <v>0</v>
      </c>
      <c r="EI64" s="63">
        <f t="shared" si="92"/>
        <v>0</v>
      </c>
      <c r="EJ64" s="63">
        <f t="shared" si="92"/>
        <v>0</v>
      </c>
      <c r="EK64" s="63">
        <f t="shared" si="92"/>
        <v>0</v>
      </c>
      <c r="EL64" s="62"/>
      <c r="EM64" s="62"/>
    </row>
    <row r="65" spans="1:15950" s="12" customFormat="1" ht="25" customHeight="1" thickBot="1">
      <c r="A65" s="61"/>
      <c r="B65" s="5"/>
      <c r="C65" s="60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58"/>
      <c r="Z65" s="59"/>
      <c r="AA65" s="58"/>
      <c r="AB65" s="58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58"/>
      <c r="AV65" s="5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24"/>
      <c r="BT65" s="24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24"/>
      <c r="CR65" s="24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24"/>
      <c r="DO65" s="24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24"/>
      <c r="EM65" s="24"/>
    </row>
    <row r="66" spans="1:15950" s="2" customFormat="1" ht="25" customHeight="1">
      <c r="A66" s="36"/>
      <c r="B66" s="5"/>
      <c r="C66" s="35" t="s">
        <v>7</v>
      </c>
      <c r="D66" s="33"/>
      <c r="E66" s="31">
        <f t="shared" ref="E66:AU66" si="93">SUM(E67:E68)</f>
        <v>135.44</v>
      </c>
      <c r="F66" s="31">
        <f t="shared" si="93"/>
        <v>255.91</v>
      </c>
      <c r="G66" s="31">
        <f t="shared" si="93"/>
        <v>152.74</v>
      </c>
      <c r="H66" s="31">
        <f t="shared" si="93"/>
        <v>145.19999999999999</v>
      </c>
      <c r="I66" s="31">
        <f t="shared" si="93"/>
        <v>422.15</v>
      </c>
      <c r="J66" s="31">
        <f t="shared" si="93"/>
        <v>144.94999999999999</v>
      </c>
      <c r="K66" s="31">
        <f t="shared" si="93"/>
        <v>228.25</v>
      </c>
      <c r="L66" s="31">
        <f t="shared" si="93"/>
        <v>161.46</v>
      </c>
      <c r="M66" s="31">
        <f t="shared" si="93"/>
        <v>165.51</v>
      </c>
      <c r="N66" s="31">
        <f t="shared" si="93"/>
        <v>176.21</v>
      </c>
      <c r="O66" s="31">
        <f t="shared" si="93"/>
        <v>177.47</v>
      </c>
      <c r="P66" s="31">
        <f t="shared" si="93"/>
        <v>226.81</v>
      </c>
      <c r="Q66" s="31">
        <f t="shared" si="93"/>
        <v>168.51</v>
      </c>
      <c r="R66" s="31">
        <f t="shared" si="93"/>
        <v>61.89</v>
      </c>
      <c r="S66" s="31">
        <f t="shared" si="93"/>
        <v>439.70000000000005</v>
      </c>
      <c r="T66" s="31">
        <f t="shared" si="93"/>
        <v>78.28</v>
      </c>
      <c r="U66" s="31">
        <f t="shared" si="93"/>
        <v>142.58000000000001</v>
      </c>
      <c r="V66" s="31">
        <f t="shared" si="93"/>
        <v>81.010000000000005</v>
      </c>
      <c r="W66" s="31">
        <f t="shared" si="93"/>
        <v>85.27</v>
      </c>
      <c r="X66" s="31">
        <f t="shared" si="93"/>
        <v>2630571.11</v>
      </c>
      <c r="Y66" s="33">
        <f t="shared" si="93"/>
        <v>2634020.4500000002</v>
      </c>
      <c r="Z66" s="31">
        <f t="shared" si="93"/>
        <v>53.83</v>
      </c>
      <c r="AA66" s="33">
        <f t="shared" si="93"/>
        <v>2634074.2799999998</v>
      </c>
      <c r="AB66" s="34">
        <f t="shared" si="93"/>
        <v>339601</v>
      </c>
      <c r="AC66" s="31">
        <v>115.66</v>
      </c>
      <c r="AD66" s="31">
        <v>1084.3</v>
      </c>
      <c r="AE66" s="31">
        <v>69.06</v>
      </c>
      <c r="AF66" s="31">
        <v>151.26</v>
      </c>
      <c r="AG66" s="31">
        <v>77.5</v>
      </c>
      <c r="AH66" s="31">
        <v>372.89</v>
      </c>
      <c r="AI66" s="31">
        <v>75.55</v>
      </c>
      <c r="AJ66" s="31">
        <v>80.55</v>
      </c>
      <c r="AK66" s="31">
        <v>93.92</v>
      </c>
      <c r="AL66" s="31">
        <v>89.87</v>
      </c>
      <c r="AM66" s="31">
        <f t="shared" ref="AM66:AP66" si="94">SUM(AM67:AM68)</f>
        <v>186.72</v>
      </c>
      <c r="AN66" s="31">
        <f t="shared" si="94"/>
        <v>99.89</v>
      </c>
      <c r="AO66" s="31">
        <f t="shared" si="94"/>
        <v>100.3</v>
      </c>
      <c r="AP66" s="31">
        <f t="shared" si="94"/>
        <v>107.51</v>
      </c>
      <c r="AQ66" s="31">
        <f t="shared" ref="AQ66:AT66" si="95">SUM(AQ67:AQ68)</f>
        <v>75.37</v>
      </c>
      <c r="AR66" s="31">
        <f t="shared" ref="AR66:AT66" si="96">SUM(AR67:AR68)</f>
        <v>68.02</v>
      </c>
      <c r="AS66" s="31">
        <f t="shared" si="96"/>
        <v>2606984.85</v>
      </c>
      <c r="AT66" s="31">
        <f t="shared" si="96"/>
        <v>92.13</v>
      </c>
      <c r="AU66" s="33">
        <f t="shared" si="93"/>
        <v>2609925.35</v>
      </c>
      <c r="AV66" s="57"/>
      <c r="AW66" s="31">
        <f t="shared" ref="AW66:BR66" si="97">SUM(AW67:AW68)</f>
        <v>0</v>
      </c>
      <c r="AX66" s="31">
        <f t="shared" si="97"/>
        <v>0</v>
      </c>
      <c r="AY66" s="31">
        <f t="shared" si="97"/>
        <v>0</v>
      </c>
      <c r="AZ66" s="31">
        <f t="shared" si="97"/>
        <v>0</v>
      </c>
      <c r="BA66" s="31">
        <f t="shared" si="97"/>
        <v>0</v>
      </c>
      <c r="BB66" s="31">
        <f t="shared" si="97"/>
        <v>0</v>
      </c>
      <c r="BC66" s="31">
        <f t="shared" si="97"/>
        <v>0</v>
      </c>
      <c r="BD66" s="31">
        <f t="shared" si="97"/>
        <v>0</v>
      </c>
      <c r="BE66" s="31">
        <f t="shared" si="97"/>
        <v>0</v>
      </c>
      <c r="BF66" s="31">
        <f t="shared" si="97"/>
        <v>0</v>
      </c>
      <c r="BG66" s="31">
        <f t="shared" si="97"/>
        <v>0</v>
      </c>
      <c r="BH66" s="31">
        <f t="shared" si="97"/>
        <v>0</v>
      </c>
      <c r="BI66" s="31">
        <f t="shared" si="97"/>
        <v>0</v>
      </c>
      <c r="BJ66" s="31">
        <f t="shared" si="97"/>
        <v>0</v>
      </c>
      <c r="BK66" s="31">
        <f t="shared" si="97"/>
        <v>0</v>
      </c>
      <c r="BL66" s="31">
        <f t="shared" si="97"/>
        <v>0</v>
      </c>
      <c r="BM66" s="31">
        <f t="shared" si="97"/>
        <v>0</v>
      </c>
      <c r="BN66" s="31">
        <f t="shared" si="97"/>
        <v>0</v>
      </c>
      <c r="BO66" s="31">
        <f t="shared" si="97"/>
        <v>0</v>
      </c>
      <c r="BP66" s="31">
        <f t="shared" si="97"/>
        <v>0</v>
      </c>
      <c r="BQ66" s="31">
        <f t="shared" si="97"/>
        <v>0</v>
      </c>
      <c r="BR66" s="31">
        <f t="shared" si="97"/>
        <v>0</v>
      </c>
      <c r="BS66" s="30"/>
      <c r="BT66" s="30"/>
      <c r="BU66" s="31">
        <f t="shared" ref="BU66:CP66" si="98">SUM(BU67:BU68)</f>
        <v>0</v>
      </c>
      <c r="BV66" s="31">
        <f t="shared" si="98"/>
        <v>0</v>
      </c>
      <c r="BW66" s="31">
        <f t="shared" si="98"/>
        <v>0</v>
      </c>
      <c r="BX66" s="31">
        <f t="shared" si="98"/>
        <v>0</v>
      </c>
      <c r="BY66" s="31">
        <f t="shared" si="98"/>
        <v>0</v>
      </c>
      <c r="BZ66" s="31">
        <f t="shared" si="98"/>
        <v>0</v>
      </c>
      <c r="CA66" s="31">
        <f t="shared" si="98"/>
        <v>0</v>
      </c>
      <c r="CB66" s="31">
        <f t="shared" si="98"/>
        <v>0</v>
      </c>
      <c r="CC66" s="31">
        <f t="shared" si="98"/>
        <v>0</v>
      </c>
      <c r="CD66" s="31">
        <f t="shared" si="98"/>
        <v>0</v>
      </c>
      <c r="CE66" s="31">
        <f t="shared" si="98"/>
        <v>0</v>
      </c>
      <c r="CF66" s="31">
        <f t="shared" si="98"/>
        <v>0</v>
      </c>
      <c r="CG66" s="31">
        <f t="shared" si="98"/>
        <v>0</v>
      </c>
      <c r="CH66" s="31">
        <f t="shared" si="98"/>
        <v>0</v>
      </c>
      <c r="CI66" s="31">
        <f t="shared" si="98"/>
        <v>0</v>
      </c>
      <c r="CJ66" s="31">
        <f t="shared" si="98"/>
        <v>0</v>
      </c>
      <c r="CK66" s="31">
        <f t="shared" si="98"/>
        <v>0</v>
      </c>
      <c r="CL66" s="31">
        <f t="shared" si="98"/>
        <v>0</v>
      </c>
      <c r="CM66" s="31">
        <f t="shared" si="98"/>
        <v>0</v>
      </c>
      <c r="CN66" s="31">
        <f t="shared" si="98"/>
        <v>0</v>
      </c>
      <c r="CO66" s="31">
        <f t="shared" si="98"/>
        <v>0</v>
      </c>
      <c r="CP66" s="31">
        <f t="shared" si="98"/>
        <v>0</v>
      </c>
      <c r="CQ66" s="30"/>
      <c r="CR66" s="30"/>
      <c r="CS66" s="31">
        <f t="shared" ref="CS66:DM66" si="99">SUM(CS67:CS68)</f>
        <v>0</v>
      </c>
      <c r="CT66" s="31">
        <f t="shared" si="99"/>
        <v>0</v>
      </c>
      <c r="CU66" s="31">
        <f t="shared" si="99"/>
        <v>0</v>
      </c>
      <c r="CV66" s="31">
        <f t="shared" si="99"/>
        <v>0</v>
      </c>
      <c r="CW66" s="31">
        <f t="shared" si="99"/>
        <v>0</v>
      </c>
      <c r="CX66" s="31">
        <f t="shared" si="99"/>
        <v>0</v>
      </c>
      <c r="CY66" s="31">
        <f t="shared" si="99"/>
        <v>0</v>
      </c>
      <c r="CZ66" s="31">
        <f t="shared" si="99"/>
        <v>0</v>
      </c>
      <c r="DA66" s="31">
        <f t="shared" si="99"/>
        <v>0</v>
      </c>
      <c r="DB66" s="31">
        <f t="shared" si="99"/>
        <v>0</v>
      </c>
      <c r="DC66" s="31">
        <f t="shared" si="99"/>
        <v>0</v>
      </c>
      <c r="DD66" s="31">
        <f t="shared" si="99"/>
        <v>0</v>
      </c>
      <c r="DE66" s="31">
        <f t="shared" si="99"/>
        <v>0</v>
      </c>
      <c r="DF66" s="31">
        <f t="shared" si="99"/>
        <v>0</v>
      </c>
      <c r="DG66" s="31">
        <f t="shared" si="99"/>
        <v>0</v>
      </c>
      <c r="DH66" s="31">
        <f t="shared" si="99"/>
        <v>0</v>
      </c>
      <c r="DI66" s="31">
        <f t="shared" si="99"/>
        <v>0</v>
      </c>
      <c r="DJ66" s="31">
        <f t="shared" si="99"/>
        <v>0</v>
      </c>
      <c r="DK66" s="31">
        <f t="shared" si="99"/>
        <v>0</v>
      </c>
      <c r="DL66" s="31">
        <f t="shared" si="99"/>
        <v>0</v>
      </c>
      <c r="DM66" s="31">
        <f t="shared" si="99"/>
        <v>0</v>
      </c>
      <c r="DN66" s="30"/>
      <c r="DO66" s="30"/>
      <c r="DP66" s="31">
        <f t="shared" ref="DP66:EK66" si="100">SUM(DP67:DP68)</f>
        <v>0</v>
      </c>
      <c r="DQ66" s="31">
        <f t="shared" si="100"/>
        <v>0</v>
      </c>
      <c r="DR66" s="31">
        <f t="shared" si="100"/>
        <v>0</v>
      </c>
      <c r="DS66" s="31">
        <f t="shared" si="100"/>
        <v>0</v>
      </c>
      <c r="DT66" s="31">
        <f t="shared" si="100"/>
        <v>0</v>
      </c>
      <c r="DU66" s="31">
        <f t="shared" si="100"/>
        <v>0</v>
      </c>
      <c r="DV66" s="31">
        <f t="shared" si="100"/>
        <v>0</v>
      </c>
      <c r="DW66" s="31">
        <f t="shared" si="100"/>
        <v>0</v>
      </c>
      <c r="DX66" s="31">
        <f t="shared" si="100"/>
        <v>0</v>
      </c>
      <c r="DY66" s="31">
        <f t="shared" si="100"/>
        <v>0</v>
      </c>
      <c r="DZ66" s="31">
        <f t="shared" si="100"/>
        <v>0</v>
      </c>
      <c r="EA66" s="31">
        <f t="shared" si="100"/>
        <v>0</v>
      </c>
      <c r="EB66" s="31">
        <f t="shared" si="100"/>
        <v>0</v>
      </c>
      <c r="EC66" s="31">
        <f t="shared" si="100"/>
        <v>0</v>
      </c>
      <c r="ED66" s="31">
        <f t="shared" si="100"/>
        <v>0</v>
      </c>
      <c r="EE66" s="31">
        <f t="shared" si="100"/>
        <v>0</v>
      </c>
      <c r="EF66" s="31">
        <f t="shared" si="100"/>
        <v>0</v>
      </c>
      <c r="EG66" s="31">
        <f t="shared" si="100"/>
        <v>0</v>
      </c>
      <c r="EH66" s="31">
        <f t="shared" si="100"/>
        <v>0</v>
      </c>
      <c r="EI66" s="31">
        <f t="shared" si="100"/>
        <v>0</v>
      </c>
      <c r="EJ66" s="31">
        <f t="shared" si="100"/>
        <v>0</v>
      </c>
      <c r="EK66" s="31">
        <f t="shared" si="100"/>
        <v>0</v>
      </c>
      <c r="EL66" s="30"/>
      <c r="EM66" s="30"/>
    </row>
    <row r="67" spans="1:15950" s="3" customFormat="1" ht="25" customHeight="1">
      <c r="A67" s="15"/>
      <c r="B67" s="5"/>
      <c r="C67" s="56" t="s">
        <v>6</v>
      </c>
      <c r="D67" s="55"/>
      <c r="E67" s="52">
        <v>135.44</v>
      </c>
      <c r="F67" s="52">
        <f>80+175.91</f>
        <v>255.91</v>
      </c>
      <c r="G67" s="52">
        <v>152.74</v>
      </c>
      <c r="H67" s="52">
        <v>145.19999999999999</v>
      </c>
      <c r="I67" s="52">
        <f>273.67+148.48</f>
        <v>422.15</v>
      </c>
      <c r="J67" s="52">
        <v>144.94999999999999</v>
      </c>
      <c r="K67" s="52">
        <v>228.25</v>
      </c>
      <c r="L67" s="52">
        <v>161.46</v>
      </c>
      <c r="M67" s="52">
        <v>165.51</v>
      </c>
      <c r="N67" s="52">
        <v>176.21</v>
      </c>
      <c r="O67" s="52">
        <v>177.47</v>
      </c>
      <c r="P67" s="52">
        <v>226.81</v>
      </c>
      <c r="Q67" s="52">
        <v>168.51</v>
      </c>
      <c r="R67" s="52">
        <v>61.89</v>
      </c>
      <c r="S67" s="52">
        <f>63.78+375.92</f>
        <v>439.70000000000005</v>
      </c>
      <c r="T67" s="52">
        <v>78.28</v>
      </c>
      <c r="U67" s="52">
        <v>142.58000000000001</v>
      </c>
      <c r="V67" s="52">
        <v>81.010000000000005</v>
      </c>
      <c r="W67" s="52">
        <v>85.27</v>
      </c>
      <c r="X67" s="52">
        <v>55.11</v>
      </c>
      <c r="Y67" s="54">
        <f>SUM(E67:$X$67)</f>
        <v>3504.4500000000003</v>
      </c>
      <c r="Z67" s="52">
        <v>53.83</v>
      </c>
      <c r="AA67" s="54">
        <f>SUM(E67:Z67)-Y67</f>
        <v>3558.28</v>
      </c>
      <c r="AB67" s="28">
        <v>0</v>
      </c>
      <c r="AC67" s="52">
        <v>115.66</v>
      </c>
      <c r="AD67" s="52">
        <v>1084.3</v>
      </c>
      <c r="AE67" s="52">
        <v>69.06</v>
      </c>
      <c r="AF67" s="52">
        <v>151.26</v>
      </c>
      <c r="AG67" s="52">
        <v>77.5</v>
      </c>
      <c r="AH67" s="52">
        <v>372.89</v>
      </c>
      <c r="AI67" s="52">
        <v>75.55</v>
      </c>
      <c r="AJ67" s="52">
        <v>80.55</v>
      </c>
      <c r="AK67" s="52">
        <v>93.92</v>
      </c>
      <c r="AL67" s="52">
        <v>89.87</v>
      </c>
      <c r="AM67" s="52">
        <v>186.72</v>
      </c>
      <c r="AN67" s="52">
        <v>99.89</v>
      </c>
      <c r="AO67" s="52">
        <v>100.3</v>
      </c>
      <c r="AP67" s="52">
        <v>107.51</v>
      </c>
      <c r="AQ67" s="52">
        <v>75.37</v>
      </c>
      <c r="AR67" s="52">
        <v>68.02</v>
      </c>
      <c r="AS67" s="52">
        <v>70.680000000000007</v>
      </c>
      <c r="AT67" s="52">
        <v>92.13</v>
      </c>
      <c r="AU67" s="54">
        <f>SUM($AC67:AT67)</f>
        <v>3011.18</v>
      </c>
      <c r="AV67" s="53"/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24"/>
      <c r="BT67" s="24"/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24"/>
      <c r="CR67" s="24"/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24"/>
      <c r="DO67" s="24"/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v>0</v>
      </c>
      <c r="EC67" s="52">
        <v>0</v>
      </c>
      <c r="ED67" s="52">
        <v>0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24"/>
      <c r="EM67" s="24"/>
    </row>
    <row r="68" spans="1:15950" s="3" customFormat="1" ht="25" customHeight="1" thickBot="1">
      <c r="A68" s="15"/>
      <c r="B68" s="5"/>
      <c r="C68" s="51" t="s">
        <v>5</v>
      </c>
      <c r="D68" s="50"/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2630516</v>
      </c>
      <c r="Y68" s="49">
        <f>SUM(E68:$X$68)</f>
        <v>2630516</v>
      </c>
      <c r="Z68" s="48">
        <v>0</v>
      </c>
      <c r="AA68" s="49">
        <f>SUM(E68:Z68)-Y68</f>
        <v>2630516</v>
      </c>
      <c r="AB68" s="21">
        <f>2970117-AA68</f>
        <v>339601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2606914.17</v>
      </c>
      <c r="AT68" s="48">
        <v>0</v>
      </c>
      <c r="AU68" s="49">
        <f>SUM($AC68:AT68)</f>
        <v>2606914.17</v>
      </c>
      <c r="AV68" s="21" t="e">
        <f>2633146-#REF!</f>
        <v>#REF!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v>0</v>
      </c>
      <c r="BD68" s="48">
        <v>0</v>
      </c>
      <c r="BE68" s="48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48">
        <v>0</v>
      </c>
      <c r="BM68" s="48">
        <v>0</v>
      </c>
      <c r="BN68" s="48">
        <v>0</v>
      </c>
      <c r="BO68" s="48">
        <v>0</v>
      </c>
      <c r="BP68" s="48">
        <v>0</v>
      </c>
      <c r="BQ68" s="48">
        <v>0</v>
      </c>
      <c r="BR68" s="48">
        <v>0</v>
      </c>
      <c r="BS68" s="17"/>
      <c r="BT68" s="17"/>
      <c r="BU68" s="48">
        <v>0</v>
      </c>
      <c r="BV68" s="48">
        <v>0</v>
      </c>
      <c r="BW68" s="48">
        <v>0</v>
      </c>
      <c r="BX68" s="48">
        <v>0</v>
      </c>
      <c r="BY68" s="48">
        <v>0</v>
      </c>
      <c r="BZ68" s="48">
        <v>0</v>
      </c>
      <c r="CA68" s="48">
        <v>0</v>
      </c>
      <c r="CB68" s="48">
        <v>0</v>
      </c>
      <c r="CC68" s="48">
        <v>0</v>
      </c>
      <c r="CD68" s="48">
        <v>0</v>
      </c>
      <c r="CE68" s="48">
        <v>0</v>
      </c>
      <c r="CF68" s="48">
        <v>0</v>
      </c>
      <c r="CG68" s="48">
        <v>0</v>
      </c>
      <c r="CH68" s="48">
        <v>0</v>
      </c>
      <c r="CI68" s="48">
        <v>0</v>
      </c>
      <c r="CJ68" s="48">
        <v>0</v>
      </c>
      <c r="CK68" s="48">
        <v>0</v>
      </c>
      <c r="CL68" s="48">
        <v>0</v>
      </c>
      <c r="CM68" s="48">
        <v>0</v>
      </c>
      <c r="CN68" s="48">
        <v>0</v>
      </c>
      <c r="CO68" s="48">
        <v>0</v>
      </c>
      <c r="CP68" s="48">
        <v>0</v>
      </c>
      <c r="CQ68" s="17"/>
      <c r="CR68" s="17"/>
      <c r="CS68" s="48">
        <v>0</v>
      </c>
      <c r="CT68" s="48">
        <v>0</v>
      </c>
      <c r="CU68" s="48">
        <v>0</v>
      </c>
      <c r="CV68" s="48">
        <v>0</v>
      </c>
      <c r="CW68" s="48">
        <v>0</v>
      </c>
      <c r="CX68" s="48">
        <v>0</v>
      </c>
      <c r="CY68" s="48">
        <v>0</v>
      </c>
      <c r="CZ68" s="48">
        <v>0</v>
      </c>
      <c r="DA68" s="48">
        <v>0</v>
      </c>
      <c r="DB68" s="48">
        <v>0</v>
      </c>
      <c r="DC68" s="48">
        <v>0</v>
      </c>
      <c r="DD68" s="48">
        <v>0</v>
      </c>
      <c r="DE68" s="48">
        <v>0</v>
      </c>
      <c r="DF68" s="48">
        <v>0</v>
      </c>
      <c r="DG68" s="48">
        <v>0</v>
      </c>
      <c r="DH68" s="48">
        <v>0</v>
      </c>
      <c r="DI68" s="48">
        <v>0</v>
      </c>
      <c r="DJ68" s="48">
        <v>0</v>
      </c>
      <c r="DK68" s="48">
        <v>0</v>
      </c>
      <c r="DL68" s="48">
        <v>0</v>
      </c>
      <c r="DM68" s="48">
        <v>0</v>
      </c>
      <c r="DN68" s="17"/>
      <c r="DO68" s="17"/>
      <c r="DP68" s="48">
        <v>0</v>
      </c>
      <c r="DQ68" s="48">
        <v>0</v>
      </c>
      <c r="DR68" s="48">
        <v>0</v>
      </c>
      <c r="DS68" s="48">
        <v>0</v>
      </c>
      <c r="DT68" s="48">
        <v>0</v>
      </c>
      <c r="DU68" s="48">
        <v>0</v>
      </c>
      <c r="DV68" s="48">
        <v>0</v>
      </c>
      <c r="DW68" s="48">
        <v>0</v>
      </c>
      <c r="DX68" s="48">
        <v>0</v>
      </c>
      <c r="DY68" s="48">
        <v>0</v>
      </c>
      <c r="DZ68" s="48">
        <v>0</v>
      </c>
      <c r="EA68" s="48">
        <v>0</v>
      </c>
      <c r="EB68" s="48">
        <v>0</v>
      </c>
      <c r="EC68" s="48">
        <v>0</v>
      </c>
      <c r="ED68" s="48">
        <v>0</v>
      </c>
      <c r="EE68" s="48">
        <v>0</v>
      </c>
      <c r="EF68" s="48">
        <v>0</v>
      </c>
      <c r="EG68" s="48">
        <v>0</v>
      </c>
      <c r="EH68" s="48">
        <v>0</v>
      </c>
      <c r="EI68" s="48">
        <v>0</v>
      </c>
      <c r="EJ68" s="48">
        <v>0</v>
      </c>
      <c r="EK68" s="48">
        <v>0</v>
      </c>
      <c r="EL68" s="17"/>
      <c r="EM68" s="17"/>
    </row>
    <row r="69" spans="1:15950" s="37" customFormat="1" ht="25" customHeight="1" thickBot="1">
      <c r="A69" s="41"/>
      <c r="B69" s="5"/>
      <c r="C69" s="41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8"/>
      <c r="Z69" s="40"/>
      <c r="AA69" s="38"/>
      <c r="AB69" s="38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168"/>
      <c r="AN69" s="168"/>
      <c r="AO69" s="168"/>
      <c r="AP69" s="168"/>
      <c r="AQ69" s="168"/>
      <c r="AR69" s="168"/>
      <c r="AS69" s="168"/>
      <c r="AT69" s="168"/>
      <c r="AU69" s="38"/>
      <c r="AV69" s="38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8"/>
      <c r="BT69" s="38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8"/>
      <c r="CR69" s="38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8"/>
      <c r="DO69" s="38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8"/>
      <c r="EM69" s="38"/>
    </row>
    <row r="70" spans="1:15950" s="2" customFormat="1" ht="25" customHeight="1" thickBot="1">
      <c r="A70" s="36"/>
      <c r="B70" s="5"/>
      <c r="C70" s="47" t="s">
        <v>4</v>
      </c>
      <c r="D70" s="45"/>
      <c r="E70" s="43">
        <f t="shared" ref="E70:AU70" si="101">+E72</f>
        <v>2881.47</v>
      </c>
      <c r="F70" s="43">
        <f t="shared" si="101"/>
        <v>60</v>
      </c>
      <c r="G70" s="43">
        <f t="shared" si="101"/>
        <v>0</v>
      </c>
      <c r="H70" s="43">
        <f t="shared" si="101"/>
        <v>0</v>
      </c>
      <c r="I70" s="43">
        <f t="shared" si="101"/>
        <v>18363.53</v>
      </c>
      <c r="J70" s="43">
        <f t="shared" si="101"/>
        <v>0</v>
      </c>
      <c r="K70" s="43">
        <f t="shared" si="101"/>
        <v>0</v>
      </c>
      <c r="L70" s="43">
        <f t="shared" si="101"/>
        <v>0</v>
      </c>
      <c r="M70" s="43">
        <f t="shared" si="101"/>
        <v>0</v>
      </c>
      <c r="N70" s="43">
        <f t="shared" si="101"/>
        <v>0</v>
      </c>
      <c r="O70" s="43">
        <f t="shared" si="101"/>
        <v>0</v>
      </c>
      <c r="P70" s="43">
        <f t="shared" si="101"/>
        <v>0</v>
      </c>
      <c r="Q70" s="43">
        <f t="shared" si="101"/>
        <v>278472.7</v>
      </c>
      <c r="R70" s="43">
        <f t="shared" si="101"/>
        <v>0</v>
      </c>
      <c r="S70" s="43">
        <f t="shared" si="101"/>
        <v>0</v>
      </c>
      <c r="T70" s="43">
        <f t="shared" si="101"/>
        <v>10852.92</v>
      </c>
      <c r="U70" s="43">
        <f t="shared" si="101"/>
        <v>0</v>
      </c>
      <c r="V70" s="43">
        <f t="shared" si="101"/>
        <v>0</v>
      </c>
      <c r="W70" s="43">
        <f t="shared" si="101"/>
        <v>0</v>
      </c>
      <c r="X70" s="43">
        <f t="shared" si="101"/>
        <v>2483464.16</v>
      </c>
      <c r="Y70" s="45">
        <f t="shared" si="101"/>
        <v>2794094.78</v>
      </c>
      <c r="Z70" s="43">
        <f t="shared" si="101"/>
        <v>4159.0599999999995</v>
      </c>
      <c r="AA70" s="45">
        <f t="shared" si="101"/>
        <v>2798253.8400000003</v>
      </c>
      <c r="AB70" s="46">
        <f t="shared" si="101"/>
        <v>184716.07999999973</v>
      </c>
      <c r="AC70" s="43">
        <v>0</v>
      </c>
      <c r="AD70" s="43">
        <v>0</v>
      </c>
      <c r="AE70" s="43">
        <v>0</v>
      </c>
      <c r="AF70" s="43">
        <v>1617.12</v>
      </c>
      <c r="AG70" s="43">
        <v>14995</v>
      </c>
      <c r="AH70" s="43">
        <v>0</v>
      </c>
      <c r="AI70" s="43">
        <v>0</v>
      </c>
      <c r="AJ70" s="43">
        <v>7703.88</v>
      </c>
      <c r="AK70" s="43">
        <v>0</v>
      </c>
      <c r="AL70" s="43">
        <v>0</v>
      </c>
      <c r="AM70" s="43">
        <f t="shared" ref="AM70:AT70" si="102">+AM72</f>
        <v>4303.7</v>
      </c>
      <c r="AN70" s="43">
        <f t="shared" si="102"/>
        <v>0</v>
      </c>
      <c r="AO70" s="43">
        <f t="shared" si="102"/>
        <v>129684.57</v>
      </c>
      <c r="AP70" s="43">
        <f t="shared" si="102"/>
        <v>0</v>
      </c>
      <c r="AQ70" s="43">
        <f t="shared" si="102"/>
        <v>0</v>
      </c>
      <c r="AR70" s="43">
        <f t="shared" si="102"/>
        <v>0</v>
      </c>
      <c r="AS70" s="43">
        <f t="shared" si="102"/>
        <v>2407888.89</v>
      </c>
      <c r="AT70" s="43">
        <f t="shared" si="102"/>
        <v>5241.93</v>
      </c>
      <c r="AU70" s="45">
        <f t="shared" si="101"/>
        <v>2571435.09</v>
      </c>
      <c r="AV70" s="44"/>
      <c r="AW70" s="43">
        <f t="shared" ref="AW70:BR70" si="103">+AW72</f>
        <v>0</v>
      </c>
      <c r="AX70" s="43">
        <f t="shared" si="103"/>
        <v>0</v>
      </c>
      <c r="AY70" s="43">
        <f t="shared" si="103"/>
        <v>0</v>
      </c>
      <c r="AZ70" s="43">
        <f t="shared" si="103"/>
        <v>0</v>
      </c>
      <c r="BA70" s="43">
        <f t="shared" si="103"/>
        <v>0</v>
      </c>
      <c r="BB70" s="43">
        <f t="shared" si="103"/>
        <v>0</v>
      </c>
      <c r="BC70" s="43">
        <f t="shared" si="103"/>
        <v>0</v>
      </c>
      <c r="BD70" s="43">
        <f t="shared" si="103"/>
        <v>0</v>
      </c>
      <c r="BE70" s="43">
        <f t="shared" si="103"/>
        <v>0</v>
      </c>
      <c r="BF70" s="43">
        <f t="shared" si="103"/>
        <v>0</v>
      </c>
      <c r="BG70" s="43">
        <f t="shared" si="103"/>
        <v>0</v>
      </c>
      <c r="BH70" s="43">
        <f t="shared" si="103"/>
        <v>0</v>
      </c>
      <c r="BI70" s="43">
        <f t="shared" si="103"/>
        <v>0</v>
      </c>
      <c r="BJ70" s="43">
        <f t="shared" si="103"/>
        <v>0</v>
      </c>
      <c r="BK70" s="43">
        <f t="shared" si="103"/>
        <v>0</v>
      </c>
      <c r="BL70" s="43">
        <f t="shared" si="103"/>
        <v>0</v>
      </c>
      <c r="BM70" s="43">
        <f t="shared" si="103"/>
        <v>0</v>
      </c>
      <c r="BN70" s="43">
        <f t="shared" si="103"/>
        <v>0</v>
      </c>
      <c r="BO70" s="43">
        <f t="shared" si="103"/>
        <v>0</v>
      </c>
      <c r="BP70" s="43">
        <f t="shared" si="103"/>
        <v>0</v>
      </c>
      <c r="BQ70" s="43">
        <f t="shared" si="103"/>
        <v>0</v>
      </c>
      <c r="BR70" s="43">
        <f t="shared" si="103"/>
        <v>0</v>
      </c>
      <c r="BS70" s="42"/>
      <c r="BT70" s="42"/>
      <c r="BU70" s="43">
        <f t="shared" ref="BU70:CP70" si="104">+BU72</f>
        <v>0</v>
      </c>
      <c r="BV70" s="43">
        <f t="shared" si="104"/>
        <v>0</v>
      </c>
      <c r="BW70" s="43">
        <f t="shared" si="104"/>
        <v>0</v>
      </c>
      <c r="BX70" s="43">
        <f t="shared" si="104"/>
        <v>0</v>
      </c>
      <c r="BY70" s="43">
        <f t="shared" si="104"/>
        <v>0</v>
      </c>
      <c r="BZ70" s="43">
        <f t="shared" si="104"/>
        <v>0</v>
      </c>
      <c r="CA70" s="43">
        <f t="shared" si="104"/>
        <v>0</v>
      </c>
      <c r="CB70" s="43">
        <f t="shared" si="104"/>
        <v>0</v>
      </c>
      <c r="CC70" s="43">
        <f t="shared" si="104"/>
        <v>0</v>
      </c>
      <c r="CD70" s="43">
        <f t="shared" si="104"/>
        <v>0</v>
      </c>
      <c r="CE70" s="43">
        <f t="shared" si="104"/>
        <v>0</v>
      </c>
      <c r="CF70" s="43">
        <f t="shared" si="104"/>
        <v>0</v>
      </c>
      <c r="CG70" s="43">
        <f t="shared" si="104"/>
        <v>0</v>
      </c>
      <c r="CH70" s="43">
        <f t="shared" si="104"/>
        <v>0</v>
      </c>
      <c r="CI70" s="43">
        <f t="shared" si="104"/>
        <v>0</v>
      </c>
      <c r="CJ70" s="43">
        <f t="shared" si="104"/>
        <v>0</v>
      </c>
      <c r="CK70" s="43">
        <f t="shared" si="104"/>
        <v>0</v>
      </c>
      <c r="CL70" s="43">
        <f t="shared" si="104"/>
        <v>0</v>
      </c>
      <c r="CM70" s="43">
        <f t="shared" si="104"/>
        <v>0</v>
      </c>
      <c r="CN70" s="43">
        <f t="shared" si="104"/>
        <v>0</v>
      </c>
      <c r="CO70" s="43">
        <f t="shared" si="104"/>
        <v>0</v>
      </c>
      <c r="CP70" s="43">
        <f t="shared" si="104"/>
        <v>0</v>
      </c>
      <c r="CQ70" s="42"/>
      <c r="CR70" s="42"/>
      <c r="CS70" s="43">
        <f t="shared" ref="CS70:DM70" si="105">+CS72</f>
        <v>0</v>
      </c>
      <c r="CT70" s="43">
        <f t="shared" si="105"/>
        <v>0</v>
      </c>
      <c r="CU70" s="43">
        <f t="shared" si="105"/>
        <v>0</v>
      </c>
      <c r="CV70" s="43">
        <f t="shared" si="105"/>
        <v>0</v>
      </c>
      <c r="CW70" s="43">
        <f t="shared" si="105"/>
        <v>0</v>
      </c>
      <c r="CX70" s="43">
        <f t="shared" si="105"/>
        <v>0</v>
      </c>
      <c r="CY70" s="43">
        <f t="shared" si="105"/>
        <v>0</v>
      </c>
      <c r="CZ70" s="43">
        <f t="shared" si="105"/>
        <v>0</v>
      </c>
      <c r="DA70" s="43">
        <f t="shared" si="105"/>
        <v>0</v>
      </c>
      <c r="DB70" s="43">
        <f t="shared" si="105"/>
        <v>0</v>
      </c>
      <c r="DC70" s="43">
        <f t="shared" si="105"/>
        <v>0</v>
      </c>
      <c r="DD70" s="43">
        <f t="shared" si="105"/>
        <v>0</v>
      </c>
      <c r="DE70" s="43">
        <f t="shared" si="105"/>
        <v>0</v>
      </c>
      <c r="DF70" s="43">
        <f t="shared" si="105"/>
        <v>0</v>
      </c>
      <c r="DG70" s="43">
        <f t="shared" si="105"/>
        <v>0</v>
      </c>
      <c r="DH70" s="43">
        <f t="shared" si="105"/>
        <v>0</v>
      </c>
      <c r="DI70" s="43">
        <f t="shared" si="105"/>
        <v>0</v>
      </c>
      <c r="DJ70" s="43">
        <f t="shared" si="105"/>
        <v>0</v>
      </c>
      <c r="DK70" s="43">
        <f t="shared" si="105"/>
        <v>0</v>
      </c>
      <c r="DL70" s="43">
        <f t="shared" si="105"/>
        <v>0</v>
      </c>
      <c r="DM70" s="43">
        <f t="shared" si="105"/>
        <v>0</v>
      </c>
      <c r="DN70" s="42"/>
      <c r="DO70" s="42"/>
      <c r="DP70" s="43">
        <f t="shared" ref="DP70:EK70" si="106">+DP72</f>
        <v>0</v>
      </c>
      <c r="DQ70" s="43">
        <f t="shared" si="106"/>
        <v>0</v>
      </c>
      <c r="DR70" s="43">
        <f t="shared" si="106"/>
        <v>0</v>
      </c>
      <c r="DS70" s="43">
        <f t="shared" si="106"/>
        <v>0</v>
      </c>
      <c r="DT70" s="43">
        <f t="shared" si="106"/>
        <v>0</v>
      </c>
      <c r="DU70" s="43">
        <f t="shared" si="106"/>
        <v>0</v>
      </c>
      <c r="DV70" s="43">
        <f t="shared" si="106"/>
        <v>0</v>
      </c>
      <c r="DW70" s="43">
        <f t="shared" si="106"/>
        <v>0</v>
      </c>
      <c r="DX70" s="43">
        <f t="shared" si="106"/>
        <v>0</v>
      </c>
      <c r="DY70" s="43">
        <f t="shared" si="106"/>
        <v>0</v>
      </c>
      <c r="DZ70" s="43">
        <f t="shared" si="106"/>
        <v>0</v>
      </c>
      <c r="EA70" s="43">
        <f t="shared" si="106"/>
        <v>0</v>
      </c>
      <c r="EB70" s="43">
        <f t="shared" si="106"/>
        <v>0</v>
      </c>
      <c r="EC70" s="43">
        <f t="shared" si="106"/>
        <v>0</v>
      </c>
      <c r="ED70" s="43">
        <f t="shared" si="106"/>
        <v>0</v>
      </c>
      <c r="EE70" s="43">
        <f t="shared" si="106"/>
        <v>0</v>
      </c>
      <c r="EF70" s="43">
        <f t="shared" si="106"/>
        <v>0</v>
      </c>
      <c r="EG70" s="43">
        <f t="shared" si="106"/>
        <v>0</v>
      </c>
      <c r="EH70" s="43">
        <f t="shared" si="106"/>
        <v>0</v>
      </c>
      <c r="EI70" s="43">
        <f t="shared" si="106"/>
        <v>0</v>
      </c>
      <c r="EJ70" s="43">
        <f t="shared" si="106"/>
        <v>0</v>
      </c>
      <c r="EK70" s="43">
        <f t="shared" si="106"/>
        <v>0</v>
      </c>
      <c r="EL70" s="42"/>
      <c r="EM70" s="42"/>
    </row>
    <row r="71" spans="1:15950" s="37" customFormat="1" ht="25" customHeight="1" thickBot="1">
      <c r="A71" s="41"/>
      <c r="B71" s="5"/>
      <c r="C71" s="41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8"/>
      <c r="Z71" s="40"/>
      <c r="AA71" s="38"/>
      <c r="AB71" s="38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168"/>
      <c r="AN71" s="168"/>
      <c r="AO71" s="168"/>
      <c r="AP71" s="168"/>
      <c r="AQ71" s="168"/>
      <c r="AR71" s="168"/>
      <c r="AS71" s="168"/>
      <c r="AT71" s="168"/>
      <c r="AU71" s="38"/>
      <c r="AV71" s="38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8"/>
      <c r="BT71" s="38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8"/>
      <c r="CR71" s="38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8"/>
      <c r="DO71" s="38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8"/>
      <c r="EM71" s="38"/>
    </row>
    <row r="72" spans="1:15950" s="2" customFormat="1" ht="25" customHeight="1">
      <c r="A72" s="36"/>
      <c r="B72" s="5"/>
      <c r="C72" s="35" t="s">
        <v>3</v>
      </c>
      <c r="D72" s="33"/>
      <c r="E72" s="31">
        <f t="shared" ref="E72:AB72" si="107">SUM(E73:E75)</f>
        <v>2881.47</v>
      </c>
      <c r="F72" s="31">
        <f t="shared" si="107"/>
        <v>60</v>
      </c>
      <c r="G72" s="31">
        <f t="shared" si="107"/>
        <v>0</v>
      </c>
      <c r="H72" s="31">
        <f t="shared" si="107"/>
        <v>0</v>
      </c>
      <c r="I72" s="31">
        <f t="shared" si="107"/>
        <v>18363.53</v>
      </c>
      <c r="J72" s="31">
        <f t="shared" si="107"/>
        <v>0</v>
      </c>
      <c r="K72" s="31">
        <f t="shared" si="107"/>
        <v>0</v>
      </c>
      <c r="L72" s="31">
        <f t="shared" si="107"/>
        <v>0</v>
      </c>
      <c r="M72" s="31">
        <f t="shared" si="107"/>
        <v>0</v>
      </c>
      <c r="N72" s="31">
        <f t="shared" si="107"/>
        <v>0</v>
      </c>
      <c r="O72" s="31">
        <f t="shared" si="107"/>
        <v>0</v>
      </c>
      <c r="P72" s="31">
        <f t="shared" si="107"/>
        <v>0</v>
      </c>
      <c r="Q72" s="31">
        <f t="shared" si="107"/>
        <v>278472.7</v>
      </c>
      <c r="R72" s="31">
        <f t="shared" si="107"/>
        <v>0</v>
      </c>
      <c r="S72" s="31">
        <f t="shared" si="107"/>
        <v>0</v>
      </c>
      <c r="T72" s="31">
        <f t="shared" si="107"/>
        <v>10852.92</v>
      </c>
      <c r="U72" s="31">
        <f t="shared" si="107"/>
        <v>0</v>
      </c>
      <c r="V72" s="31">
        <f t="shared" si="107"/>
        <v>0</v>
      </c>
      <c r="W72" s="31">
        <f t="shared" si="107"/>
        <v>0</v>
      </c>
      <c r="X72" s="31">
        <f t="shared" si="107"/>
        <v>2483464.16</v>
      </c>
      <c r="Y72" s="33">
        <f t="shared" si="107"/>
        <v>2794094.78</v>
      </c>
      <c r="Z72" s="31">
        <f t="shared" si="107"/>
        <v>4159.0599999999995</v>
      </c>
      <c r="AA72" s="33">
        <f t="shared" si="107"/>
        <v>2798253.8400000003</v>
      </c>
      <c r="AB72" s="34">
        <f t="shared" si="107"/>
        <v>184716.07999999973</v>
      </c>
      <c r="AC72" s="31">
        <v>0</v>
      </c>
      <c r="AD72" s="31">
        <v>0</v>
      </c>
      <c r="AE72" s="31">
        <v>0</v>
      </c>
      <c r="AF72" s="31">
        <v>1617.12</v>
      </c>
      <c r="AG72" s="31">
        <v>14995</v>
      </c>
      <c r="AH72" s="31">
        <v>0</v>
      </c>
      <c r="AI72" s="31">
        <v>0</v>
      </c>
      <c r="AJ72" s="31">
        <v>7703.88</v>
      </c>
      <c r="AK72" s="31">
        <v>0</v>
      </c>
      <c r="AL72" s="31">
        <v>0</v>
      </c>
      <c r="AM72" s="31">
        <f t="shared" ref="AM72:AP72" si="108">SUM(AM73:AM75)</f>
        <v>4303.7</v>
      </c>
      <c r="AN72" s="31">
        <f t="shared" si="108"/>
        <v>0</v>
      </c>
      <c r="AO72" s="31">
        <f t="shared" si="108"/>
        <v>129684.57</v>
      </c>
      <c r="AP72" s="31">
        <f t="shared" si="108"/>
        <v>0</v>
      </c>
      <c r="AQ72" s="31">
        <f t="shared" ref="AQ72:AT72" si="109">SUM(AQ73:AQ75)</f>
        <v>0</v>
      </c>
      <c r="AR72" s="31">
        <f t="shared" ref="AR72:AT72" si="110">SUM(AR73:AR75)</f>
        <v>0</v>
      </c>
      <c r="AS72" s="31">
        <f t="shared" si="110"/>
        <v>2407888.89</v>
      </c>
      <c r="AT72" s="31">
        <f t="shared" si="110"/>
        <v>5241.93</v>
      </c>
      <c r="AU72" s="33">
        <f t="shared" ref="AU72:BR72" si="111">SUM(AU73:AU75)</f>
        <v>2571435.09</v>
      </c>
      <c r="AV72" s="32" t="e">
        <f t="shared" si="111"/>
        <v>#REF!</v>
      </c>
      <c r="AW72" s="31">
        <f t="shared" si="111"/>
        <v>0</v>
      </c>
      <c r="AX72" s="31">
        <f t="shared" si="111"/>
        <v>0</v>
      </c>
      <c r="AY72" s="31">
        <f t="shared" si="111"/>
        <v>0</v>
      </c>
      <c r="AZ72" s="31">
        <f t="shared" si="111"/>
        <v>0</v>
      </c>
      <c r="BA72" s="31">
        <f t="shared" si="111"/>
        <v>0</v>
      </c>
      <c r="BB72" s="31">
        <f t="shared" si="111"/>
        <v>0</v>
      </c>
      <c r="BC72" s="31">
        <f t="shared" si="111"/>
        <v>0</v>
      </c>
      <c r="BD72" s="31">
        <f t="shared" si="111"/>
        <v>0</v>
      </c>
      <c r="BE72" s="31">
        <f t="shared" si="111"/>
        <v>0</v>
      </c>
      <c r="BF72" s="31">
        <f t="shared" si="111"/>
        <v>0</v>
      </c>
      <c r="BG72" s="31">
        <f t="shared" si="111"/>
        <v>0</v>
      </c>
      <c r="BH72" s="31">
        <f t="shared" si="111"/>
        <v>0</v>
      </c>
      <c r="BI72" s="31">
        <f t="shared" si="111"/>
        <v>0</v>
      </c>
      <c r="BJ72" s="31">
        <f t="shared" si="111"/>
        <v>0</v>
      </c>
      <c r="BK72" s="31">
        <f t="shared" si="111"/>
        <v>0</v>
      </c>
      <c r="BL72" s="31">
        <f t="shared" si="111"/>
        <v>0</v>
      </c>
      <c r="BM72" s="31">
        <f t="shared" si="111"/>
        <v>0</v>
      </c>
      <c r="BN72" s="31">
        <f t="shared" si="111"/>
        <v>0</v>
      </c>
      <c r="BO72" s="31">
        <f t="shared" si="111"/>
        <v>0</v>
      </c>
      <c r="BP72" s="31">
        <f t="shared" si="111"/>
        <v>0</v>
      </c>
      <c r="BQ72" s="31">
        <f t="shared" si="111"/>
        <v>0</v>
      </c>
      <c r="BR72" s="31">
        <f t="shared" si="111"/>
        <v>0</v>
      </c>
      <c r="BS72" s="30"/>
      <c r="BT72" s="30"/>
      <c r="BU72" s="31">
        <f t="shared" ref="BU72:CP72" si="112">SUM(BU73:BU75)</f>
        <v>0</v>
      </c>
      <c r="BV72" s="31">
        <f t="shared" si="112"/>
        <v>0</v>
      </c>
      <c r="BW72" s="31">
        <f t="shared" si="112"/>
        <v>0</v>
      </c>
      <c r="BX72" s="31">
        <f t="shared" si="112"/>
        <v>0</v>
      </c>
      <c r="BY72" s="31">
        <f t="shared" si="112"/>
        <v>0</v>
      </c>
      <c r="BZ72" s="31">
        <f t="shared" si="112"/>
        <v>0</v>
      </c>
      <c r="CA72" s="31">
        <f t="shared" si="112"/>
        <v>0</v>
      </c>
      <c r="CB72" s="31">
        <f t="shared" si="112"/>
        <v>0</v>
      </c>
      <c r="CC72" s="31">
        <f t="shared" si="112"/>
        <v>0</v>
      </c>
      <c r="CD72" s="31">
        <f t="shared" si="112"/>
        <v>0</v>
      </c>
      <c r="CE72" s="31">
        <f t="shared" si="112"/>
        <v>0</v>
      </c>
      <c r="CF72" s="31">
        <f t="shared" si="112"/>
        <v>0</v>
      </c>
      <c r="CG72" s="31">
        <f t="shared" si="112"/>
        <v>0</v>
      </c>
      <c r="CH72" s="31">
        <f t="shared" si="112"/>
        <v>0</v>
      </c>
      <c r="CI72" s="31">
        <f t="shared" si="112"/>
        <v>0</v>
      </c>
      <c r="CJ72" s="31">
        <f t="shared" si="112"/>
        <v>0</v>
      </c>
      <c r="CK72" s="31">
        <f t="shared" si="112"/>
        <v>0</v>
      </c>
      <c r="CL72" s="31">
        <f t="shared" si="112"/>
        <v>0</v>
      </c>
      <c r="CM72" s="31">
        <f t="shared" si="112"/>
        <v>0</v>
      </c>
      <c r="CN72" s="31">
        <f t="shared" si="112"/>
        <v>0</v>
      </c>
      <c r="CO72" s="31">
        <f t="shared" si="112"/>
        <v>0</v>
      </c>
      <c r="CP72" s="31">
        <f t="shared" si="112"/>
        <v>0</v>
      </c>
      <c r="CQ72" s="30"/>
      <c r="CR72" s="30"/>
      <c r="CS72" s="31">
        <f t="shared" ref="CS72:DM72" si="113">SUM(CS73:CS75)</f>
        <v>0</v>
      </c>
      <c r="CT72" s="31">
        <f t="shared" si="113"/>
        <v>0</v>
      </c>
      <c r="CU72" s="31">
        <f t="shared" si="113"/>
        <v>0</v>
      </c>
      <c r="CV72" s="31">
        <f t="shared" si="113"/>
        <v>0</v>
      </c>
      <c r="CW72" s="31">
        <f t="shared" si="113"/>
        <v>0</v>
      </c>
      <c r="CX72" s="31">
        <f t="shared" si="113"/>
        <v>0</v>
      </c>
      <c r="CY72" s="31">
        <f t="shared" si="113"/>
        <v>0</v>
      </c>
      <c r="CZ72" s="31">
        <f t="shared" si="113"/>
        <v>0</v>
      </c>
      <c r="DA72" s="31">
        <f t="shared" si="113"/>
        <v>0</v>
      </c>
      <c r="DB72" s="31">
        <f t="shared" si="113"/>
        <v>0</v>
      </c>
      <c r="DC72" s="31">
        <f t="shared" si="113"/>
        <v>0</v>
      </c>
      <c r="DD72" s="31">
        <f t="shared" si="113"/>
        <v>0</v>
      </c>
      <c r="DE72" s="31">
        <f t="shared" si="113"/>
        <v>0</v>
      </c>
      <c r="DF72" s="31">
        <f t="shared" si="113"/>
        <v>0</v>
      </c>
      <c r="DG72" s="31">
        <f t="shared" si="113"/>
        <v>0</v>
      </c>
      <c r="DH72" s="31">
        <f t="shared" si="113"/>
        <v>0</v>
      </c>
      <c r="DI72" s="31">
        <f t="shared" si="113"/>
        <v>0</v>
      </c>
      <c r="DJ72" s="31">
        <f t="shared" si="113"/>
        <v>0</v>
      </c>
      <c r="DK72" s="31">
        <f t="shared" si="113"/>
        <v>0</v>
      </c>
      <c r="DL72" s="31">
        <f t="shared" si="113"/>
        <v>0</v>
      </c>
      <c r="DM72" s="31">
        <f t="shared" si="113"/>
        <v>0</v>
      </c>
      <c r="DN72" s="30"/>
      <c r="DO72" s="30"/>
      <c r="DP72" s="31">
        <f t="shared" ref="DP72:EK72" si="114">SUM(DP73:DP75)</f>
        <v>0</v>
      </c>
      <c r="DQ72" s="31">
        <f t="shared" si="114"/>
        <v>0</v>
      </c>
      <c r="DR72" s="31">
        <f t="shared" si="114"/>
        <v>0</v>
      </c>
      <c r="DS72" s="31">
        <f t="shared" si="114"/>
        <v>0</v>
      </c>
      <c r="DT72" s="31">
        <f t="shared" si="114"/>
        <v>0</v>
      </c>
      <c r="DU72" s="31">
        <f t="shared" si="114"/>
        <v>0</v>
      </c>
      <c r="DV72" s="31">
        <f t="shared" si="114"/>
        <v>0</v>
      </c>
      <c r="DW72" s="31">
        <f t="shared" si="114"/>
        <v>0</v>
      </c>
      <c r="DX72" s="31">
        <f t="shared" si="114"/>
        <v>0</v>
      </c>
      <c r="DY72" s="31">
        <f t="shared" si="114"/>
        <v>0</v>
      </c>
      <c r="DZ72" s="31">
        <f t="shared" si="114"/>
        <v>0</v>
      </c>
      <c r="EA72" s="31">
        <f t="shared" si="114"/>
        <v>0</v>
      </c>
      <c r="EB72" s="31">
        <f t="shared" si="114"/>
        <v>0</v>
      </c>
      <c r="EC72" s="31">
        <f t="shared" si="114"/>
        <v>0</v>
      </c>
      <c r="ED72" s="31">
        <f t="shared" si="114"/>
        <v>0</v>
      </c>
      <c r="EE72" s="31">
        <f t="shared" si="114"/>
        <v>0</v>
      </c>
      <c r="EF72" s="31">
        <f t="shared" si="114"/>
        <v>0</v>
      </c>
      <c r="EG72" s="31">
        <f t="shared" si="114"/>
        <v>0</v>
      </c>
      <c r="EH72" s="31">
        <f t="shared" si="114"/>
        <v>0</v>
      </c>
      <c r="EI72" s="31">
        <f t="shared" si="114"/>
        <v>0</v>
      </c>
      <c r="EJ72" s="31">
        <f t="shared" si="114"/>
        <v>0</v>
      </c>
      <c r="EK72" s="31">
        <f t="shared" si="114"/>
        <v>0</v>
      </c>
      <c r="EL72" s="30"/>
      <c r="EM72" s="30"/>
    </row>
    <row r="73" spans="1:15950" s="3" customFormat="1" ht="25" customHeight="1">
      <c r="A73" s="15"/>
      <c r="B73" s="5">
        <v>311</v>
      </c>
      <c r="C73" s="29" t="s">
        <v>2</v>
      </c>
      <c r="D73" s="27"/>
      <c r="E73" s="25">
        <v>0</v>
      </c>
      <c r="F73" s="25">
        <v>0</v>
      </c>
      <c r="G73" s="25">
        <v>0</v>
      </c>
      <c r="H73" s="25">
        <v>0</v>
      </c>
      <c r="I73" s="25">
        <v>3375.53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2483464.16</v>
      </c>
      <c r="Y73" s="27">
        <f>SUM(E73:$X$73)</f>
        <v>2486839.69</v>
      </c>
      <c r="Z73" s="25">
        <v>1543.61</v>
      </c>
      <c r="AA73" s="27">
        <f>SUM(E73:Z73)-Y73</f>
        <v>2488383.3000000003</v>
      </c>
      <c r="AB73" s="28">
        <f>2653722-AA73</f>
        <v>165338.69999999972</v>
      </c>
      <c r="AC73" s="25">
        <v>0</v>
      </c>
      <c r="AD73" s="25">
        <v>0</v>
      </c>
      <c r="AE73" s="25">
        <v>0</v>
      </c>
      <c r="AF73" s="25">
        <v>1557.12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4303.7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2407888.89</v>
      </c>
      <c r="AT73" s="25">
        <v>1543.61</v>
      </c>
      <c r="AU73" s="27">
        <f>SUM($AC73:AT73)</f>
        <v>2415293.3199999998</v>
      </c>
      <c r="AV73" s="26" t="e">
        <f>2497600-#REF!</f>
        <v>#REF!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4"/>
      <c r="BT73" s="24"/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4"/>
      <c r="CR73" s="24"/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4"/>
      <c r="DO73" s="24"/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4"/>
      <c r="EM73" s="24"/>
    </row>
    <row r="74" spans="1:15950" s="3" customFormat="1" ht="25" customHeight="1">
      <c r="A74" s="15"/>
      <c r="B74" s="5">
        <v>312</v>
      </c>
      <c r="C74" s="29" t="s">
        <v>1</v>
      </c>
      <c r="D74" s="27"/>
      <c r="E74" s="25">
        <v>2881.47</v>
      </c>
      <c r="F74" s="25">
        <v>60</v>
      </c>
      <c r="G74" s="25">
        <v>0</v>
      </c>
      <c r="H74" s="25">
        <v>0</v>
      </c>
      <c r="I74" s="25">
        <v>14988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278472.7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7">
        <f>SUM(E74:$X$74)</f>
        <v>296402.17000000004</v>
      </c>
      <c r="Z74" s="25">
        <v>2615.4499999999998</v>
      </c>
      <c r="AA74" s="27">
        <f>SUM(E74:Z74)-Y74</f>
        <v>299017.62</v>
      </c>
      <c r="AB74" s="28">
        <f>318395-AA74</f>
        <v>19377.380000000005</v>
      </c>
      <c r="AC74" s="25">
        <v>0</v>
      </c>
      <c r="AD74" s="25">
        <v>0</v>
      </c>
      <c r="AE74" s="25">
        <v>0</v>
      </c>
      <c r="AF74" s="25">
        <v>60</v>
      </c>
      <c r="AG74" s="25">
        <v>14995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129684.57</v>
      </c>
      <c r="AP74" s="25">
        <v>0</v>
      </c>
      <c r="AQ74" s="25">
        <v>0</v>
      </c>
      <c r="AR74" s="25">
        <v>0</v>
      </c>
      <c r="AS74" s="25">
        <v>0</v>
      </c>
      <c r="AT74" s="25">
        <v>3698.32</v>
      </c>
      <c r="AU74" s="27">
        <f>SUM($AC74:AT74)</f>
        <v>148437.89000000001</v>
      </c>
      <c r="AV74" s="26" t="e">
        <f>137546-#REF!</f>
        <v>#REF!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4"/>
      <c r="BT74" s="24"/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4"/>
      <c r="CR74" s="24"/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4"/>
      <c r="DO74" s="24"/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4"/>
      <c r="EM74" s="24"/>
      <c r="EN74" s="23"/>
    </row>
    <row r="75" spans="1:15950" s="3" customFormat="1" ht="25" customHeight="1" thickBot="1">
      <c r="A75" s="15"/>
      <c r="B75" s="5">
        <v>312</v>
      </c>
      <c r="C75" s="22" t="s">
        <v>0</v>
      </c>
      <c r="D75" s="20"/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10852.92</v>
      </c>
      <c r="U75" s="18">
        <v>0</v>
      </c>
      <c r="V75" s="18">
        <v>0</v>
      </c>
      <c r="W75" s="18">
        <v>0</v>
      </c>
      <c r="X75" s="18">
        <v>0</v>
      </c>
      <c r="Y75" s="20">
        <f>SUM(E75:$X$75)</f>
        <v>10852.92</v>
      </c>
      <c r="Z75" s="18">
        <v>0</v>
      </c>
      <c r="AA75" s="20">
        <f>SUM(E75:Z75)-Y75</f>
        <v>10852.92</v>
      </c>
      <c r="AB75" s="21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7703.88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0</v>
      </c>
      <c r="AT75" s="18">
        <v>0</v>
      </c>
      <c r="AU75" s="20">
        <f>SUM($AC75:AT75)</f>
        <v>7703.88</v>
      </c>
      <c r="AV75" s="19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7"/>
      <c r="BT75" s="17"/>
      <c r="BU75" s="18">
        <v>0</v>
      </c>
      <c r="BV75" s="18">
        <v>0</v>
      </c>
      <c r="BW75" s="18">
        <v>0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7"/>
      <c r="CR75" s="17"/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8">
        <v>0</v>
      </c>
      <c r="CZ75" s="18">
        <v>0</v>
      </c>
      <c r="DA75" s="18">
        <v>0</v>
      </c>
      <c r="DB75" s="18">
        <v>0</v>
      </c>
      <c r="DC75" s="18">
        <v>0</v>
      </c>
      <c r="DD75" s="18">
        <v>0</v>
      </c>
      <c r="DE75" s="18">
        <v>0</v>
      </c>
      <c r="DF75" s="18">
        <v>0</v>
      </c>
      <c r="DG75" s="18">
        <v>0</v>
      </c>
      <c r="DH75" s="18">
        <v>0</v>
      </c>
      <c r="DI75" s="18">
        <v>0</v>
      </c>
      <c r="DJ75" s="18">
        <v>0</v>
      </c>
      <c r="DK75" s="18">
        <v>0</v>
      </c>
      <c r="DL75" s="18">
        <v>0</v>
      </c>
      <c r="DM75" s="18">
        <v>0</v>
      </c>
      <c r="DN75" s="17"/>
      <c r="DO75" s="17"/>
      <c r="DP75" s="18">
        <v>0</v>
      </c>
      <c r="DQ75" s="18">
        <v>0</v>
      </c>
      <c r="DR75" s="18">
        <v>0</v>
      </c>
      <c r="DS75" s="18">
        <v>0</v>
      </c>
      <c r="DT75" s="18">
        <v>0</v>
      </c>
      <c r="DU75" s="18">
        <v>0</v>
      </c>
      <c r="DV75" s="18">
        <v>0</v>
      </c>
      <c r="DW75" s="18">
        <v>0</v>
      </c>
      <c r="DX75" s="18">
        <v>0</v>
      </c>
      <c r="DY75" s="18">
        <v>0</v>
      </c>
      <c r="DZ75" s="18">
        <v>0</v>
      </c>
      <c r="EA75" s="18">
        <v>0</v>
      </c>
      <c r="EB75" s="18">
        <v>0</v>
      </c>
      <c r="EC75" s="18">
        <v>0</v>
      </c>
      <c r="ED75" s="18">
        <v>0</v>
      </c>
      <c r="EE75" s="18">
        <v>0</v>
      </c>
      <c r="EF75" s="18">
        <v>0</v>
      </c>
      <c r="EG75" s="18">
        <v>0</v>
      </c>
      <c r="EH75" s="18">
        <v>0</v>
      </c>
      <c r="EI75" s="18">
        <v>0</v>
      </c>
      <c r="EJ75" s="18">
        <v>0</v>
      </c>
      <c r="EK75" s="18">
        <v>0</v>
      </c>
      <c r="EL75" s="17"/>
      <c r="EM75" s="17"/>
    </row>
    <row r="76" spans="1:15950" s="7" customFormat="1" ht="25" customHeight="1">
      <c r="A76" s="6"/>
      <c r="B76" s="5"/>
      <c r="C76" s="16">
        <f ca="1">NOW()</f>
        <v>42067.583944907405</v>
      </c>
      <c r="D76" s="1"/>
      <c r="E76" s="1"/>
      <c r="F76" s="1"/>
      <c r="G76" s="1"/>
      <c r="H76" s="1"/>
      <c r="I76" s="1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  <c r="Y76" s="1"/>
      <c r="Z76" s="2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</row>
    <row r="77" spans="1:15950" s="10" customFormat="1" ht="20.05" customHeight="1">
      <c r="A77" s="15"/>
      <c r="B77" s="5"/>
      <c r="C77" s="14"/>
      <c r="D77" s="1"/>
      <c r="E77" s="3"/>
      <c r="F77" s="3"/>
      <c r="G77" s="3"/>
      <c r="H77" s="3"/>
      <c r="I77" s="3"/>
      <c r="J77" s="3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3"/>
      <c r="V77" s="3"/>
      <c r="W77" s="3"/>
      <c r="X77" s="13"/>
      <c r="Y77" s="11"/>
      <c r="Z77" s="12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11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</row>
    <row r="80" spans="1:15950">
      <c r="K80" s="9"/>
    </row>
    <row r="89" spans="1:15950" s="7" customFormat="1">
      <c r="A89" s="6"/>
      <c r="B89" s="5"/>
      <c r="C89" s="8"/>
      <c r="D89" s="1"/>
      <c r="E89" s="1"/>
      <c r="F89" s="1"/>
      <c r="G89" s="1"/>
      <c r="H89" s="1"/>
      <c r="I89" s="1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2"/>
      <c r="Y89" s="1"/>
      <c r="Z89" s="2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</row>
    <row r="90" spans="1:15950" s="7" customFormat="1">
      <c r="A90" s="6"/>
      <c r="B90" s="5"/>
      <c r="C90" s="8"/>
      <c r="D90" s="1"/>
      <c r="E90" s="1"/>
      <c r="F90" s="1"/>
      <c r="G90" s="1"/>
      <c r="H90" s="1"/>
      <c r="I90" s="1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2"/>
      <c r="Y90" s="1"/>
      <c r="Z90" s="2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</row>
    <row r="91" spans="1:15950" s="7" customFormat="1">
      <c r="A91" s="6"/>
      <c r="B91" s="5"/>
      <c r="C91" s="8"/>
      <c r="D91" s="1"/>
      <c r="E91" s="1"/>
      <c r="F91" s="1"/>
      <c r="G91" s="1"/>
      <c r="H91" s="1"/>
      <c r="I91" s="1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2"/>
      <c r="Y91" s="1"/>
      <c r="Z91" s="2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</row>
    <row r="92" spans="1:15950" s="7" customFormat="1">
      <c r="A92" s="6"/>
      <c r="B92" s="5"/>
      <c r="C92" s="8"/>
      <c r="D92" s="1"/>
      <c r="E92" s="1"/>
      <c r="F92" s="1"/>
      <c r="G92" s="1"/>
      <c r="H92" s="1"/>
      <c r="I92" s="1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2"/>
      <c r="Y92" s="1"/>
      <c r="Z92" s="2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</row>
    <row r="93" spans="1:15950" s="7" customFormat="1">
      <c r="A93" s="6"/>
      <c r="B93" s="5"/>
      <c r="C93" s="8"/>
      <c r="D93" s="1"/>
      <c r="E93" s="1"/>
      <c r="F93" s="1"/>
      <c r="G93" s="1"/>
      <c r="H93" s="1"/>
      <c r="I93" s="1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2"/>
      <c r="Y93" s="1"/>
      <c r="Z93" s="2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</row>
    <row r="94" spans="1:15950" s="7" customFormat="1">
      <c r="A94" s="6"/>
      <c r="B94" s="5"/>
      <c r="C94" s="8"/>
      <c r="D94" s="1"/>
      <c r="E94" s="1"/>
      <c r="F94" s="1"/>
      <c r="G94" s="1"/>
      <c r="H94" s="1"/>
      <c r="I94" s="1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2"/>
      <c r="Y94" s="1"/>
      <c r="Z94" s="2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</row>
    <row r="95" spans="1:15950" s="7" customFormat="1">
      <c r="A95" s="6"/>
      <c r="B95" s="5"/>
      <c r="C95" s="8"/>
      <c r="D95" s="1"/>
      <c r="E95" s="1"/>
      <c r="F95" s="1"/>
      <c r="G95" s="1"/>
      <c r="H95" s="1"/>
      <c r="I95" s="1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2"/>
      <c r="Y95" s="1"/>
      <c r="Z95" s="2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</row>
    <row r="96" spans="1:15950" s="7" customFormat="1">
      <c r="A96" s="6"/>
      <c r="B96" s="5"/>
      <c r="C96" s="8"/>
      <c r="D96" s="1"/>
      <c r="E96" s="1"/>
      <c r="F96" s="1"/>
      <c r="G96" s="1"/>
      <c r="H96" s="1"/>
      <c r="I96" s="1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2"/>
      <c r="Y96" s="1"/>
      <c r="Z96" s="2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</row>
    <row r="97" spans="1:15950" s="7" customFormat="1">
      <c r="A97" s="6"/>
      <c r="B97" s="5"/>
      <c r="C97" s="8"/>
      <c r="D97" s="1"/>
      <c r="E97" s="1"/>
      <c r="F97" s="1"/>
      <c r="G97" s="1"/>
      <c r="H97" s="1"/>
      <c r="I97" s="1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2"/>
      <c r="Y97" s="1"/>
      <c r="Z97" s="2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</row>
    <row r="98" spans="1:15950" s="7" customFormat="1">
      <c r="A98" s="6"/>
      <c r="B98" s="5"/>
      <c r="C98" s="8"/>
      <c r="D98" s="1"/>
      <c r="E98" s="1"/>
      <c r="F98" s="1"/>
      <c r="G98" s="1"/>
      <c r="H98" s="1"/>
      <c r="I98" s="1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2"/>
      <c r="Y98" s="1"/>
      <c r="Z98" s="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</row>
    <row r="99" spans="1:15950" s="7" customFormat="1">
      <c r="A99" s="6"/>
      <c r="B99" s="5"/>
      <c r="C99" s="8"/>
      <c r="D99" s="1"/>
      <c r="E99" s="1"/>
      <c r="F99" s="1"/>
      <c r="G99" s="1"/>
      <c r="H99" s="1"/>
      <c r="I99" s="1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2"/>
      <c r="Y99" s="1"/>
      <c r="Z99" s="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</row>
    <row r="100" spans="1:15950" s="7" customFormat="1">
      <c r="A100" s="6"/>
      <c r="B100" s="5"/>
      <c r="C100" s="8"/>
      <c r="D100" s="1"/>
      <c r="E100" s="1"/>
      <c r="F100" s="1"/>
      <c r="G100" s="1"/>
      <c r="H100" s="1"/>
      <c r="I100" s="1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2"/>
      <c r="Y100" s="1"/>
      <c r="Z100" s="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</row>
    <row r="101" spans="1:15950" s="7" customFormat="1">
      <c r="A101" s="6"/>
      <c r="B101" s="5"/>
      <c r="C101" s="8"/>
      <c r="D101" s="1"/>
      <c r="E101" s="1"/>
      <c r="F101" s="1"/>
      <c r="G101" s="1"/>
      <c r="H101" s="1"/>
      <c r="I101" s="1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2"/>
      <c r="Y101" s="1"/>
      <c r="Z101" s="2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</row>
    <row r="102" spans="1:15950" s="7" customFormat="1">
      <c r="A102" s="6"/>
      <c r="B102" s="5"/>
      <c r="C102" s="8"/>
      <c r="D102" s="1"/>
      <c r="E102" s="1"/>
      <c r="F102" s="1"/>
      <c r="G102" s="1"/>
      <c r="H102" s="1"/>
      <c r="I102" s="1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2"/>
      <c r="Y102" s="1"/>
      <c r="Z102" s="2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</row>
    <row r="103" spans="1:15950" s="7" customFormat="1">
      <c r="A103" s="6"/>
      <c r="B103" s="5"/>
      <c r="C103" s="8"/>
      <c r="D103" s="1"/>
      <c r="E103" s="1"/>
      <c r="F103" s="1"/>
      <c r="G103" s="1"/>
      <c r="H103" s="1"/>
      <c r="I103" s="1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2"/>
      <c r="Y103" s="1"/>
      <c r="Z103" s="2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</row>
    <row r="104" spans="1:15950" s="7" customFormat="1">
      <c r="A104" s="6"/>
      <c r="B104" s="5"/>
      <c r="C104" s="8"/>
      <c r="D104" s="1"/>
      <c r="E104" s="1"/>
      <c r="F104" s="1"/>
      <c r="G104" s="1"/>
      <c r="H104" s="1"/>
      <c r="I104" s="1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2"/>
      <c r="Y104" s="1"/>
      <c r="Z104" s="2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</row>
    <row r="105" spans="1:15950" s="7" customFormat="1">
      <c r="A105" s="6"/>
      <c r="B105" s="5"/>
      <c r="C105" s="8"/>
      <c r="D105" s="1"/>
      <c r="E105" s="1"/>
      <c r="F105" s="1"/>
      <c r="G105" s="1"/>
      <c r="H105" s="1"/>
      <c r="I105" s="1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2"/>
      <c r="Y105" s="1"/>
      <c r="Z105" s="2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</row>
    <row r="106" spans="1:15950" s="7" customFormat="1">
      <c r="A106" s="6"/>
      <c r="B106" s="5"/>
      <c r="C106" s="8"/>
      <c r="D106" s="1"/>
      <c r="E106" s="1"/>
      <c r="F106" s="1"/>
      <c r="G106" s="1"/>
      <c r="H106" s="1"/>
      <c r="I106" s="1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2"/>
      <c r="Y106" s="1"/>
      <c r="Z106" s="2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</row>
    <row r="107" spans="1:15950" s="7" customFormat="1">
      <c r="A107" s="6"/>
      <c r="B107" s="5"/>
      <c r="C107" s="8"/>
      <c r="D107" s="1"/>
      <c r="E107" s="1"/>
      <c r="F107" s="1"/>
      <c r="G107" s="1"/>
      <c r="H107" s="1"/>
      <c r="I107" s="1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2"/>
      <c r="Y107" s="1"/>
      <c r="Z107" s="2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</row>
    <row r="108" spans="1:15950" s="7" customFormat="1">
      <c r="A108" s="6"/>
      <c r="B108" s="5"/>
      <c r="C108" s="8"/>
      <c r="D108" s="1"/>
      <c r="E108" s="1"/>
      <c r="F108" s="1"/>
      <c r="G108" s="1"/>
      <c r="H108" s="1"/>
      <c r="I108" s="1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2"/>
      <c r="Y108" s="1"/>
      <c r="Z108" s="2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</row>
    <row r="109" spans="1:15950" s="7" customFormat="1">
      <c r="A109" s="6"/>
      <c r="B109" s="5"/>
      <c r="C109" s="8"/>
      <c r="D109" s="1"/>
      <c r="E109" s="1"/>
      <c r="F109" s="1"/>
      <c r="G109" s="1"/>
      <c r="H109" s="1"/>
      <c r="I109" s="1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2"/>
      <c r="Y109" s="1"/>
      <c r="Z109" s="2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</row>
    <row r="110" spans="1:15950" s="7" customFormat="1">
      <c r="A110" s="6"/>
      <c r="B110" s="5"/>
      <c r="C110" s="8"/>
      <c r="D110" s="1"/>
      <c r="E110" s="1"/>
      <c r="F110" s="1"/>
      <c r="G110" s="1"/>
      <c r="H110" s="1"/>
      <c r="I110" s="1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2"/>
      <c r="Y110" s="1"/>
      <c r="Z110" s="2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</row>
    <row r="111" spans="1:15950" s="7" customFormat="1">
      <c r="A111" s="6"/>
      <c r="B111" s="5"/>
      <c r="C111" s="8"/>
      <c r="D111" s="1"/>
      <c r="E111" s="1"/>
      <c r="F111" s="1"/>
      <c r="G111" s="1"/>
      <c r="H111" s="1"/>
      <c r="I111" s="1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2"/>
      <c r="Y111" s="1"/>
      <c r="Z111" s="2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</row>
  </sheetData>
  <autoFilter ref="A1:A112">
    <filterColumn colId="0"/>
  </autoFilter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Gestão</vt:lpstr>
      <vt:lpstr>Gestão!Area_de_impressao</vt:lpstr>
      <vt:lpstr>GES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2015-02-12T17:49:49Z</dcterms:created>
  <dcterms:modified xsi:type="dcterms:W3CDTF">2015-03-04T17:02:07Z</dcterms:modified>
</cp:coreProperties>
</file>